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f923baab9001f8/Documents/"/>
    </mc:Choice>
  </mc:AlternateContent>
  <xr:revisionPtr revIDLastSave="0" documentId="8_{78B42873-7F3C-1948-B1F0-F5B85135F82F}" xr6:coauthVersionLast="47" xr6:coauthVersionMax="47" xr10:uidLastSave="{00000000-0000-0000-0000-000000000000}"/>
  <bookViews>
    <workbookView xWindow="4860" yWindow="540" windowWidth="23760" windowHeight="16040" activeTab="6" xr2:uid="{19B5DA8B-E9C8-1740-A2FD-31BB7411F3E6}"/>
  </bookViews>
  <sheets>
    <sheet name="IS" sheetId="1" r:id="rId1"/>
    <sheet name="BS" sheetId="2" r:id="rId2"/>
    <sheet name="CF" sheetId="3" r:id="rId3"/>
    <sheet name="Div" sheetId="9" r:id="rId4"/>
    <sheet name="Rates" sheetId="4" r:id="rId5"/>
    <sheet name="DCF" sheetId="5" r:id="rId6"/>
    <sheet name="Comp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6" i="4" l="1"/>
  <c r="Y29" i="4"/>
  <c r="Y30" i="4"/>
  <c r="Y31" i="4"/>
  <c r="Y32" i="4"/>
  <c r="Y35" i="4"/>
  <c r="Y36" i="4"/>
  <c r="Y37" i="4"/>
  <c r="Y38" i="4"/>
  <c r="Y41" i="4"/>
  <c r="Y42" i="4"/>
  <c r="Y43" i="4"/>
  <c r="Y44" i="4"/>
  <c r="Y45" i="4"/>
  <c r="Y46" i="4"/>
  <c r="Y25" i="4"/>
  <c r="U14" i="4" a="1"/>
  <c r="U14" i="4"/>
  <c r="U15" i="4" a="1"/>
  <c r="U15" i="4" s="1"/>
  <c r="U16" i="4" a="1"/>
  <c r="U16" i="4"/>
  <c r="H3" i="4"/>
  <c r="U25" i="4"/>
  <c r="U24" i="4"/>
  <c r="Q60" i="3" a="1"/>
  <c r="Q60" i="3" s="1"/>
  <c r="Q15" i="3"/>
  <c r="R15" i="3"/>
  <c r="S15" i="3"/>
  <c r="T15" i="3"/>
  <c r="U15" i="3"/>
  <c r="V15" i="3"/>
  <c r="D7" i="3"/>
  <c r="Q59" i="3" a="1"/>
  <c r="Q59" i="3" s="1"/>
  <c r="R13" i="3"/>
  <c r="S13" i="3"/>
  <c r="T13" i="3"/>
  <c r="U13" i="3"/>
  <c r="V13" i="3"/>
  <c r="Q13" i="3"/>
  <c r="Q17" i="3"/>
  <c r="J7" i="3"/>
  <c r="I7" i="3"/>
  <c r="H7" i="3"/>
  <c r="G7" i="3"/>
  <c r="F7" i="3"/>
  <c r="E7" i="3"/>
  <c r="C7" i="3"/>
  <c r="I38" i="3"/>
  <c r="U28" i="4"/>
  <c r="U56" i="4"/>
  <c r="R30" i="4"/>
  <c r="R31" i="4"/>
  <c r="R32" i="4"/>
  <c r="R33" i="4"/>
  <c r="R35" i="4"/>
  <c r="R36" i="4"/>
  <c r="R37" i="4"/>
  <c r="R38" i="4"/>
  <c r="R39" i="4"/>
  <c r="R40" i="4"/>
  <c r="R49" i="4"/>
  <c r="R50" i="4"/>
  <c r="R51" i="4"/>
  <c r="R52" i="4"/>
  <c r="R53" i="4"/>
  <c r="R54" i="4"/>
  <c r="R57" i="4"/>
  <c r="R58" i="4"/>
  <c r="R59" i="4"/>
  <c r="R60" i="4"/>
  <c r="R61" i="4"/>
  <c r="R29" i="4"/>
  <c r="T8" i="2"/>
  <c r="O51" i="4"/>
  <c r="O49" i="4"/>
  <c r="O47" i="4"/>
  <c r="O45" i="4"/>
  <c r="O44" i="4"/>
  <c r="O41" i="4"/>
  <c r="O40" i="4"/>
  <c r="O37" i="4"/>
  <c r="O36" i="4"/>
  <c r="O35" i="4"/>
  <c r="O34" i="4"/>
  <c r="O33" i="4"/>
  <c r="O31" i="4"/>
  <c r="O30" i="4"/>
  <c r="O28" i="4"/>
  <c r="O27" i="4"/>
  <c r="O25" i="4"/>
  <c r="O24" i="4"/>
  <c r="F82" i="1" a="1"/>
  <c r="F82" i="1" s="1"/>
  <c r="F72" i="1" a="1"/>
  <c r="F72" i="1" s="1"/>
  <c r="C27" i="5"/>
  <c r="E73" i="2"/>
  <c r="J23" i="1"/>
  <c r="K23" i="1"/>
  <c r="L23" i="1"/>
  <c r="M23" i="1"/>
  <c r="N23" i="1"/>
  <c r="J22" i="1"/>
  <c r="K22" i="1"/>
  <c r="L22" i="1"/>
  <c r="M22" i="1"/>
  <c r="N22" i="1"/>
  <c r="S78" i="2" a="1"/>
  <c r="S78" i="2" s="1"/>
  <c r="S68" i="2" a="1"/>
  <c r="S68" i="2" s="1"/>
  <c r="S66" i="2" a="1"/>
  <c r="S66" i="2" s="1"/>
  <c r="U8" i="2"/>
  <c r="V8" i="2"/>
  <c r="W8" i="2"/>
  <c r="X8" i="2"/>
  <c r="Y8" i="2"/>
  <c r="Z8" i="2"/>
  <c r="U9" i="2"/>
  <c r="V9" i="2"/>
  <c r="W9" i="2"/>
  <c r="X9" i="2"/>
  <c r="Y9" i="2"/>
  <c r="Z9" i="2"/>
  <c r="U10" i="2"/>
  <c r="V10" i="2"/>
  <c r="W10" i="2"/>
  <c r="X10" i="2"/>
  <c r="Y10" i="2"/>
  <c r="Z10" i="2"/>
  <c r="U11" i="2"/>
  <c r="V11" i="2"/>
  <c r="W11" i="2"/>
  <c r="X11" i="2"/>
  <c r="Y11" i="2"/>
  <c r="Z11" i="2"/>
  <c r="U12" i="2"/>
  <c r="V12" i="2"/>
  <c r="W12" i="2"/>
  <c r="X12" i="2"/>
  <c r="Y12" i="2"/>
  <c r="Z12" i="2"/>
  <c r="U14" i="2"/>
  <c r="V14" i="2"/>
  <c r="W14" i="2"/>
  <c r="X14" i="2"/>
  <c r="Y14" i="2"/>
  <c r="Z14" i="2"/>
  <c r="U15" i="2"/>
  <c r="V15" i="2"/>
  <c r="W15" i="2"/>
  <c r="X15" i="2"/>
  <c r="Y15" i="2"/>
  <c r="Z15" i="2"/>
  <c r="U16" i="2"/>
  <c r="V16" i="2"/>
  <c r="W16" i="2"/>
  <c r="X16" i="2"/>
  <c r="Y16" i="2"/>
  <c r="Z16" i="2"/>
  <c r="U17" i="2"/>
  <c r="V17" i="2"/>
  <c r="W17" i="2"/>
  <c r="X17" i="2"/>
  <c r="Y17" i="2"/>
  <c r="Z17" i="2"/>
  <c r="U18" i="2"/>
  <c r="V18" i="2"/>
  <c r="W18" i="2"/>
  <c r="X18" i="2"/>
  <c r="Y18" i="2"/>
  <c r="Z18" i="2"/>
  <c r="U19" i="2"/>
  <c r="V19" i="2"/>
  <c r="W19" i="2"/>
  <c r="X19" i="2"/>
  <c r="Y19" i="2"/>
  <c r="Z19" i="2"/>
  <c r="U20" i="2"/>
  <c r="V20" i="2"/>
  <c r="W20" i="2"/>
  <c r="X20" i="2"/>
  <c r="Y20" i="2"/>
  <c r="U22" i="2"/>
  <c r="V22" i="2"/>
  <c r="W22" i="2"/>
  <c r="X22" i="2"/>
  <c r="Y22" i="2"/>
  <c r="U28" i="2"/>
  <c r="V28" i="2"/>
  <c r="W28" i="2"/>
  <c r="X28" i="2"/>
  <c r="Y28" i="2"/>
  <c r="Z28" i="2"/>
  <c r="U29" i="2"/>
  <c r="V29" i="2"/>
  <c r="W29" i="2"/>
  <c r="X29" i="2"/>
  <c r="Y29" i="2"/>
  <c r="Z29" i="2"/>
  <c r="U30" i="2"/>
  <c r="V30" i="2"/>
  <c r="W30" i="2"/>
  <c r="X30" i="2"/>
  <c r="Y30" i="2"/>
  <c r="Z30" i="2"/>
  <c r="U31" i="2"/>
  <c r="V31" i="2"/>
  <c r="W31" i="2"/>
  <c r="X31" i="2"/>
  <c r="Y31" i="2"/>
  <c r="Z31" i="2"/>
  <c r="U32" i="2"/>
  <c r="V32" i="2"/>
  <c r="W32" i="2"/>
  <c r="X32" i="2"/>
  <c r="Y32" i="2"/>
  <c r="Z32" i="2"/>
  <c r="U33" i="2"/>
  <c r="V33" i="2"/>
  <c r="W33" i="2"/>
  <c r="X33" i="2"/>
  <c r="Y33" i="2"/>
  <c r="Z33" i="2"/>
  <c r="U34" i="2"/>
  <c r="V34" i="2"/>
  <c r="W34" i="2"/>
  <c r="X34" i="2"/>
  <c r="Y34" i="2"/>
  <c r="U36" i="2"/>
  <c r="V36" i="2"/>
  <c r="W36" i="2"/>
  <c r="X36" i="2"/>
  <c r="Y36" i="2"/>
  <c r="Z36" i="2"/>
  <c r="U37" i="2"/>
  <c r="V37" i="2"/>
  <c r="W37" i="2"/>
  <c r="X37" i="2"/>
  <c r="Y37" i="2"/>
  <c r="Z37" i="2"/>
  <c r="U38" i="2"/>
  <c r="V38" i="2"/>
  <c r="W38" i="2"/>
  <c r="X38" i="2"/>
  <c r="Y38" i="2"/>
  <c r="Z38" i="2"/>
  <c r="U39" i="2"/>
  <c r="V39" i="2"/>
  <c r="W39" i="2"/>
  <c r="X39" i="2"/>
  <c r="Y39" i="2"/>
  <c r="Z39" i="2"/>
  <c r="U40" i="2"/>
  <c r="V40" i="2"/>
  <c r="W40" i="2"/>
  <c r="X40" i="2"/>
  <c r="Y40" i="2"/>
  <c r="Z40" i="2"/>
  <c r="U41" i="2"/>
  <c r="V41" i="2"/>
  <c r="W41" i="2"/>
  <c r="X41" i="2"/>
  <c r="Y41" i="2"/>
  <c r="U43" i="2"/>
  <c r="V43" i="2"/>
  <c r="W43" i="2"/>
  <c r="X43" i="2"/>
  <c r="Y43" i="2"/>
  <c r="U44" i="2"/>
  <c r="V44" i="2"/>
  <c r="W44" i="2"/>
  <c r="X44" i="2"/>
  <c r="Y44" i="2"/>
  <c r="U46" i="2"/>
  <c r="V46" i="2"/>
  <c r="W46" i="2"/>
  <c r="X46" i="2"/>
  <c r="Y46" i="2"/>
  <c r="S59" i="2" a="1"/>
  <c r="S59" i="2" s="1"/>
  <c r="S60" i="2" a="1"/>
  <c r="S60" i="2" s="1"/>
  <c r="S61" i="2" a="1"/>
  <c r="S61" i="2" s="1"/>
  <c r="S65" i="2" a="1"/>
  <c r="S65" i="2" s="1"/>
  <c r="S69" i="2" a="1"/>
  <c r="S69" i="2" s="1"/>
  <c r="S79" i="2" a="1"/>
  <c r="S79" i="2" s="1"/>
  <c r="S80" i="2" a="1"/>
  <c r="S80" i="2" s="1"/>
  <c r="S81" i="2" a="1"/>
  <c r="S81" i="2" s="1"/>
  <c r="S82" i="2" a="1"/>
  <c r="S82" i="2" s="1"/>
  <c r="S86" i="2" a="1"/>
  <c r="S86" i="2" s="1"/>
  <c r="S88" i="2" a="1"/>
  <c r="S88" i="2" s="1"/>
  <c r="S90" i="2" a="1"/>
  <c r="S90" i="2" s="1"/>
  <c r="T9" i="2"/>
  <c r="T10" i="2"/>
  <c r="T11" i="2"/>
  <c r="T12" i="2"/>
  <c r="T14" i="2"/>
  <c r="S64" i="2" s="1" a="1"/>
  <c r="S64" i="2" s="1"/>
  <c r="T15" i="2"/>
  <c r="T16" i="2"/>
  <c r="T17" i="2"/>
  <c r="T18" i="2"/>
  <c r="T19" i="2"/>
  <c r="T20" i="2"/>
  <c r="T22" i="2"/>
  <c r="T28" i="2"/>
  <c r="T29" i="2"/>
  <c r="T30" i="2"/>
  <c r="T31" i="2"/>
  <c r="T32" i="2"/>
  <c r="T33" i="2"/>
  <c r="T34" i="2"/>
  <c r="T36" i="2"/>
  <c r="T37" i="2"/>
  <c r="T38" i="2"/>
  <c r="T39" i="2"/>
  <c r="T40" i="2"/>
  <c r="T41" i="2"/>
  <c r="T43" i="2"/>
  <c r="T44" i="2"/>
  <c r="T46" i="2"/>
  <c r="S62" i="2" a="1"/>
  <c r="S62" i="2" s="1"/>
  <c r="C38" i="1"/>
  <c r="S67" i="2" a="1"/>
  <c r="S67" i="2" s="1"/>
  <c r="S83" i="2" a="1"/>
  <c r="S83" i="2" s="1"/>
  <c r="S85" i="2" a="1"/>
  <c r="S85" i="2" s="1"/>
  <c r="S87" i="2" a="1"/>
  <c r="S87" i="2" s="1"/>
  <c r="S89" i="2" a="1"/>
  <c r="S89" i="2" s="1"/>
  <c r="J73" i="2"/>
  <c r="F84" i="1" a="1"/>
  <c r="F84" i="1" s="1"/>
  <c r="G50" i="1"/>
  <c r="H50" i="1"/>
  <c r="I50" i="1"/>
  <c r="D38" i="1"/>
  <c r="E38" i="1"/>
  <c r="F38" i="1"/>
  <c r="G38" i="1"/>
  <c r="H38" i="1"/>
  <c r="D39" i="1"/>
  <c r="E39" i="1"/>
  <c r="F39" i="1"/>
  <c r="G39" i="1"/>
  <c r="H39" i="1"/>
  <c r="D41" i="1"/>
  <c r="E41" i="1"/>
  <c r="F41" i="1"/>
  <c r="G41" i="1"/>
  <c r="H41" i="1"/>
  <c r="D42" i="1"/>
  <c r="E42" i="1"/>
  <c r="F42" i="1"/>
  <c r="G42" i="1"/>
  <c r="H42" i="1"/>
  <c r="D44" i="1"/>
  <c r="E44" i="1"/>
  <c r="F44" i="1"/>
  <c r="G44" i="1"/>
  <c r="H44" i="1"/>
  <c r="D45" i="1"/>
  <c r="E45" i="1"/>
  <c r="F45" i="1"/>
  <c r="G45" i="1"/>
  <c r="H45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D51" i="1"/>
  <c r="E51" i="1"/>
  <c r="F51" i="1"/>
  <c r="G51" i="1"/>
  <c r="H51" i="1"/>
  <c r="D54" i="1"/>
  <c r="E54" i="1"/>
  <c r="F54" i="1"/>
  <c r="G54" i="1"/>
  <c r="H54" i="1"/>
  <c r="D55" i="1"/>
  <c r="E55" i="1"/>
  <c r="F55" i="1"/>
  <c r="G55" i="1"/>
  <c r="H55" i="1"/>
  <c r="D58" i="1"/>
  <c r="E58" i="1"/>
  <c r="F58" i="1"/>
  <c r="G58" i="1"/>
  <c r="H58" i="1"/>
  <c r="D59" i="1"/>
  <c r="E59" i="1"/>
  <c r="F59" i="1"/>
  <c r="G59" i="1"/>
  <c r="H59" i="1"/>
  <c r="D61" i="1"/>
  <c r="E61" i="1"/>
  <c r="F61" i="1"/>
  <c r="G61" i="1"/>
  <c r="H61" i="1"/>
  <c r="D63" i="1"/>
  <c r="E63" i="1"/>
  <c r="F63" i="1"/>
  <c r="G63" i="1"/>
  <c r="H63" i="1"/>
  <c r="D65" i="1"/>
  <c r="E65" i="1"/>
  <c r="F65" i="1"/>
  <c r="G65" i="1"/>
  <c r="H65" i="1"/>
  <c r="C50" i="1"/>
  <c r="C51" i="1"/>
  <c r="C54" i="1"/>
  <c r="C55" i="1"/>
  <c r="C58" i="1"/>
  <c r="C59" i="1"/>
  <c r="C61" i="1"/>
  <c r="C63" i="1"/>
  <c r="C65" i="1"/>
  <c r="C39" i="1"/>
  <c r="C41" i="1"/>
  <c r="C42" i="1"/>
  <c r="C44" i="1"/>
  <c r="C45" i="1"/>
  <c r="C47" i="1"/>
  <c r="C49" i="1"/>
  <c r="C48" i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102" i="4" a="1"/>
  <c r="Q102" i="4" s="1"/>
  <c r="Q103" i="4" a="1"/>
  <c r="Q103" i="4" s="1"/>
  <c r="Q104" i="4" a="1"/>
  <c r="Q104" i="4" s="1"/>
  <c r="Q105" i="4" a="1"/>
  <c r="Q105" i="4" s="1"/>
  <c r="Q106" i="4" a="1"/>
  <c r="Q106" i="4" s="1"/>
  <c r="Q107" i="4" a="1"/>
  <c r="Q107" i="4" s="1"/>
  <c r="Q108" i="4" a="1"/>
  <c r="Q108" i="4" s="1"/>
  <c r="Q109" i="4" a="1"/>
  <c r="Q109" i="4" s="1"/>
  <c r="Q110" i="4" a="1"/>
  <c r="Q110" i="4" s="1"/>
  <c r="Q111" i="4" a="1"/>
  <c r="Q111" i="4" s="1"/>
  <c r="Q112" i="4" a="1"/>
  <c r="Q112" i="4" s="1"/>
  <c r="Q113" i="4" a="1"/>
  <c r="Q113" i="4" s="1"/>
  <c r="Q114" i="4" a="1"/>
  <c r="Q114" i="4" s="1"/>
  <c r="Q115" i="4" a="1"/>
  <c r="Q115" i="4" s="1"/>
  <c r="Q116" i="4" a="1"/>
  <c r="Q116" i="4" s="1"/>
  <c r="Q117" i="4" a="1"/>
  <c r="Q117" i="4" s="1"/>
  <c r="Q118" i="4" a="1"/>
  <c r="Q118" i="4" s="1"/>
  <c r="Q119" i="4" a="1"/>
  <c r="Q119" i="4" s="1"/>
  <c r="Q120" i="4" a="1"/>
  <c r="Q120" i="4" s="1"/>
  <c r="Q121" i="4" a="1"/>
  <c r="Q121" i="4" s="1"/>
  <c r="Q122" i="4" a="1"/>
  <c r="Q122" i="4" s="1"/>
  <c r="Q123" i="4" a="1"/>
  <c r="Q123" i="4" s="1"/>
  <c r="Q124" i="4" a="1"/>
  <c r="Q124" i="4" s="1"/>
  <c r="Q125" i="4" a="1"/>
  <c r="Q125" i="4" s="1"/>
  <c r="Q126" i="4" a="1"/>
  <c r="Q126" i="4" s="1"/>
  <c r="Q127" i="4" a="1"/>
  <c r="Q127" i="4" s="1"/>
  <c r="Q128" i="4" a="1"/>
  <c r="Q128" i="4" s="1"/>
  <c r="Q129" i="4" a="1"/>
  <c r="Q129" i="4" s="1"/>
  <c r="Q130" i="4" a="1"/>
  <c r="Q130" i="4" s="1"/>
  <c r="Q131" i="4" a="1"/>
  <c r="Q131" i="4" s="1"/>
  <c r="Q132" i="4" a="1"/>
  <c r="Q132" i="4" s="1"/>
  <c r="Q133" i="4" a="1"/>
  <c r="Q133" i="4" s="1"/>
  <c r="Q134" i="4" a="1"/>
  <c r="Q134" i="4" s="1"/>
  <c r="Q135" i="4" a="1"/>
  <c r="Q135" i="4" s="1"/>
  <c r="Q136" i="4" a="1"/>
  <c r="Q136" i="4" s="1"/>
  <c r="Q137" i="4" a="1"/>
  <c r="Q137" i="4" s="1"/>
  <c r="Q138" i="4" a="1"/>
  <c r="Q138" i="4" s="1"/>
  <c r="Q139" i="4" a="1"/>
  <c r="Q139" i="4" s="1"/>
  <c r="Q140" i="4" a="1"/>
  <c r="Q140" i="4" s="1"/>
  <c r="Q141" i="4" a="1"/>
  <c r="Q141" i="4" s="1"/>
  <c r="Q142" i="4" a="1"/>
  <c r="Q142" i="4" s="1"/>
  <c r="Q143" i="4" a="1"/>
  <c r="Q143" i="4" s="1"/>
  <c r="Q144" i="4" a="1"/>
  <c r="Q144" i="4" s="1"/>
  <c r="Q145" i="4" a="1"/>
  <c r="Q145" i="4" s="1"/>
  <c r="Q86" i="4" a="1"/>
  <c r="Q86" i="4" s="1"/>
  <c r="P90" i="4" a="1"/>
  <c r="P90" i="4" s="1"/>
  <c r="P86" i="4" a="1"/>
  <c r="P86" i="4" s="1"/>
  <c r="AC88" i="4"/>
  <c r="P88" i="4" a="1"/>
  <c r="P88" i="4" s="1"/>
  <c r="H2" i="4"/>
  <c r="H6" i="4" s="1"/>
  <c r="H15" i="2"/>
  <c r="J5" i="3"/>
  <c r="I5" i="3"/>
  <c r="H5" i="3"/>
  <c r="G5" i="3"/>
  <c r="F5" i="3"/>
  <c r="F12" i="3" s="1"/>
  <c r="E5" i="3"/>
  <c r="D5" i="3"/>
  <c r="D12" i="3" s="1"/>
  <c r="Q20" i="3" s="1"/>
  <c r="C5" i="3"/>
  <c r="J40" i="2"/>
  <c r="J36" i="2"/>
  <c r="J33" i="2"/>
  <c r="J31" i="2"/>
  <c r="J29" i="2"/>
  <c r="J28" i="2"/>
  <c r="I40" i="2"/>
  <c r="I39" i="2"/>
  <c r="I38" i="2"/>
  <c r="I36" i="2"/>
  <c r="I33" i="2"/>
  <c r="I32" i="2"/>
  <c r="I31" i="2"/>
  <c r="I30" i="2"/>
  <c r="I29" i="2"/>
  <c r="I28" i="2"/>
  <c r="H40" i="2"/>
  <c r="H39" i="2"/>
  <c r="H38" i="2"/>
  <c r="H36" i="2"/>
  <c r="H33" i="2"/>
  <c r="H32" i="2"/>
  <c r="H31" i="2"/>
  <c r="H30" i="2"/>
  <c r="H29" i="2"/>
  <c r="H28" i="2"/>
  <c r="F40" i="2"/>
  <c r="F39" i="2"/>
  <c r="F38" i="2"/>
  <c r="F37" i="2"/>
  <c r="F36" i="2"/>
  <c r="G40" i="2"/>
  <c r="G39" i="2"/>
  <c r="G38" i="2"/>
  <c r="G36" i="2"/>
  <c r="F33" i="2"/>
  <c r="G32" i="2"/>
  <c r="G33" i="2"/>
  <c r="G31" i="2"/>
  <c r="G30" i="2"/>
  <c r="G29" i="2"/>
  <c r="G28" i="2"/>
  <c r="F32" i="2"/>
  <c r="F31" i="2"/>
  <c r="F30" i="2"/>
  <c r="F29" i="2"/>
  <c r="F28" i="2"/>
  <c r="E40" i="2"/>
  <c r="E38" i="2"/>
  <c r="E36" i="2"/>
  <c r="D40" i="2"/>
  <c r="D38" i="2"/>
  <c r="D36" i="2"/>
  <c r="D33" i="2"/>
  <c r="D32" i="2"/>
  <c r="D31" i="2"/>
  <c r="D30" i="2"/>
  <c r="D29" i="2"/>
  <c r="E33" i="2"/>
  <c r="E32" i="2"/>
  <c r="E31" i="2"/>
  <c r="E30" i="2"/>
  <c r="E29" i="2"/>
  <c r="E28" i="2"/>
  <c r="C40" i="2"/>
  <c r="C38" i="2"/>
  <c r="C37" i="2"/>
  <c r="C36" i="2"/>
  <c r="C33" i="2"/>
  <c r="C31" i="2"/>
  <c r="C30" i="2"/>
  <c r="C29" i="2"/>
  <c r="C28" i="2"/>
  <c r="J19" i="2"/>
  <c r="I19" i="2"/>
  <c r="H19" i="2"/>
  <c r="G19" i="2"/>
  <c r="F19" i="2"/>
  <c r="E19" i="2"/>
  <c r="D19" i="2"/>
  <c r="C19" i="2"/>
  <c r="C18" i="2"/>
  <c r="G17" i="2"/>
  <c r="J17" i="2"/>
  <c r="I17" i="2"/>
  <c r="H17" i="2"/>
  <c r="F17" i="2"/>
  <c r="E17" i="2"/>
  <c r="D17" i="2"/>
  <c r="C17" i="2"/>
  <c r="F16" i="2"/>
  <c r="D16" i="2"/>
  <c r="C16" i="2"/>
  <c r="J15" i="2"/>
  <c r="I15" i="2"/>
  <c r="G15" i="2"/>
  <c r="F15" i="2"/>
  <c r="E15" i="2"/>
  <c r="D15" i="2"/>
  <c r="C15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I13" i="3" s="1"/>
  <c r="H9" i="2"/>
  <c r="G9" i="2"/>
  <c r="F9" i="2"/>
  <c r="E9" i="2"/>
  <c r="F13" i="3" s="1"/>
  <c r="D9" i="2"/>
  <c r="C9" i="2"/>
  <c r="J8" i="2"/>
  <c r="J12" i="2" s="1"/>
  <c r="I8" i="2"/>
  <c r="H8" i="2"/>
  <c r="G8" i="2"/>
  <c r="F8" i="2"/>
  <c r="E8" i="2"/>
  <c r="D8" i="2"/>
  <c r="C8" i="2"/>
  <c r="C12" i="2" s="1"/>
  <c r="E18" i="1"/>
  <c r="F33" i="1"/>
  <c r="I33" i="1"/>
  <c r="I65" i="1" s="1"/>
  <c r="H33" i="1"/>
  <c r="G33" i="1"/>
  <c r="E33" i="1"/>
  <c r="D33" i="1"/>
  <c r="C33" i="1"/>
  <c r="B33" i="1"/>
  <c r="C31" i="1"/>
  <c r="D31" i="1"/>
  <c r="E31" i="1"/>
  <c r="F31" i="1"/>
  <c r="G31" i="1"/>
  <c r="H31" i="1"/>
  <c r="B31" i="1"/>
  <c r="I29" i="1"/>
  <c r="I61" i="1" s="1"/>
  <c r="F95" i="1" s="1" a="1"/>
  <c r="F95" i="1" s="1"/>
  <c r="H29" i="1"/>
  <c r="G29" i="1"/>
  <c r="F29" i="1"/>
  <c r="E29" i="1"/>
  <c r="D29" i="1"/>
  <c r="C29" i="1"/>
  <c r="B29" i="1"/>
  <c r="B12" i="1"/>
  <c r="H23" i="1"/>
  <c r="I23" i="1"/>
  <c r="H24" i="1" s="1"/>
  <c r="G23" i="1"/>
  <c r="F23" i="1"/>
  <c r="E23" i="1"/>
  <c r="D23" i="1"/>
  <c r="C23" i="1"/>
  <c r="B23" i="1"/>
  <c r="I22" i="1"/>
  <c r="I54" i="1" s="1"/>
  <c r="F88" i="1" s="1" a="1"/>
  <c r="F88" i="1" s="1"/>
  <c r="H22" i="1"/>
  <c r="G22" i="1"/>
  <c r="F22" i="1"/>
  <c r="E22" i="1"/>
  <c r="D22" i="1"/>
  <c r="C22" i="1"/>
  <c r="B22" i="1"/>
  <c r="I18" i="1"/>
  <c r="D18" i="1"/>
  <c r="C18" i="1"/>
  <c r="B18" i="1"/>
  <c r="E16" i="1"/>
  <c r="D16" i="1"/>
  <c r="C16" i="1"/>
  <c r="I16" i="1"/>
  <c r="I48" i="1" s="1"/>
  <c r="H16" i="1"/>
  <c r="G16" i="1"/>
  <c r="F16" i="1"/>
  <c r="B16" i="1"/>
  <c r="I13" i="1"/>
  <c r="I45" i="1" s="1"/>
  <c r="F79" i="1" s="1" a="1"/>
  <c r="F79" i="1" s="1"/>
  <c r="H13" i="1"/>
  <c r="G13" i="1"/>
  <c r="F13" i="1"/>
  <c r="E13" i="1"/>
  <c r="D13" i="1"/>
  <c r="C13" i="1"/>
  <c r="B13" i="1"/>
  <c r="I10" i="1"/>
  <c r="I42" i="1" s="1"/>
  <c r="F76" i="1" s="1" a="1"/>
  <c r="F76" i="1" s="1"/>
  <c r="H10" i="1"/>
  <c r="G10" i="1"/>
  <c r="F10" i="1"/>
  <c r="E10" i="1"/>
  <c r="D10" i="1"/>
  <c r="C10" i="1"/>
  <c r="B10" i="1"/>
  <c r="I7" i="1"/>
  <c r="I39" i="1" s="1"/>
  <c r="I6" i="1"/>
  <c r="I38" i="1" s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E12" i="3"/>
  <c r="G12" i="3"/>
  <c r="T20" i="3" s="1"/>
  <c r="H12" i="3"/>
  <c r="U20" i="3" s="1"/>
  <c r="I12" i="3"/>
  <c r="S145" i="4" l="1"/>
  <c r="S20" i="3"/>
  <c r="R20" i="3"/>
  <c r="Q65" i="3" s="1" a="1"/>
  <c r="Q65" i="3" s="1"/>
  <c r="U30" i="4" s="1"/>
  <c r="N30" i="7"/>
  <c r="N31" i="7"/>
  <c r="N32" i="7"/>
  <c r="S58" i="2" a="1"/>
  <c r="S58" i="2" s="1"/>
  <c r="F99" i="1" a="1"/>
  <c r="F99" i="1" s="1"/>
  <c r="I55" i="1"/>
  <c r="F89" i="1" s="1" a="1"/>
  <c r="F89" i="1" s="1"/>
  <c r="F73" i="1" a="1"/>
  <c r="F73" i="1" s="1"/>
  <c r="H24" i="3"/>
  <c r="E34" i="2"/>
  <c r="J12" i="3"/>
  <c r="V20" i="3" s="1"/>
  <c r="D34" i="2"/>
  <c r="G13" i="3"/>
  <c r="E13" i="3"/>
  <c r="R21" i="3" s="1"/>
  <c r="I14" i="3"/>
  <c r="C20" i="2"/>
  <c r="F14" i="3"/>
  <c r="S22" i="3" s="1"/>
  <c r="H14" i="3"/>
  <c r="G14" i="3"/>
  <c r="E14" i="3"/>
  <c r="D14" i="3"/>
  <c r="Q22" i="3" s="1"/>
  <c r="H13" i="3"/>
  <c r="U21" i="3" s="1"/>
  <c r="D12" i="2"/>
  <c r="D13" i="3"/>
  <c r="G38" i="3"/>
  <c r="T46" i="3" s="1"/>
  <c r="F38" i="3"/>
  <c r="S46" i="3" s="1"/>
  <c r="E37" i="3"/>
  <c r="F37" i="3"/>
  <c r="G37" i="3"/>
  <c r="H37" i="3"/>
  <c r="I37" i="3"/>
  <c r="D37" i="3"/>
  <c r="H11" i="4"/>
  <c r="P115" i="4" a="1"/>
  <c r="P115" i="4" s="1"/>
  <c r="P97" i="4" a="1"/>
  <c r="P97" i="4" s="1"/>
  <c r="P102" i="4" a="1"/>
  <c r="P102" i="4" s="1"/>
  <c r="P91" i="4" a="1"/>
  <c r="P91" i="4" s="1"/>
  <c r="Q45" i="3" l="1"/>
  <c r="T45" i="3"/>
  <c r="Q21" i="3"/>
  <c r="T22" i="3"/>
  <c r="S45" i="3"/>
  <c r="S21" i="3"/>
  <c r="T21" i="3"/>
  <c r="R22" i="3"/>
  <c r="R45" i="3"/>
  <c r="U45" i="3"/>
  <c r="U22" i="3"/>
  <c r="L5" i="3" a="1"/>
  <c r="L5" i="3" s="1"/>
  <c r="D38" i="3"/>
  <c r="Q46" i="3" s="1"/>
  <c r="H38" i="3"/>
  <c r="U46" i="3" s="1"/>
  <c r="E38" i="3"/>
  <c r="R46" i="3" s="1"/>
  <c r="V46" i="3"/>
  <c r="K12" i="3" l="1"/>
  <c r="M5" i="3" a="1"/>
  <c r="M5" i="3" s="1"/>
  <c r="L12" i="3"/>
  <c r="H7" i="9"/>
  <c r="D9" i="7" s="1"/>
  <c r="J40" i="5"/>
  <c r="C39" i="5"/>
  <c r="G30" i="7"/>
  <c r="H30" i="7"/>
  <c r="G61" i="7" s="1"/>
  <c r="I30" i="7"/>
  <c r="J30" i="7"/>
  <c r="K30" i="7"/>
  <c r="L30" i="7"/>
  <c r="K61" i="7" s="1"/>
  <c r="G32" i="7"/>
  <c r="H32" i="7"/>
  <c r="I32" i="7"/>
  <c r="J32" i="7"/>
  <c r="I63" i="7" s="1"/>
  <c r="K32" i="7"/>
  <c r="L32" i="7"/>
  <c r="M32" i="7"/>
  <c r="M30" i="7"/>
  <c r="D7" i="7"/>
  <c r="J9" i="9"/>
  <c r="L9" i="9" s="1"/>
  <c r="K9" i="9"/>
  <c r="I9" i="9"/>
  <c r="I8" i="9"/>
  <c r="C9" i="9"/>
  <c r="D9" i="9"/>
  <c r="E9" i="9"/>
  <c r="F9" i="9"/>
  <c r="G9" i="9"/>
  <c r="H9" i="9"/>
  <c r="B9" i="9"/>
  <c r="H6" i="9"/>
  <c r="G6" i="9"/>
  <c r="F6" i="9"/>
  <c r="E6" i="9"/>
  <c r="D6" i="9"/>
  <c r="C6" i="9"/>
  <c r="B6" i="9"/>
  <c r="J6" i="9"/>
  <c r="K6" i="9"/>
  <c r="L6" i="9"/>
  <c r="M6" i="9"/>
  <c r="I6" i="9"/>
  <c r="H63" i="7" l="1"/>
  <c r="K63" i="7"/>
  <c r="L61" i="7"/>
  <c r="M61" i="7"/>
  <c r="L63" i="7"/>
  <c r="M63" i="7"/>
  <c r="J61" i="7"/>
  <c r="G63" i="7"/>
  <c r="I61" i="7"/>
  <c r="J63" i="7"/>
  <c r="H61" i="7"/>
  <c r="N5" i="3" a="1"/>
  <c r="N5" i="3" s="1"/>
  <c r="N12" i="3" s="1"/>
  <c r="M12" i="3"/>
  <c r="M9" i="9"/>
  <c r="J8" i="9"/>
  <c r="M8" i="9" s="1"/>
  <c r="K8" i="9"/>
  <c r="L8" i="9"/>
  <c r="P87" i="4" a="1"/>
  <c r="P87" i="4" s="1"/>
  <c r="R87" i="4" s="1"/>
  <c r="P89" i="4" a="1"/>
  <c r="P89" i="4" s="1"/>
  <c r="R89" i="4" s="1"/>
  <c r="R91" i="4"/>
  <c r="P92" i="4" a="1"/>
  <c r="P92" i="4" s="1"/>
  <c r="R92" i="4" s="1"/>
  <c r="P93" i="4" a="1"/>
  <c r="P93" i="4" s="1"/>
  <c r="P94" i="4" a="1"/>
  <c r="P94" i="4" s="1"/>
  <c r="P95" i="4" a="1"/>
  <c r="P95" i="4" s="1"/>
  <c r="P96" i="4" a="1"/>
  <c r="P96" i="4" s="1"/>
  <c r="P98" i="4" a="1"/>
  <c r="P98" i="4" s="1"/>
  <c r="R98" i="4" s="1"/>
  <c r="P99" i="4" a="1"/>
  <c r="P99" i="4" s="1"/>
  <c r="P100" i="4" a="1"/>
  <c r="P100" i="4" s="1"/>
  <c r="P101" i="4" a="1"/>
  <c r="P101" i="4" s="1"/>
  <c r="P103" i="4" a="1"/>
  <c r="P103" i="4" s="1"/>
  <c r="R103" i="4" s="1"/>
  <c r="P104" i="4" a="1"/>
  <c r="P104" i="4" s="1"/>
  <c r="P105" i="4" a="1"/>
  <c r="P105" i="4" s="1"/>
  <c r="P106" i="4" a="1"/>
  <c r="P106" i="4" s="1"/>
  <c r="P107" i="4" a="1"/>
  <c r="P107" i="4" s="1"/>
  <c r="P108" i="4" a="1"/>
  <c r="P108" i="4" s="1"/>
  <c r="P109" i="4" a="1"/>
  <c r="P109" i="4" s="1"/>
  <c r="P110" i="4" a="1"/>
  <c r="P110" i="4" s="1"/>
  <c r="P111" i="4" a="1"/>
  <c r="P111" i="4" s="1"/>
  <c r="P112" i="4" a="1"/>
  <c r="P112" i="4" s="1"/>
  <c r="P113" i="4" a="1"/>
  <c r="P113" i="4" s="1"/>
  <c r="P114" i="4" a="1"/>
  <c r="P114" i="4" s="1"/>
  <c r="P116" i="4" a="1"/>
  <c r="P116" i="4" s="1"/>
  <c r="R116" i="4" s="1"/>
  <c r="P117" i="4" a="1"/>
  <c r="P117" i="4" s="1"/>
  <c r="P118" i="4" a="1"/>
  <c r="P118" i="4" s="1"/>
  <c r="P119" i="4" a="1"/>
  <c r="P119" i="4" s="1"/>
  <c r="P120" i="4" a="1"/>
  <c r="P120" i="4" s="1"/>
  <c r="P121" i="4" a="1"/>
  <c r="P121" i="4" s="1"/>
  <c r="P122" i="4" a="1"/>
  <c r="P122" i="4" s="1"/>
  <c r="P123" i="4" a="1"/>
  <c r="P123" i="4" s="1"/>
  <c r="P124" i="4" a="1"/>
  <c r="P124" i="4" s="1"/>
  <c r="P125" i="4" a="1"/>
  <c r="P125" i="4" s="1"/>
  <c r="P126" i="4" a="1"/>
  <c r="P126" i="4" s="1"/>
  <c r="P127" i="4" a="1"/>
  <c r="P127" i="4" s="1"/>
  <c r="P128" i="4" a="1"/>
  <c r="P128" i="4" s="1"/>
  <c r="P129" i="4" a="1"/>
  <c r="P129" i="4" s="1"/>
  <c r="P130" i="4" a="1"/>
  <c r="P130" i="4" s="1"/>
  <c r="P131" i="4" a="1"/>
  <c r="P131" i="4" s="1"/>
  <c r="P132" i="4" a="1"/>
  <c r="P132" i="4" s="1"/>
  <c r="P133" i="4" a="1"/>
  <c r="P133" i="4" s="1"/>
  <c r="P134" i="4" a="1"/>
  <c r="P134" i="4" s="1"/>
  <c r="P135" i="4" a="1"/>
  <c r="P135" i="4" s="1"/>
  <c r="P136" i="4" a="1"/>
  <c r="P136" i="4" s="1"/>
  <c r="P137" i="4" a="1"/>
  <c r="P137" i="4" s="1"/>
  <c r="P138" i="4" a="1"/>
  <c r="P138" i="4" s="1"/>
  <c r="P139" i="4" a="1"/>
  <c r="P139" i="4" s="1"/>
  <c r="P140" i="4" a="1"/>
  <c r="P140" i="4" s="1"/>
  <c r="P141" i="4" a="1"/>
  <c r="P141" i="4" s="1"/>
  <c r="P142" i="4" a="1"/>
  <c r="P142" i="4" s="1"/>
  <c r="P143" i="4" a="1"/>
  <c r="P143" i="4" s="1"/>
  <c r="P144" i="4" a="1"/>
  <c r="P144" i="4" s="1"/>
  <c r="P145" i="4" a="1"/>
  <c r="P145" i="4" s="1"/>
  <c r="R145" i="4" s="1"/>
  <c r="R63" i="7" l="1" a="1"/>
  <c r="R63" i="7" s="1"/>
  <c r="R65" i="7" a="1"/>
  <c r="R65" i="7" s="1"/>
  <c r="R134" i="4"/>
  <c r="R118" i="4"/>
  <c r="R113" i="4"/>
  <c r="R109" i="4"/>
  <c r="R105" i="4"/>
  <c r="R100" i="4"/>
  <c r="R95" i="4"/>
  <c r="S121" i="4"/>
  <c r="S117" i="4"/>
  <c r="S113" i="4"/>
  <c r="S109" i="4"/>
  <c r="S105" i="4"/>
  <c r="S101" i="4"/>
  <c r="S97" i="4"/>
  <c r="S93" i="4"/>
  <c r="S89" i="4"/>
  <c r="S142" i="4"/>
  <c r="S138" i="4"/>
  <c r="S134" i="4"/>
  <c r="S130" i="4"/>
  <c r="S126" i="4"/>
  <c r="S122" i="4"/>
  <c r="S118" i="4"/>
  <c r="S114" i="4"/>
  <c r="S110" i="4"/>
  <c r="S106" i="4"/>
  <c r="S102" i="4"/>
  <c r="S98" i="4"/>
  <c r="S94" i="4"/>
  <c r="S90" i="4"/>
  <c r="S143" i="4"/>
  <c r="S139" i="4"/>
  <c r="S135" i="4"/>
  <c r="S131" i="4"/>
  <c r="S127" i="4"/>
  <c r="S123" i="4"/>
  <c r="S119" i="4"/>
  <c r="S115" i="4"/>
  <c r="S141" i="4"/>
  <c r="S144" i="4"/>
  <c r="S140" i="4"/>
  <c r="S136" i="4"/>
  <c r="S132" i="4"/>
  <c r="S128" i="4"/>
  <c r="S108" i="4"/>
  <c r="S104" i="4"/>
  <c r="S100" i="4"/>
  <c r="S96" i="4"/>
  <c r="S92" i="4"/>
  <c r="S88" i="4"/>
  <c r="R101" i="4"/>
  <c r="R141" i="4"/>
  <c r="R137" i="4"/>
  <c r="R133" i="4"/>
  <c r="R129" i="4"/>
  <c r="R125" i="4"/>
  <c r="R99" i="4"/>
  <c r="R94" i="4"/>
  <c r="R93" i="4"/>
  <c r="R88" i="4"/>
  <c r="R143" i="4"/>
  <c r="R139" i="4"/>
  <c r="R119" i="4"/>
  <c r="R96" i="4"/>
  <c r="S124" i="4"/>
  <c r="S120" i="4"/>
  <c r="S116" i="4"/>
  <c r="S112" i="4"/>
  <c r="S111" i="4"/>
  <c r="S107" i="4"/>
  <c r="S103" i="4"/>
  <c r="S99" i="4"/>
  <c r="S95" i="4"/>
  <c r="S91" i="4"/>
  <c r="S87" i="4"/>
  <c r="R121" i="4"/>
  <c r="R136" i="4"/>
  <c r="S137" i="4"/>
  <c r="S133" i="4"/>
  <c r="S129" i="4"/>
  <c r="S125" i="4"/>
  <c r="R90" i="4"/>
  <c r="R144" i="4"/>
  <c r="R138" i="4"/>
  <c r="R135" i="4"/>
  <c r="R132" i="4"/>
  <c r="R128" i="4"/>
  <c r="R124" i="4"/>
  <c r="R120" i="4"/>
  <c r="R117" i="4"/>
  <c r="R112" i="4"/>
  <c r="R108" i="4"/>
  <c r="R104" i="4"/>
  <c r="R102" i="4"/>
  <c r="R97" i="4"/>
  <c r="R142" i="4"/>
  <c r="R131" i="4"/>
  <c r="R127" i="4"/>
  <c r="R123" i="4"/>
  <c r="R111" i="4"/>
  <c r="R107" i="4"/>
  <c r="R140" i="4"/>
  <c r="R130" i="4"/>
  <c r="R126" i="4"/>
  <c r="R122" i="4"/>
  <c r="R114" i="4"/>
  <c r="R115" i="4"/>
  <c r="R110" i="4"/>
  <c r="R106" i="4"/>
  <c r="P10" i="4"/>
  <c r="I2" i="4"/>
  <c r="P15" i="4"/>
  <c r="P18" i="4" s="1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K22" i="4"/>
  <c r="J22" i="4"/>
  <c r="H16" i="4"/>
  <c r="H8" i="4" l="1"/>
  <c r="P8" i="4" s="1"/>
  <c r="P12" i="4" s="1"/>
  <c r="I18" i="3" l="1"/>
  <c r="F18" i="3"/>
  <c r="G36" i="3"/>
  <c r="F16" i="3"/>
  <c r="H17" i="3"/>
  <c r="D17" i="3"/>
  <c r="G19" i="3"/>
  <c r="F15" i="3"/>
  <c r="E35" i="3"/>
  <c r="H12" i="2"/>
  <c r="I12" i="2"/>
  <c r="E12" i="2"/>
  <c r="F12" i="2"/>
  <c r="G12" i="2"/>
  <c r="H26" i="3"/>
  <c r="U34" i="3" s="1"/>
  <c r="F26" i="3"/>
  <c r="S34" i="3" s="1"/>
  <c r="D26" i="3"/>
  <c r="G31" i="7"/>
  <c r="H25" i="3"/>
  <c r="U33" i="3" s="1"/>
  <c r="G25" i="3"/>
  <c r="T33" i="3" s="1"/>
  <c r="F25" i="3"/>
  <c r="S33" i="3" s="1"/>
  <c r="D25" i="3"/>
  <c r="Q33" i="3" s="1"/>
  <c r="C9" i="1"/>
  <c r="C12" i="1" s="1"/>
  <c r="D9" i="1"/>
  <c r="D12" i="1" s="1"/>
  <c r="E9" i="1"/>
  <c r="E12" i="1" s="1"/>
  <c r="F9" i="1"/>
  <c r="F12" i="1" s="1"/>
  <c r="G9" i="1"/>
  <c r="G12" i="1" s="1"/>
  <c r="H9" i="1"/>
  <c r="H12" i="1" s="1"/>
  <c r="B9" i="1"/>
  <c r="D15" i="1" l="1"/>
  <c r="I39" i="7"/>
  <c r="I43" i="7"/>
  <c r="M43" i="7"/>
  <c r="M39" i="7"/>
  <c r="G15" i="1"/>
  <c r="L39" i="7"/>
  <c r="L43" i="7"/>
  <c r="C15" i="1"/>
  <c r="H43" i="7"/>
  <c r="H39" i="7"/>
  <c r="F15" i="1"/>
  <c r="K43" i="7"/>
  <c r="K39" i="7"/>
  <c r="J39" i="7"/>
  <c r="J43" i="7"/>
  <c r="B15" i="1"/>
  <c r="G39" i="7"/>
  <c r="G43" i="7"/>
  <c r="D15" i="3"/>
  <c r="F17" i="3"/>
  <c r="D16" i="3"/>
  <c r="H16" i="3"/>
  <c r="E36" i="3"/>
  <c r="I36" i="3"/>
  <c r="D18" i="3"/>
  <c r="Q26" i="3" s="1"/>
  <c r="H18" i="3"/>
  <c r="U26" i="3" s="1"/>
  <c r="G35" i="3"/>
  <c r="I19" i="3"/>
  <c r="E18" i="3"/>
  <c r="R26" i="3" s="1"/>
  <c r="J31" i="7"/>
  <c r="F24" i="3"/>
  <c r="K31" i="7"/>
  <c r="G24" i="3"/>
  <c r="T32" i="3" s="1"/>
  <c r="G26" i="3"/>
  <c r="T34" i="3" s="1"/>
  <c r="D27" i="3"/>
  <c r="D20" i="3"/>
  <c r="H20" i="3"/>
  <c r="H27" i="3"/>
  <c r="F35" i="3"/>
  <c r="S43" i="3" s="1"/>
  <c r="G15" i="3"/>
  <c r="D19" i="3"/>
  <c r="H19" i="3"/>
  <c r="E17" i="3"/>
  <c r="Q25" i="3" s="1"/>
  <c r="I17" i="3"/>
  <c r="G16" i="3"/>
  <c r="S24" i="3" s="1"/>
  <c r="D36" i="3"/>
  <c r="H36" i="3"/>
  <c r="T44" i="3" s="1"/>
  <c r="G18" i="3"/>
  <c r="T26" i="3" s="1"/>
  <c r="L31" i="7"/>
  <c r="H15" i="3"/>
  <c r="E19" i="3"/>
  <c r="G27" i="3"/>
  <c r="G20" i="3"/>
  <c r="T28" i="3" s="1"/>
  <c r="I49" i="2"/>
  <c r="I35" i="3"/>
  <c r="H31" i="7"/>
  <c r="G62" i="7" s="1"/>
  <c r="D24" i="3"/>
  <c r="E20" i="3"/>
  <c r="E27" i="3"/>
  <c r="I27" i="3"/>
  <c r="I20" i="3"/>
  <c r="E25" i="3"/>
  <c r="R33" i="3" s="1"/>
  <c r="I25" i="3"/>
  <c r="V33" i="3" s="1"/>
  <c r="I31" i="7"/>
  <c r="H62" i="7" s="1"/>
  <c r="E24" i="3"/>
  <c r="M31" i="7"/>
  <c r="I24" i="3"/>
  <c r="E26" i="3"/>
  <c r="R34" i="3" s="1"/>
  <c r="I26" i="3"/>
  <c r="V34" i="3" s="1"/>
  <c r="F27" i="3"/>
  <c r="F20" i="3"/>
  <c r="D35" i="3"/>
  <c r="Q43" i="3" s="1"/>
  <c r="H35" i="3"/>
  <c r="E15" i="3"/>
  <c r="R23" i="3" s="1"/>
  <c r="I15" i="3"/>
  <c r="F19" i="3"/>
  <c r="S27" i="3" s="1"/>
  <c r="G17" i="3"/>
  <c r="T25" i="3" s="1"/>
  <c r="E16" i="3"/>
  <c r="R24" i="3" s="1"/>
  <c r="I16" i="3"/>
  <c r="F36" i="3"/>
  <c r="S44" i="3" s="1"/>
  <c r="C49" i="2"/>
  <c r="F34" i="2"/>
  <c r="J27" i="7" s="1"/>
  <c r="I58" i="7" s="1"/>
  <c r="D41" i="2"/>
  <c r="H41" i="2"/>
  <c r="H15" i="1"/>
  <c r="D20" i="2"/>
  <c r="D22" i="2" s="1"/>
  <c r="H20" i="2"/>
  <c r="H22" i="2" s="1"/>
  <c r="C34" i="2"/>
  <c r="G27" i="7" s="1"/>
  <c r="G34" i="2"/>
  <c r="K27" i="7" s="1"/>
  <c r="I34" i="2"/>
  <c r="M27" i="7" s="1"/>
  <c r="E41" i="2"/>
  <c r="I41" i="2"/>
  <c r="E20" i="2"/>
  <c r="E22" i="2" s="1"/>
  <c r="F41" i="2"/>
  <c r="F20" i="2"/>
  <c r="F22" i="2" s="1"/>
  <c r="G20" i="2"/>
  <c r="G22" i="2" s="1"/>
  <c r="C41" i="2"/>
  <c r="G41" i="2"/>
  <c r="G49" i="2"/>
  <c r="D54" i="2"/>
  <c r="H34" i="2"/>
  <c r="H54" i="2" s="1"/>
  <c r="F49" i="2"/>
  <c r="I20" i="2"/>
  <c r="I22" i="2" s="1"/>
  <c r="I27" i="7"/>
  <c r="E49" i="2"/>
  <c r="H49" i="2"/>
  <c r="D49" i="2"/>
  <c r="E15" i="1"/>
  <c r="S28" i="3" l="1"/>
  <c r="R35" i="3"/>
  <c r="I62" i="7"/>
  <c r="I70" i="7"/>
  <c r="G70" i="7"/>
  <c r="K70" i="7"/>
  <c r="H74" i="7"/>
  <c r="T35" i="3"/>
  <c r="T23" i="3"/>
  <c r="Q28" i="3"/>
  <c r="J74" i="7"/>
  <c r="S25" i="3"/>
  <c r="S32" i="3"/>
  <c r="Q23" i="3"/>
  <c r="Q78" i="3" a="1"/>
  <c r="Q78" i="3" s="1"/>
  <c r="J58" i="7"/>
  <c r="K62" i="7"/>
  <c r="J70" i="7"/>
  <c r="G74" i="7"/>
  <c r="H70" i="7"/>
  <c r="L62" i="7"/>
  <c r="M62" i="7"/>
  <c r="J62" i="7"/>
  <c r="L70" i="7"/>
  <c r="R64" i="7" a="1"/>
  <c r="R64" i="7" s="1"/>
  <c r="I74" i="7"/>
  <c r="K74" i="7"/>
  <c r="L74" i="7"/>
  <c r="R27" i="3"/>
  <c r="S26" i="3"/>
  <c r="U32" i="3"/>
  <c r="E33" i="3"/>
  <c r="R44" i="3"/>
  <c r="S35" i="3"/>
  <c r="U27" i="3"/>
  <c r="U25" i="3"/>
  <c r="Q34" i="3"/>
  <c r="Q79" i="3" s="1" a="1"/>
  <c r="Q79" i="3" s="1"/>
  <c r="U44" i="4" s="1"/>
  <c r="U44" i="3"/>
  <c r="R25" i="3"/>
  <c r="Q35" i="3"/>
  <c r="G33" i="3"/>
  <c r="T43" i="3"/>
  <c r="R28" i="3"/>
  <c r="U23" i="3"/>
  <c r="Q44" i="3"/>
  <c r="H22" i="3"/>
  <c r="U35" i="3"/>
  <c r="U24" i="3"/>
  <c r="S23" i="3"/>
  <c r="U43" i="3"/>
  <c r="R32" i="3"/>
  <c r="Q32" i="3"/>
  <c r="T24" i="3"/>
  <c r="Q27" i="3"/>
  <c r="U28" i="3"/>
  <c r="Q24" i="3"/>
  <c r="R43" i="3"/>
  <c r="T27" i="3"/>
  <c r="I33" i="3"/>
  <c r="G57" i="2"/>
  <c r="F57" i="2"/>
  <c r="I57" i="2"/>
  <c r="D57" i="2"/>
  <c r="C54" i="2"/>
  <c r="D55" i="2" s="1"/>
  <c r="E57" i="2"/>
  <c r="H57" i="2"/>
  <c r="I54" i="2"/>
  <c r="I55" i="2" s="1"/>
  <c r="E17" i="1"/>
  <c r="E19" i="1"/>
  <c r="J44" i="7" s="1"/>
  <c r="G17" i="1"/>
  <c r="G19" i="1"/>
  <c r="G26" i="1" s="1"/>
  <c r="F17" i="1"/>
  <c r="F19" i="1"/>
  <c r="K44" i="7" s="1"/>
  <c r="J75" i="7" s="1"/>
  <c r="H17" i="1"/>
  <c r="H19" i="1"/>
  <c r="H26" i="1" s="1"/>
  <c r="C17" i="1"/>
  <c r="C19" i="1"/>
  <c r="D17" i="1"/>
  <c r="D19" i="1"/>
  <c r="B19" i="1"/>
  <c r="B17" i="1"/>
  <c r="C43" i="2"/>
  <c r="E77" i="2" s="1"/>
  <c r="G26" i="7"/>
  <c r="H33" i="3"/>
  <c r="D22" i="3"/>
  <c r="Q30" i="3" s="1"/>
  <c r="D33" i="3"/>
  <c r="Q41" i="3" s="1"/>
  <c r="I22" i="3"/>
  <c r="F22" i="3"/>
  <c r="G54" i="2"/>
  <c r="J26" i="7"/>
  <c r="E22" i="3"/>
  <c r="F33" i="3"/>
  <c r="G22" i="3"/>
  <c r="T30" i="3" s="1"/>
  <c r="E54" i="2"/>
  <c r="E55" i="2" s="1"/>
  <c r="F54" i="2"/>
  <c r="H73" i="2"/>
  <c r="J33" i="7"/>
  <c r="I64" i="7" s="1"/>
  <c r="J47" i="7"/>
  <c r="L33" i="7"/>
  <c r="L47" i="7"/>
  <c r="H43" i="2"/>
  <c r="L27" i="7"/>
  <c r="K58" i="7" s="1"/>
  <c r="G73" i="2"/>
  <c r="I33" i="7"/>
  <c r="I47" i="7"/>
  <c r="H78" i="7" s="1"/>
  <c r="F73" i="2"/>
  <c r="F74" i="2" s="1"/>
  <c r="H47" i="7"/>
  <c r="H33" i="7"/>
  <c r="D43" i="2"/>
  <c r="H27" i="7"/>
  <c r="G58" i="7" s="1"/>
  <c r="K33" i="7"/>
  <c r="K47" i="7"/>
  <c r="I73" i="2"/>
  <c r="M26" i="7"/>
  <c r="M33" i="7"/>
  <c r="M47" i="7"/>
  <c r="L78" i="7" s="1"/>
  <c r="K73" i="2"/>
  <c r="K74" i="2" s="1"/>
  <c r="K26" i="7"/>
  <c r="J57" i="7" s="1"/>
  <c r="L26" i="7"/>
  <c r="H26" i="7"/>
  <c r="G57" i="7" s="1"/>
  <c r="I26" i="7"/>
  <c r="H57" i="7" s="1"/>
  <c r="G43" i="2"/>
  <c r="F43" i="2"/>
  <c r="C22" i="2"/>
  <c r="I43" i="2"/>
  <c r="E43" i="2"/>
  <c r="E44" i="2" s="1"/>
  <c r="G74" i="2" l="1"/>
  <c r="I74" i="2"/>
  <c r="J74" i="2"/>
  <c r="J78" i="7"/>
  <c r="H74" i="2"/>
  <c r="S41" i="3"/>
  <c r="R41" i="3"/>
  <c r="U30" i="3"/>
  <c r="G64" i="7"/>
  <c r="K57" i="7"/>
  <c r="L64" i="7"/>
  <c r="J64" i="7"/>
  <c r="K64" i="7"/>
  <c r="L57" i="7"/>
  <c r="I78" i="7"/>
  <c r="I57" i="7"/>
  <c r="H58" i="7"/>
  <c r="L58" i="7"/>
  <c r="H64" i="7"/>
  <c r="K78" i="7"/>
  <c r="U41" i="3"/>
  <c r="S30" i="3"/>
  <c r="R30" i="3"/>
  <c r="T41" i="3"/>
  <c r="D11" i="3"/>
  <c r="C26" i="1"/>
  <c r="C27" i="1"/>
  <c r="G55" i="2"/>
  <c r="H55" i="2"/>
  <c r="F55" i="2"/>
  <c r="H44" i="7"/>
  <c r="H17" i="4"/>
  <c r="I18" i="4" s="1"/>
  <c r="M44" i="7"/>
  <c r="L75" i="7" s="1"/>
  <c r="H27" i="1"/>
  <c r="G27" i="1"/>
  <c r="L44" i="7"/>
  <c r="K75" i="7" s="1"/>
  <c r="F26" i="1"/>
  <c r="H42" i="7"/>
  <c r="H11" i="3"/>
  <c r="L42" i="7"/>
  <c r="D27" i="1"/>
  <c r="E11" i="3"/>
  <c r="I42" i="7"/>
  <c r="D26" i="1"/>
  <c r="G11" i="3"/>
  <c r="K42" i="7"/>
  <c r="J73" i="7" s="1"/>
  <c r="F27" i="1"/>
  <c r="F11" i="3"/>
  <c r="J42" i="7"/>
  <c r="I44" i="7"/>
  <c r="I11" i="3"/>
  <c r="I9" i="3" s="1"/>
  <c r="I44" i="3" s="1"/>
  <c r="I46" i="3" s="1"/>
  <c r="M42" i="7"/>
  <c r="L73" i="7" s="1"/>
  <c r="D8" i="7"/>
  <c r="D4" i="7" s="1"/>
  <c r="G42" i="7"/>
  <c r="B27" i="1"/>
  <c r="B26" i="1"/>
  <c r="I45" i="7"/>
  <c r="E51" i="2"/>
  <c r="I46" i="7"/>
  <c r="I37" i="7"/>
  <c r="I38" i="7"/>
  <c r="E50" i="2"/>
  <c r="L36" i="7"/>
  <c r="J77" i="2"/>
  <c r="G33" i="7"/>
  <c r="G47" i="7"/>
  <c r="G78" i="7" s="1"/>
  <c r="G44" i="7"/>
  <c r="C44" i="2"/>
  <c r="G38" i="7" s="1"/>
  <c r="M36" i="7"/>
  <c r="K77" i="2"/>
  <c r="K75" i="2" s="1"/>
  <c r="K36" i="7"/>
  <c r="I77" i="2"/>
  <c r="H44" i="2"/>
  <c r="H46" i="2" s="1"/>
  <c r="G36" i="7"/>
  <c r="J36" i="7"/>
  <c r="H77" i="2"/>
  <c r="H36" i="7"/>
  <c r="F77" i="2"/>
  <c r="F75" i="2" s="1"/>
  <c r="F44" i="2"/>
  <c r="I44" i="2"/>
  <c r="I46" i="2" s="1"/>
  <c r="E46" i="2"/>
  <c r="I36" i="7"/>
  <c r="H67" i="7" s="1"/>
  <c r="G77" i="2"/>
  <c r="G75" i="2" s="1"/>
  <c r="G44" i="2"/>
  <c r="D44" i="2"/>
  <c r="E27" i="1"/>
  <c r="E26" i="1"/>
  <c r="I73" i="7" l="1"/>
  <c r="H75" i="2"/>
  <c r="I75" i="2"/>
  <c r="J75" i="2"/>
  <c r="H75" i="7"/>
  <c r="H9" i="3"/>
  <c r="U19" i="3"/>
  <c r="E9" i="3"/>
  <c r="R19" i="3"/>
  <c r="G9" i="3"/>
  <c r="T17" i="3" s="1"/>
  <c r="T19" i="3"/>
  <c r="D9" i="3"/>
  <c r="Q19" i="3"/>
  <c r="F9" i="3"/>
  <c r="S17" i="3" s="1"/>
  <c r="S19" i="3"/>
  <c r="G73" i="7"/>
  <c r="G67" i="7"/>
  <c r="K73" i="7"/>
  <c r="I75" i="7"/>
  <c r="L67" i="7"/>
  <c r="I67" i="7"/>
  <c r="J67" i="7"/>
  <c r="K67" i="7"/>
  <c r="H73" i="7"/>
  <c r="G75" i="7"/>
  <c r="E44" i="3"/>
  <c r="R17" i="3"/>
  <c r="J28" i="5"/>
  <c r="U17" i="3"/>
  <c r="D40" i="3"/>
  <c r="D44" i="3"/>
  <c r="G44" i="3"/>
  <c r="H44" i="3"/>
  <c r="H12" i="4"/>
  <c r="G40" i="3"/>
  <c r="I40" i="3"/>
  <c r="I42" i="3" s="1"/>
  <c r="H40" i="3"/>
  <c r="F40" i="3"/>
  <c r="E40" i="3"/>
  <c r="H45" i="7"/>
  <c r="G76" i="7" s="1"/>
  <c r="D51" i="2"/>
  <c r="H46" i="7"/>
  <c r="D50" i="2"/>
  <c r="H38" i="7"/>
  <c r="G69" i="7" s="1"/>
  <c r="H37" i="7"/>
  <c r="H68" i="7" s="1"/>
  <c r="K45" i="7"/>
  <c r="G51" i="2"/>
  <c r="G50" i="2"/>
  <c r="K37" i="7"/>
  <c r="K38" i="7"/>
  <c r="K46" i="7"/>
  <c r="M45" i="7"/>
  <c r="L76" i="7" s="1"/>
  <c r="M46" i="7"/>
  <c r="M37" i="7"/>
  <c r="I51" i="2"/>
  <c r="I50" i="2"/>
  <c r="M38" i="7"/>
  <c r="G46" i="2"/>
  <c r="J45" i="7"/>
  <c r="I76" i="7" s="1"/>
  <c r="F51" i="2"/>
  <c r="J38" i="7"/>
  <c r="I69" i="7" s="1"/>
  <c r="J37" i="7"/>
  <c r="I68" i="7" s="1"/>
  <c r="F50" i="2"/>
  <c r="J46" i="7"/>
  <c r="I77" i="7" s="1"/>
  <c r="F46" i="2"/>
  <c r="G45" i="7"/>
  <c r="C51" i="2"/>
  <c r="C62" i="2" s="1"/>
  <c r="C50" i="2"/>
  <c r="G46" i="7"/>
  <c r="G37" i="7"/>
  <c r="C46" i="2"/>
  <c r="I52" i="7"/>
  <c r="I50" i="7" s="1"/>
  <c r="E62" i="2"/>
  <c r="L45" i="7"/>
  <c r="K76" i="7" s="1"/>
  <c r="H51" i="2"/>
  <c r="L38" i="7"/>
  <c r="K69" i="7" s="1"/>
  <c r="L37" i="7"/>
  <c r="K68" i="7" s="1"/>
  <c r="L46" i="7"/>
  <c r="K77" i="7" s="1"/>
  <c r="H50" i="2"/>
  <c r="D46" i="2"/>
  <c r="F44" i="3" l="1"/>
  <c r="F46" i="3" s="1"/>
  <c r="J77" i="7"/>
  <c r="L68" i="7"/>
  <c r="J69" i="7"/>
  <c r="J76" i="7"/>
  <c r="G77" i="7"/>
  <c r="H77" i="7"/>
  <c r="H76" i="7"/>
  <c r="L69" i="7"/>
  <c r="L77" i="7"/>
  <c r="J68" i="7"/>
  <c r="G68" i="7"/>
  <c r="H69" i="7"/>
  <c r="H42" i="3"/>
  <c r="U50" i="3" s="1"/>
  <c r="U48" i="3"/>
  <c r="S52" i="3"/>
  <c r="H46" i="3"/>
  <c r="U54" i="3" s="1"/>
  <c r="U52" i="3"/>
  <c r="E42" i="3"/>
  <c r="R48" i="3"/>
  <c r="G42" i="3"/>
  <c r="T50" i="3" s="1"/>
  <c r="T48" i="3"/>
  <c r="G46" i="3"/>
  <c r="T52" i="3"/>
  <c r="D42" i="3"/>
  <c r="Q48" i="3"/>
  <c r="F42" i="3"/>
  <c r="S48" i="3"/>
  <c r="D46" i="3"/>
  <c r="Q52" i="3"/>
  <c r="E46" i="3"/>
  <c r="R52" i="3"/>
  <c r="I62" i="2"/>
  <c r="M52" i="7"/>
  <c r="M50" i="7" s="1"/>
  <c r="D50" i="7" s="1"/>
  <c r="K52" i="7"/>
  <c r="K50" i="7" s="1"/>
  <c r="G62" i="2"/>
  <c r="L52" i="7"/>
  <c r="L50" i="7" s="1"/>
  <c r="H62" i="2"/>
  <c r="G52" i="7"/>
  <c r="G50" i="7" s="1"/>
  <c r="I52" i="2"/>
  <c r="D6" i="7" s="1"/>
  <c r="J52" i="7"/>
  <c r="J50" i="7" s="1"/>
  <c r="F62" i="2"/>
  <c r="H52" i="7"/>
  <c r="H50" i="7" s="1"/>
  <c r="D62" i="2"/>
  <c r="R54" i="3" l="1"/>
  <c r="T54" i="3"/>
  <c r="S50" i="3"/>
  <c r="R50" i="3"/>
  <c r="S54" i="3"/>
  <c r="Q54" i="3"/>
  <c r="Q50" i="3"/>
  <c r="J36" i="3" l="1"/>
  <c r="V44" i="3" s="1"/>
  <c r="Q89" i="3" s="1" a="1"/>
  <c r="Q89" i="3" s="1"/>
  <c r="U54" i="4" s="1"/>
  <c r="C9" i="5"/>
  <c r="C15" i="5" s="1"/>
  <c r="J37" i="3"/>
  <c r="V45" i="3" s="1"/>
  <c r="Q90" i="3" s="1" a="1"/>
  <c r="Q90" i="3" s="1"/>
  <c r="U55" i="4" s="1"/>
  <c r="J24" i="3"/>
  <c r="V32" i="3" s="1"/>
  <c r="Q77" i="3" s="1" a="1"/>
  <c r="Q77" i="3" s="1"/>
  <c r="U42" i="4" s="1"/>
  <c r="J17" i="5"/>
  <c r="C17" i="5"/>
  <c r="I9" i="1"/>
  <c r="I12" i="1" l="1"/>
  <c r="I15" i="1" s="1"/>
  <c r="I47" i="1" s="1"/>
  <c r="F81" i="1" s="1" a="1"/>
  <c r="F81" i="1" s="1"/>
  <c r="I41" i="1"/>
  <c r="F75" i="1" s="1" a="1"/>
  <c r="F75" i="1" s="1"/>
  <c r="J49" i="2"/>
  <c r="J57" i="2" s="1"/>
  <c r="J18" i="5" s="1"/>
  <c r="J35" i="3"/>
  <c r="V43" i="3" s="1"/>
  <c r="Q88" i="3" s="1" a="1"/>
  <c r="Q88" i="3" s="1"/>
  <c r="U53" i="4" s="1"/>
  <c r="J14" i="3"/>
  <c r="V22" i="3" s="1"/>
  <c r="Q67" i="3" s="1" a="1"/>
  <c r="Q67" i="3" s="1"/>
  <c r="U32" i="4" s="1"/>
  <c r="J16" i="3"/>
  <c r="V24" i="3" s="1"/>
  <c r="Q69" i="3" s="1" a="1"/>
  <c r="Q69" i="3" s="1"/>
  <c r="U34" i="4" s="1"/>
  <c r="J13" i="3"/>
  <c r="V21" i="3" s="1"/>
  <c r="Q66" i="3" s="1" a="1"/>
  <c r="Q66" i="3" s="1"/>
  <c r="U31" i="4" s="1"/>
  <c r="J19" i="3"/>
  <c r="V27" i="3" s="1"/>
  <c r="Q72" i="3" s="1" a="1"/>
  <c r="Q72" i="3" s="1"/>
  <c r="U37" i="4" s="1"/>
  <c r="J26" i="3"/>
  <c r="J15" i="3"/>
  <c r="V23" i="3" s="1"/>
  <c r="Q68" i="3" s="1" a="1"/>
  <c r="Q68" i="3" s="1"/>
  <c r="U33" i="4" s="1"/>
  <c r="J18" i="3"/>
  <c r="V26" i="3" s="1"/>
  <c r="Q71" i="3" s="1" a="1"/>
  <c r="Q71" i="3" s="1"/>
  <c r="U36" i="4" s="1"/>
  <c r="K37" i="3"/>
  <c r="J25" i="3"/>
  <c r="J17" i="3"/>
  <c r="V25" i="3" s="1"/>
  <c r="Q70" i="3" s="1" a="1"/>
  <c r="Q70" i="3" s="1"/>
  <c r="U35" i="4" s="1"/>
  <c r="J27" i="3"/>
  <c r="V35" i="3" s="1"/>
  <c r="Q80" i="3" s="1" a="1"/>
  <c r="Q80" i="3" s="1"/>
  <c r="U45" i="4" s="1"/>
  <c r="J20" i="3"/>
  <c r="V28" i="3" s="1"/>
  <c r="Q73" i="3" s="1" a="1"/>
  <c r="Q73" i="3" s="1"/>
  <c r="U38" i="4" s="1"/>
  <c r="J41" i="2"/>
  <c r="Z41" i="2" s="1"/>
  <c r="S91" i="2" s="1" a="1"/>
  <c r="S91" i="2" s="1"/>
  <c r="R62" i="4" s="1"/>
  <c r="J9" i="5"/>
  <c r="J15" i="5" s="1"/>
  <c r="J34" i="2"/>
  <c r="J20" i="2"/>
  <c r="Z20" i="2" s="1"/>
  <c r="S70" i="2" s="1" a="1"/>
  <c r="S70" i="2" s="1"/>
  <c r="R41" i="4" s="1"/>
  <c r="N26" i="7" l="1"/>
  <c r="M57" i="7" s="1"/>
  <c r="R59" i="7" s="1" a="1"/>
  <c r="R59" i="7" s="1"/>
  <c r="Z34" i="2"/>
  <c r="S84" i="2" s="1" a="1"/>
  <c r="S84" i="2" s="1"/>
  <c r="R55" i="4" s="1"/>
  <c r="J54" i="2"/>
  <c r="N27" i="7"/>
  <c r="M58" i="7" s="1"/>
  <c r="R60" i="7" s="1" a="1"/>
  <c r="R60" i="7" s="1"/>
  <c r="I31" i="1"/>
  <c r="I63" i="1" s="1"/>
  <c r="F97" i="1" s="1" a="1"/>
  <c r="F97" i="1" s="1"/>
  <c r="I44" i="1"/>
  <c r="F78" i="1" s="1" a="1"/>
  <c r="F78" i="1" s="1"/>
  <c r="N43" i="7"/>
  <c r="M74" i="7" s="1"/>
  <c r="R76" i="7" s="1" a="1"/>
  <c r="R76" i="7" s="1"/>
  <c r="N39" i="7"/>
  <c r="M70" i="7" s="1"/>
  <c r="R72" i="7" s="1" a="1"/>
  <c r="R72" i="7" s="1"/>
  <c r="I19" i="1"/>
  <c r="I17" i="1"/>
  <c r="J55" i="2"/>
  <c r="J16" i="5" s="1"/>
  <c r="J22" i="3"/>
  <c r="V30" i="3" s="1"/>
  <c r="Q75" i="3" s="1" a="1"/>
  <c r="Q75" i="3" s="1"/>
  <c r="U40" i="4" s="1"/>
  <c r="L37" i="3"/>
  <c r="J43" i="2"/>
  <c r="J8" i="5"/>
  <c r="J11" i="5" s="1"/>
  <c r="C8" i="5"/>
  <c r="C11" i="5" s="1"/>
  <c r="J22" i="2"/>
  <c r="J12" i="5"/>
  <c r="C12" i="5"/>
  <c r="N38" i="7" l="1"/>
  <c r="Z22" i="2"/>
  <c r="S72" i="2" s="1" a="1"/>
  <c r="S72" i="2" s="1"/>
  <c r="R43" i="4" s="1"/>
  <c r="L73" i="2"/>
  <c r="N33" i="7"/>
  <c r="N36" i="7"/>
  <c r="M67" i="7" s="1"/>
  <c r="R69" i="7" s="1" a="1"/>
  <c r="R69" i="7" s="1"/>
  <c r="Z43" i="2"/>
  <c r="S93" i="2" s="1" a="1"/>
  <c r="S93" i="2" s="1"/>
  <c r="R64" i="4" s="1"/>
  <c r="L77" i="2"/>
  <c r="N47" i="7"/>
  <c r="M78" i="7" s="1"/>
  <c r="R80" i="7" s="1" a="1"/>
  <c r="R80" i="7" s="1"/>
  <c r="N46" i="7"/>
  <c r="M77" i="7" s="1"/>
  <c r="R79" i="7" s="1" a="1"/>
  <c r="R79" i="7" s="1"/>
  <c r="N44" i="7"/>
  <c r="M75" i="7" s="1"/>
  <c r="R77" i="7" s="1" a="1"/>
  <c r="R77" i="7" s="1"/>
  <c r="N42" i="7"/>
  <c r="M73" i="7" s="1"/>
  <c r="R75" i="7" s="1" a="1"/>
  <c r="R75" i="7" s="1"/>
  <c r="I26" i="1"/>
  <c r="I58" i="1" s="1"/>
  <c r="F92" i="1" s="1" a="1"/>
  <c r="F92" i="1" s="1"/>
  <c r="I51" i="1"/>
  <c r="F85" i="1" s="1" a="1"/>
  <c r="F85" i="1" s="1"/>
  <c r="I49" i="1"/>
  <c r="F83" i="1" s="1" a="1"/>
  <c r="F83" i="1" s="1"/>
  <c r="J14" i="5"/>
  <c r="J20" i="5" s="1"/>
  <c r="J11" i="3"/>
  <c r="I27" i="1"/>
  <c r="I59" i="1" s="1"/>
  <c r="F93" i="1" s="1" a="1"/>
  <c r="F93" i="1" s="1"/>
  <c r="I4" i="9"/>
  <c r="J38" i="3"/>
  <c r="J33" i="3" s="1"/>
  <c r="V41" i="3" s="1"/>
  <c r="Q86" i="3" s="1" a="1"/>
  <c r="Q86" i="3" s="1"/>
  <c r="U51" i="4" s="1"/>
  <c r="C16" i="5"/>
  <c r="J44" i="2"/>
  <c r="N45" i="7" s="1"/>
  <c r="M76" i="7" s="1"/>
  <c r="R78" i="7" s="1" a="1"/>
  <c r="R78" i="7" s="1"/>
  <c r="M37" i="3"/>
  <c r="C14" i="5"/>
  <c r="M64" i="7" l="1"/>
  <c r="R66" i="7" s="1" a="1"/>
  <c r="R66" i="7" s="1"/>
  <c r="L75" i="2"/>
  <c r="H82" i="2" s="1" a="1"/>
  <c r="H82" i="2" s="1"/>
  <c r="M77" i="2" s="1"/>
  <c r="L74" i="2"/>
  <c r="Z44" i="2"/>
  <c r="S94" i="2" s="1" a="1"/>
  <c r="S94" i="2" s="1"/>
  <c r="R65" i="4" s="1"/>
  <c r="N37" i="7"/>
  <c r="M68" i="7" s="1"/>
  <c r="R70" i="7" s="1" a="1"/>
  <c r="R70" i="7" s="1"/>
  <c r="M69" i="7"/>
  <c r="R71" i="7" s="1" a="1"/>
  <c r="R71" i="7" s="1"/>
  <c r="C19" i="5"/>
  <c r="H13" i="4"/>
  <c r="J9" i="3"/>
  <c r="J40" i="3" s="1"/>
  <c r="V48" i="3" s="1"/>
  <c r="Q93" i="3" s="1" a="1"/>
  <c r="Q93" i="3" s="1"/>
  <c r="U58" i="4" s="1"/>
  <c r="V19" i="3"/>
  <c r="Q64" i="3" s="1" a="1"/>
  <c r="Q64" i="3" s="1"/>
  <c r="U29" i="4" s="1"/>
  <c r="J46" i="2"/>
  <c r="Z46" i="2" s="1"/>
  <c r="S96" i="2" s="1" a="1"/>
  <c r="S96" i="2" s="1"/>
  <c r="R67" i="4" s="1"/>
  <c r="J50" i="2"/>
  <c r="N37" i="3"/>
  <c r="J51" i="2"/>
  <c r="N77" i="2" l="1"/>
  <c r="O77" i="2" s="1"/>
  <c r="P77" i="2" s="1"/>
  <c r="J62" i="2"/>
  <c r="N52" i="7"/>
  <c r="N50" i="7" s="1"/>
  <c r="H81" i="2" a="1"/>
  <c r="H81" i="2" s="1"/>
  <c r="M73" i="2" s="1"/>
  <c r="N73" i="2" s="1"/>
  <c r="O73" i="2" s="1"/>
  <c r="P73" i="2" s="1"/>
  <c r="P5" i="1"/>
  <c r="J36" i="5"/>
  <c r="C35" i="5"/>
  <c r="J44" i="3"/>
  <c r="V17" i="3"/>
  <c r="Q62" i="3" s="1" a="1"/>
  <c r="Q62" i="3" s="1"/>
  <c r="U27" i="4" s="1"/>
  <c r="J42" i="3"/>
  <c r="V50" i="3" s="1"/>
  <c r="Q95" i="3" s="1" a="1"/>
  <c r="Q95" i="3" s="1"/>
  <c r="U60" i="4" s="1"/>
  <c r="D5" i="7"/>
  <c r="K40" i="2" l="1"/>
  <c r="L40" i="2" s="1"/>
  <c r="M40" i="2" s="1"/>
  <c r="N40" i="2" s="1"/>
  <c r="P7" i="4"/>
  <c r="K31" i="2"/>
  <c r="Q77" i="2"/>
  <c r="K15" i="2"/>
  <c r="K24" i="3" s="1"/>
  <c r="J6" i="1"/>
  <c r="K6" i="1" s="1"/>
  <c r="J10" i="1"/>
  <c r="K10" i="1" s="1"/>
  <c r="L10" i="1" s="1"/>
  <c r="M10" i="1" s="1"/>
  <c r="N10" i="1" s="1"/>
  <c r="K39" i="2"/>
  <c r="K18" i="3" s="1"/>
  <c r="J7" i="1"/>
  <c r="K7" i="1" s="1"/>
  <c r="L7" i="1" s="1"/>
  <c r="M7" i="1" s="1"/>
  <c r="N7" i="1" s="1"/>
  <c r="J33" i="1"/>
  <c r="K17" i="5" s="1"/>
  <c r="J29" i="1"/>
  <c r="K29" i="1" s="1"/>
  <c r="P9" i="4"/>
  <c r="P16" i="4" s="1"/>
  <c r="P20" i="4" s="1"/>
  <c r="K29" i="2"/>
  <c r="K15" i="3" s="1"/>
  <c r="K32" i="2"/>
  <c r="L32" i="2" s="1"/>
  <c r="M32" i="2" s="1"/>
  <c r="N32" i="2" s="1"/>
  <c r="K30" i="2"/>
  <c r="L30" i="2" s="1"/>
  <c r="K36" i="2"/>
  <c r="L36" i="2" s="1"/>
  <c r="K17" i="2"/>
  <c r="L17" i="2" s="1"/>
  <c r="M17" i="2" s="1"/>
  <c r="N17" i="2" s="1"/>
  <c r="K33" i="2"/>
  <c r="K16" i="3" s="1"/>
  <c r="J13" i="1"/>
  <c r="K13" i="1" s="1"/>
  <c r="L13" i="1" s="1"/>
  <c r="M13" i="1" s="1"/>
  <c r="N13" i="1" s="1"/>
  <c r="J17" i="1"/>
  <c r="K17" i="1" s="1"/>
  <c r="L17" i="1" s="1"/>
  <c r="M17" i="1" s="1"/>
  <c r="N17" i="1" s="1"/>
  <c r="K37" i="2"/>
  <c r="L37" i="2" s="1"/>
  <c r="M37" i="2" s="1"/>
  <c r="N37" i="2" s="1"/>
  <c r="K16" i="2"/>
  <c r="L16" i="2" s="1"/>
  <c r="M16" i="2" s="1"/>
  <c r="N16" i="2" s="1"/>
  <c r="K28" i="2"/>
  <c r="L28" i="2" s="1"/>
  <c r="K38" i="2"/>
  <c r="L38" i="2" s="1"/>
  <c r="M38" i="2" s="1"/>
  <c r="N38" i="2" s="1"/>
  <c r="O38" i="2" s="1"/>
  <c r="Q73" i="2"/>
  <c r="J18" i="1"/>
  <c r="K18" i="1" s="1"/>
  <c r="L18" i="1" s="1"/>
  <c r="M18" i="1" s="1"/>
  <c r="N18" i="1" s="1"/>
  <c r="K14" i="2"/>
  <c r="K18" i="2"/>
  <c r="K9" i="2"/>
  <c r="K10" i="2"/>
  <c r="L31" i="2"/>
  <c r="K17" i="3"/>
  <c r="K8" i="2"/>
  <c r="L15" i="2"/>
  <c r="K19" i="2"/>
  <c r="K11" i="2"/>
  <c r="L11" i="2" s="1"/>
  <c r="M11" i="2" s="1"/>
  <c r="N11" i="2" s="1"/>
  <c r="D17" i="5"/>
  <c r="D9" i="5"/>
  <c r="D15" i="5" s="1"/>
  <c r="K9" i="5"/>
  <c r="K15" i="5" s="1"/>
  <c r="J46" i="3"/>
  <c r="V54" i="3" s="1"/>
  <c r="Q99" i="3" s="1" a="1"/>
  <c r="Q99" i="3" s="1"/>
  <c r="U64" i="4" s="1"/>
  <c r="V52" i="3"/>
  <c r="Q97" i="3" s="1" a="1"/>
  <c r="Q97" i="3" s="1"/>
  <c r="U62" i="4" s="1"/>
  <c r="K33" i="1" l="1"/>
  <c r="E17" i="5" s="1"/>
  <c r="O40" i="2"/>
  <c r="L39" i="2"/>
  <c r="O37" i="2"/>
  <c r="K36" i="3"/>
  <c r="O32" i="2"/>
  <c r="O11" i="2"/>
  <c r="K19" i="3"/>
  <c r="O16" i="2"/>
  <c r="L33" i="2"/>
  <c r="M33" i="2" s="1"/>
  <c r="K34" i="2"/>
  <c r="O17" i="2"/>
  <c r="K35" i="3"/>
  <c r="K49" i="2"/>
  <c r="L29" i="2"/>
  <c r="L15" i="3" s="1"/>
  <c r="J9" i="1"/>
  <c r="J12" i="1" s="1"/>
  <c r="K41" i="2"/>
  <c r="L10" i="2"/>
  <c r="K14" i="3"/>
  <c r="K13" i="3"/>
  <c r="L9" i="2"/>
  <c r="L33" i="1"/>
  <c r="L17" i="5"/>
  <c r="L24" i="3"/>
  <c r="M15" i="2"/>
  <c r="M39" i="2"/>
  <c r="L18" i="3"/>
  <c r="L8" i="2"/>
  <c r="K12" i="2"/>
  <c r="L29" i="1"/>
  <c r="E9" i="5"/>
  <c r="E15" i="5" s="1"/>
  <c r="L9" i="5"/>
  <c r="L15" i="5" s="1"/>
  <c r="K9" i="1"/>
  <c r="K12" i="1" s="1"/>
  <c r="K15" i="1" s="1"/>
  <c r="L6" i="1"/>
  <c r="K20" i="3"/>
  <c r="K27" i="3"/>
  <c r="L19" i="2"/>
  <c r="L20" i="3" s="1"/>
  <c r="M30" i="2"/>
  <c r="L19" i="3"/>
  <c r="K26" i="3"/>
  <c r="L18" i="2"/>
  <c r="C21" i="5"/>
  <c r="C22" i="5" s="1"/>
  <c r="M22" i="5"/>
  <c r="L22" i="5"/>
  <c r="G21" i="5"/>
  <c r="J29" i="5"/>
  <c r="K22" i="5"/>
  <c r="E21" i="5"/>
  <c r="D21" i="5"/>
  <c r="J22" i="5"/>
  <c r="J23" i="5" s="1"/>
  <c r="F21" i="5"/>
  <c r="N22" i="5"/>
  <c r="C28" i="5"/>
  <c r="K57" i="2"/>
  <c r="K18" i="5" s="1"/>
  <c r="L49" i="2"/>
  <c r="L35" i="3"/>
  <c r="M28" i="2"/>
  <c r="L36" i="3"/>
  <c r="L41" i="2"/>
  <c r="M36" i="2"/>
  <c r="M31" i="2"/>
  <c r="L17" i="3"/>
  <c r="K25" i="3"/>
  <c r="K20" i="2"/>
  <c r="L14" i="2"/>
  <c r="L25" i="3" s="1"/>
  <c r="L16" i="3" l="1"/>
  <c r="K43" i="2"/>
  <c r="M29" i="2"/>
  <c r="N29" i="2" s="1"/>
  <c r="L34" i="2"/>
  <c r="L57" i="2"/>
  <c r="L18" i="5" s="1"/>
  <c r="J15" i="1"/>
  <c r="J31" i="1"/>
  <c r="L43" i="2"/>
  <c r="K22" i="3"/>
  <c r="M15" i="3"/>
  <c r="M36" i="3"/>
  <c r="M41" i="2"/>
  <c r="N36" i="2"/>
  <c r="M29" i="1"/>
  <c r="F9" i="5"/>
  <c r="F15" i="5" s="1"/>
  <c r="M9" i="5"/>
  <c r="M15" i="5" s="1"/>
  <c r="M18" i="3"/>
  <c r="N39" i="2"/>
  <c r="L13" i="3"/>
  <c r="M9" i="2"/>
  <c r="M13" i="3" s="1"/>
  <c r="M17" i="3"/>
  <c r="N31" i="2"/>
  <c r="N33" i="2"/>
  <c r="M16" i="3"/>
  <c r="N30" i="2"/>
  <c r="M19" i="3"/>
  <c r="K31" i="1"/>
  <c r="K54" i="2"/>
  <c r="K22" i="2"/>
  <c r="L26" i="3"/>
  <c r="M18" i="2"/>
  <c r="L9" i="1"/>
  <c r="L12" i="1" s="1"/>
  <c r="L15" i="1" s="1"/>
  <c r="L16" i="1" s="1"/>
  <c r="M6" i="1"/>
  <c r="L12" i="2"/>
  <c r="M8" i="2"/>
  <c r="F17" i="5"/>
  <c r="M33" i="1"/>
  <c r="M17" i="5"/>
  <c r="M14" i="2"/>
  <c r="M25" i="3" s="1"/>
  <c r="L20" i="2"/>
  <c r="M35" i="3"/>
  <c r="M49" i="2"/>
  <c r="N28" i="2"/>
  <c r="M34" i="2"/>
  <c r="L27" i="3"/>
  <c r="M19" i="2"/>
  <c r="K16" i="1"/>
  <c r="K19" i="1" s="1"/>
  <c r="N15" i="2"/>
  <c r="M24" i="3"/>
  <c r="L14" i="3"/>
  <c r="M10" i="2"/>
  <c r="K44" i="2" l="1"/>
  <c r="D8" i="5"/>
  <c r="D11" i="5" s="1"/>
  <c r="K8" i="5"/>
  <c r="K11" i="5" s="1"/>
  <c r="J16" i="1"/>
  <c r="J19" i="1" s="1"/>
  <c r="L22" i="3"/>
  <c r="O15" i="2"/>
  <c r="N24" i="3"/>
  <c r="M27" i="3"/>
  <c r="N19" i="2"/>
  <c r="O19" i="2" s="1"/>
  <c r="N8" i="2"/>
  <c r="O8" i="2" s="1"/>
  <c r="M12" i="2"/>
  <c r="M26" i="3"/>
  <c r="N18" i="2"/>
  <c r="O18" i="2" s="1"/>
  <c r="K55" i="2"/>
  <c r="K38" i="3"/>
  <c r="K33" i="3" s="1"/>
  <c r="M43" i="2"/>
  <c r="N33" i="1"/>
  <c r="G17" i="5"/>
  <c r="N17" i="5"/>
  <c r="L22" i="2"/>
  <c r="L44" i="2" s="1"/>
  <c r="L54" i="2"/>
  <c r="L8" i="5"/>
  <c r="L11" i="5" s="1"/>
  <c r="E8" i="5"/>
  <c r="E11" i="5" s="1"/>
  <c r="N16" i="3"/>
  <c r="O33" i="2"/>
  <c r="O39" i="2"/>
  <c r="N18" i="3"/>
  <c r="M14" i="3"/>
  <c r="N10" i="2"/>
  <c r="O10" i="2" s="1"/>
  <c r="O28" i="2"/>
  <c r="N49" i="2"/>
  <c r="C34" i="5" s="1"/>
  <c r="N35" i="3"/>
  <c r="N34" i="2"/>
  <c r="E12" i="5"/>
  <c r="L12" i="5"/>
  <c r="M9" i="1"/>
  <c r="M12" i="1" s="1"/>
  <c r="M15" i="1" s="1"/>
  <c r="M16" i="1" s="1"/>
  <c r="N6" i="1"/>
  <c r="N9" i="1" s="1"/>
  <c r="N12" i="1" s="1"/>
  <c r="M57" i="2"/>
  <c r="M18" i="5" s="1"/>
  <c r="N9" i="2"/>
  <c r="O9" i="2" s="1"/>
  <c r="N29" i="1"/>
  <c r="N9" i="5"/>
  <c r="N15" i="5" s="1"/>
  <c r="G9" i="5"/>
  <c r="G15" i="5" s="1"/>
  <c r="K27" i="1"/>
  <c r="L11" i="3"/>
  <c r="L9" i="3" s="1"/>
  <c r="K26" i="1"/>
  <c r="K4" i="9"/>
  <c r="L14" i="5"/>
  <c r="M20" i="3"/>
  <c r="N14" i="2"/>
  <c r="N25" i="3" s="1"/>
  <c r="M20" i="2"/>
  <c r="L19" i="1"/>
  <c r="F12" i="5"/>
  <c r="M12" i="5"/>
  <c r="K46" i="2"/>
  <c r="K51" i="2"/>
  <c r="K62" i="2" s="1"/>
  <c r="K50" i="2"/>
  <c r="O30" i="2"/>
  <c r="N19" i="3"/>
  <c r="O31" i="2"/>
  <c r="N17" i="3"/>
  <c r="L31" i="1"/>
  <c r="O36" i="2"/>
  <c r="N36" i="3"/>
  <c r="N41" i="2"/>
  <c r="N43" i="2" s="1"/>
  <c r="N15" i="3"/>
  <c r="O29" i="2"/>
  <c r="M22" i="3" l="1"/>
  <c r="K14" i="5"/>
  <c r="J26" i="1"/>
  <c r="J27" i="1"/>
  <c r="K11" i="3"/>
  <c r="K9" i="3" s="1"/>
  <c r="K44" i="3" s="1"/>
  <c r="K46" i="3" s="1"/>
  <c r="J4" i="9"/>
  <c r="K12" i="5"/>
  <c r="D12" i="5"/>
  <c r="D14" i="5" s="1"/>
  <c r="M31" i="1"/>
  <c r="G8" i="5" s="1"/>
  <c r="G11" i="5" s="1"/>
  <c r="N57" i="2"/>
  <c r="N18" i="5" s="1"/>
  <c r="N27" i="3"/>
  <c r="N20" i="3"/>
  <c r="L27" i="1"/>
  <c r="M14" i="5"/>
  <c r="L26" i="1"/>
  <c r="M11" i="3"/>
  <c r="M9" i="3" s="1"/>
  <c r="L4" i="9"/>
  <c r="O14" i="2"/>
  <c r="O20" i="2" s="1"/>
  <c r="N20" i="2"/>
  <c r="N13" i="3"/>
  <c r="M19" i="1"/>
  <c r="N12" i="5"/>
  <c r="G12" i="5"/>
  <c r="N14" i="3"/>
  <c r="O41" i="2"/>
  <c r="K16" i="5"/>
  <c r="D16" i="5"/>
  <c r="M22" i="2"/>
  <c r="M44" i="2" s="1"/>
  <c r="M46" i="2" s="1"/>
  <c r="M54" i="2"/>
  <c r="L55" i="2"/>
  <c r="L44" i="3" s="1"/>
  <c r="L46" i="3" s="1"/>
  <c r="L38" i="3"/>
  <c r="L33" i="3" s="1"/>
  <c r="L40" i="3" s="1"/>
  <c r="L42" i="3" s="1"/>
  <c r="N26" i="3"/>
  <c r="O12" i="2"/>
  <c r="N12" i="2"/>
  <c r="F8" i="5"/>
  <c r="F11" i="5" s="1"/>
  <c r="F14" i="5" s="1"/>
  <c r="M8" i="5"/>
  <c r="M11" i="5" s="1"/>
  <c r="J35" i="5"/>
  <c r="L50" i="2"/>
  <c r="L51" i="2"/>
  <c r="L62" i="2" s="1"/>
  <c r="L46" i="2"/>
  <c r="N31" i="1"/>
  <c r="N15" i="1"/>
  <c r="N16" i="1" s="1"/>
  <c r="N19" i="1" s="1"/>
  <c r="O49" i="2"/>
  <c r="O34" i="2"/>
  <c r="E14" i="5"/>
  <c r="N8" i="5" l="1"/>
  <c r="N11" i="5" s="1"/>
  <c r="K40" i="3"/>
  <c r="K42" i="3" s="1"/>
  <c r="N22" i="3"/>
  <c r="K20" i="5"/>
  <c r="K23" i="5" s="1"/>
  <c r="D19" i="5"/>
  <c r="D22" i="5" s="1"/>
  <c r="O43" i="2"/>
  <c r="N27" i="1"/>
  <c r="N26" i="1"/>
  <c r="O54" i="2"/>
  <c r="O22" i="2"/>
  <c r="O44" i="2" s="1"/>
  <c r="G14" i="5"/>
  <c r="M55" i="2"/>
  <c r="M44" i="3" s="1"/>
  <c r="M46" i="3" s="1"/>
  <c r="M38" i="3"/>
  <c r="M33" i="3" s="1"/>
  <c r="M40" i="3" s="1"/>
  <c r="M42" i="3" s="1"/>
  <c r="N11" i="3"/>
  <c r="N9" i="3" s="1"/>
  <c r="M27" i="1"/>
  <c r="M26" i="1"/>
  <c r="N14" i="5"/>
  <c r="M4" i="9"/>
  <c r="M50" i="2"/>
  <c r="M51" i="2"/>
  <c r="M62" i="2" s="1"/>
  <c r="O57" i="2"/>
  <c r="N54" i="2"/>
  <c r="N22" i="2"/>
  <c r="N44" i="2" s="1"/>
  <c r="L16" i="5"/>
  <c r="L20" i="5" s="1"/>
  <c r="L23" i="5" s="1"/>
  <c r="E16" i="5"/>
  <c r="E19" i="5" s="1"/>
  <c r="E22" i="5" s="1"/>
  <c r="O55" i="2" l="1"/>
  <c r="N46" i="2"/>
  <c r="N51" i="2"/>
  <c r="N62" i="2" s="1"/>
  <c r="N50" i="2"/>
  <c r="N55" i="2"/>
  <c r="N44" i="3" s="1"/>
  <c r="N46" i="3" s="1"/>
  <c r="N38" i="3"/>
  <c r="N33" i="3" s="1"/>
  <c r="N40" i="3" s="1"/>
  <c r="N42" i="3" s="1"/>
  <c r="M16" i="5"/>
  <c r="M20" i="5" s="1"/>
  <c r="M23" i="5" s="1"/>
  <c r="F16" i="5"/>
  <c r="F19" i="5" s="1"/>
  <c r="F22" i="5" s="1"/>
  <c r="O46" i="2"/>
  <c r="O51" i="2"/>
  <c r="O62" i="2" s="1"/>
  <c r="O50" i="2"/>
  <c r="N16" i="5" l="1"/>
  <c r="N20" i="5" s="1"/>
  <c r="N23" i="5" s="1"/>
  <c r="J30" i="5" s="1"/>
  <c r="J31" i="5" s="1"/>
  <c r="J32" i="5" s="1"/>
  <c r="G16" i="5"/>
  <c r="G19" i="5" s="1"/>
  <c r="G22" i="5" s="1"/>
  <c r="C24" i="5" s="1"/>
  <c r="C29" i="5" l="1"/>
  <c r="C30" i="5" s="1"/>
  <c r="C31" i="5" s="1"/>
  <c r="C33" i="5" s="1"/>
  <c r="C36" i="5" s="1"/>
  <c r="C38" i="5" s="1"/>
  <c r="C41" i="5" s="1" a="1"/>
  <c r="C41" i="5" s="1"/>
  <c r="J25" i="5"/>
  <c r="J34" i="5" s="1"/>
  <c r="J37" i="5" s="1"/>
  <c r="J39" i="5" s="1"/>
  <c r="J42" i="5" s="1" a="1"/>
  <c r="J4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<sst xmlns="http://schemas.openxmlformats.org/spreadsheetml/2006/main" count="639" uniqueCount="220">
  <si>
    <t>Year</t>
  </si>
  <si>
    <t>Revenue</t>
  </si>
  <si>
    <t>COGS</t>
  </si>
  <si>
    <t>Gross Profit</t>
  </si>
  <si>
    <t>Op. Expense</t>
  </si>
  <si>
    <t>EBIT</t>
  </si>
  <si>
    <t>non-op expense</t>
  </si>
  <si>
    <t>Pre-Tax Income</t>
  </si>
  <si>
    <t>Tax</t>
  </si>
  <si>
    <t>Net Income</t>
  </si>
  <si>
    <t>Other</t>
  </si>
  <si>
    <t>Shares Outstanding</t>
  </si>
  <si>
    <t>Basic</t>
  </si>
  <si>
    <t>Diluted</t>
  </si>
  <si>
    <t>EPS</t>
  </si>
  <si>
    <t>EBITDA</t>
  </si>
  <si>
    <t>D&amp;A</t>
  </si>
  <si>
    <t>CapEx</t>
  </si>
  <si>
    <t>Assets</t>
  </si>
  <si>
    <t>C.A.</t>
  </si>
  <si>
    <t>Cash and ST</t>
  </si>
  <si>
    <t>Acct Receivable</t>
  </si>
  <si>
    <t>Inventory</t>
  </si>
  <si>
    <t>Non-current</t>
  </si>
  <si>
    <t>LT-Investment</t>
  </si>
  <si>
    <t>PP&amp;E</t>
  </si>
  <si>
    <t>Net Intangible</t>
  </si>
  <si>
    <t>Deferred Charge</t>
  </si>
  <si>
    <t>Total</t>
  </si>
  <si>
    <t>Total Assets</t>
  </si>
  <si>
    <t>Liabilities</t>
  </si>
  <si>
    <t>C.L</t>
  </si>
  <si>
    <t>ST Debt</t>
  </si>
  <si>
    <t>Acct Payable</t>
  </si>
  <si>
    <t>Income tax Payable</t>
  </si>
  <si>
    <t>Accrued Payroll</t>
  </si>
  <si>
    <t>Non-Current</t>
  </si>
  <si>
    <t>LT-Debt</t>
  </si>
  <si>
    <t>Provision</t>
  </si>
  <si>
    <t>Deferred Tax (L)</t>
  </si>
  <si>
    <t>Deferred Tax (A)</t>
  </si>
  <si>
    <t>Deferred Income (LT)</t>
  </si>
  <si>
    <t>Deferred income (ST)</t>
  </si>
  <si>
    <t xml:space="preserve">Total Equity </t>
  </si>
  <si>
    <t>Total Liabilities</t>
  </si>
  <si>
    <t>Total L&amp;E</t>
  </si>
  <si>
    <t>Total Debt</t>
  </si>
  <si>
    <t>Operations</t>
  </si>
  <si>
    <t>Investing</t>
  </si>
  <si>
    <t>Financing</t>
  </si>
  <si>
    <t>FCF (Calc)</t>
  </si>
  <si>
    <t>FCF (Actual)</t>
  </si>
  <si>
    <t>Diff</t>
  </si>
  <si>
    <t>Growth Estimate</t>
  </si>
  <si>
    <t>Tax Rate</t>
  </si>
  <si>
    <t>Asset to Rev Ratio</t>
  </si>
  <si>
    <t>Earnings Yield</t>
  </si>
  <si>
    <t>Dividend Yield</t>
  </si>
  <si>
    <t>S&amp;P 500</t>
  </si>
  <si>
    <t>CAGR</t>
  </si>
  <si>
    <t>DY</t>
  </si>
  <si>
    <t>1M Tbill</t>
  </si>
  <si>
    <t>2M Tbill</t>
  </si>
  <si>
    <t>3M Tbill</t>
  </si>
  <si>
    <t>4M Tbill</t>
  </si>
  <si>
    <t>6M Tbill</t>
  </si>
  <si>
    <t>1YR Tbill</t>
  </si>
  <si>
    <t>2YR Tnote</t>
  </si>
  <si>
    <t>3YR Tnote</t>
  </si>
  <si>
    <t>5YR Tnote</t>
  </si>
  <si>
    <t>7YR Tnote</t>
  </si>
  <si>
    <t>10YR Tbond</t>
  </si>
  <si>
    <t>20YR Tbond</t>
  </si>
  <si>
    <t>30YR Tbond</t>
  </si>
  <si>
    <t>10-yr Tbond</t>
  </si>
  <si>
    <t>MRP</t>
  </si>
  <si>
    <t>Date</t>
  </si>
  <si>
    <t>IBM</t>
  </si>
  <si>
    <t>%Chg (IBM)</t>
  </si>
  <si>
    <t>%Chg (S&amp;P)</t>
  </si>
  <si>
    <t>Beta</t>
  </si>
  <si>
    <t>WACC Calculation</t>
  </si>
  <si>
    <t>Debt/Equity</t>
  </si>
  <si>
    <t>weight of equity</t>
  </si>
  <si>
    <t>Cost of Equity</t>
  </si>
  <si>
    <t>Cost of Debt</t>
  </si>
  <si>
    <t>AT-Cost</t>
  </si>
  <si>
    <t>Weight of debt</t>
  </si>
  <si>
    <t>WACC</t>
  </si>
  <si>
    <t>Less: D&amp;A</t>
  </si>
  <si>
    <t>Plus: D&amp;A</t>
  </si>
  <si>
    <t>Less: CapEx</t>
  </si>
  <si>
    <t>Unlevered FCF</t>
  </si>
  <si>
    <t>Present Value of FCF</t>
  </si>
  <si>
    <t>Sum of Present FCFs</t>
  </si>
  <si>
    <t>FCF(t+1)</t>
  </si>
  <si>
    <t>Terminal Value</t>
  </si>
  <si>
    <t>PV of Terminal Value</t>
  </si>
  <si>
    <t>Enterprise Value</t>
  </si>
  <si>
    <t>Shares Outstanding  (Diluted)</t>
  </si>
  <si>
    <t>Equity Value</t>
  </si>
  <si>
    <t>Per Share Price</t>
  </si>
  <si>
    <t>NWC</t>
  </si>
  <si>
    <t>D/E</t>
  </si>
  <si>
    <t>Payout Ratio</t>
  </si>
  <si>
    <t>b(ret)</t>
  </si>
  <si>
    <t>ROE</t>
  </si>
  <si>
    <t>SGR</t>
  </si>
  <si>
    <t>ROA</t>
  </si>
  <si>
    <t>IGR</t>
  </si>
  <si>
    <t>BVPS</t>
  </si>
  <si>
    <t xml:space="preserve">EBIT </t>
  </si>
  <si>
    <t>NOPAT</t>
  </si>
  <si>
    <t xml:space="preserve">Enterprise Value </t>
  </si>
  <si>
    <t>Liabilities to Rev Ratio</t>
  </si>
  <si>
    <t>RF-Rate (20yr-Bond)</t>
  </si>
  <si>
    <t>Open</t>
  </si>
  <si>
    <t>High</t>
  </si>
  <si>
    <t>Low</t>
  </si>
  <si>
    <t>SPY</t>
  </si>
  <si>
    <t>%(Chg(S&amp;P)</t>
  </si>
  <si>
    <t>Count</t>
  </si>
  <si>
    <t>Comparable Ratios</t>
  </si>
  <si>
    <t>P/E</t>
  </si>
  <si>
    <t>P/CF</t>
  </si>
  <si>
    <t>P/BV</t>
  </si>
  <si>
    <t>P/S</t>
  </si>
  <si>
    <t>Industry Average</t>
  </si>
  <si>
    <t>Current Price</t>
  </si>
  <si>
    <t>Competitors</t>
  </si>
  <si>
    <t>Div Per Share</t>
  </si>
  <si>
    <t>Div Yield</t>
  </si>
  <si>
    <t>PO Ratio</t>
  </si>
  <si>
    <t>Avg:</t>
  </si>
  <si>
    <t>Avg</t>
  </si>
  <si>
    <t>Revenue Growth</t>
  </si>
  <si>
    <t>Profit Margin</t>
  </si>
  <si>
    <t>ROC</t>
  </si>
  <si>
    <t>LT Debt / Capital</t>
  </si>
  <si>
    <t>Total Debt / Capital</t>
  </si>
  <si>
    <t>Financial Ratios</t>
  </si>
  <si>
    <t>Liquidity</t>
  </si>
  <si>
    <t>Current Ratio</t>
  </si>
  <si>
    <t>Quick Ratio</t>
  </si>
  <si>
    <t>Asset Mgmt</t>
  </si>
  <si>
    <t>Inventory TO</t>
  </si>
  <si>
    <t>Fixed Asset TO</t>
  </si>
  <si>
    <t>Days Sales OS</t>
  </si>
  <si>
    <t>Debt Mgmt</t>
  </si>
  <si>
    <t>L-2-A</t>
  </si>
  <si>
    <t>D-2-Cap</t>
  </si>
  <si>
    <t>Equity Multiplier</t>
  </si>
  <si>
    <t>Times Int Earned</t>
  </si>
  <si>
    <t>Profitability</t>
  </si>
  <si>
    <t>Op. Margin</t>
  </si>
  <si>
    <t>ROI</t>
  </si>
  <si>
    <t>BEP</t>
  </si>
  <si>
    <t>Most Recent</t>
  </si>
  <si>
    <t>TAT</t>
  </si>
  <si>
    <t>Financial Ratios Overtime (IBM)</t>
  </si>
  <si>
    <t>Market Value</t>
  </si>
  <si>
    <t>MP / BV</t>
  </si>
  <si>
    <t>MP</t>
  </si>
  <si>
    <t>BV</t>
  </si>
  <si>
    <t>Value Approach</t>
  </si>
  <si>
    <t>Debt PMT</t>
  </si>
  <si>
    <t>Perpetutiy Growt= Rate</t>
  </si>
  <si>
    <t>Less: Debt RPMT</t>
  </si>
  <si>
    <t>Levered FCF</t>
  </si>
  <si>
    <t>SPY Historical</t>
  </si>
  <si>
    <t>Less: Working Capital Change</t>
  </si>
  <si>
    <t>GEOMEAN Rates</t>
  </si>
  <si>
    <t>Cash Flow Ops</t>
  </si>
  <si>
    <t>Change in Accounts Receivable</t>
  </si>
  <si>
    <t>Change in Inventories</t>
  </si>
  <si>
    <t>Change in Accounts Payable</t>
  </si>
  <si>
    <t>Change in Other Currnet Liabilities</t>
  </si>
  <si>
    <t>Cash Flow Investing</t>
  </si>
  <si>
    <t>Change in PP&amp;E</t>
  </si>
  <si>
    <t>Cash Flow Financing</t>
  </si>
  <si>
    <t>Change in ST-Notes Payable</t>
  </si>
  <si>
    <t>Change in LT-Debt</t>
  </si>
  <si>
    <t>Change in Common Stock</t>
  </si>
  <si>
    <t>Cash Dividends</t>
  </si>
  <si>
    <t>DIV</t>
  </si>
  <si>
    <t>Depreciation</t>
  </si>
  <si>
    <t>Accumulated Depreciation</t>
  </si>
  <si>
    <t>Change in Accrued Payroll</t>
  </si>
  <si>
    <t>Change in Deferred Income</t>
  </si>
  <si>
    <t>Change in Income Tax Payable</t>
  </si>
  <si>
    <t>Total Cash Flow</t>
  </si>
  <si>
    <t>Change in other current assets</t>
  </si>
  <si>
    <t>Change in LT-Investment</t>
  </si>
  <si>
    <t>Change in Deferred Charges</t>
  </si>
  <si>
    <t>FCFPS</t>
  </si>
  <si>
    <t>TCFPS</t>
  </si>
  <si>
    <t>Change in Other Non-Current Assets</t>
  </si>
  <si>
    <t>Slope for Beta</t>
  </si>
  <si>
    <t>Net income</t>
  </si>
  <si>
    <t>Change in NWC</t>
  </si>
  <si>
    <t>LCFPS</t>
  </si>
  <si>
    <t>Close </t>
  </si>
  <si>
    <t>Adj Close </t>
  </si>
  <si>
    <t>Volume</t>
  </si>
  <si>
    <t>AVGO</t>
  </si>
  <si>
    <t>% Chg (AVGO)</t>
  </si>
  <si>
    <t>AVGO Historical</t>
  </si>
  <si>
    <t>GEOMEAN RATES (IS)</t>
  </si>
  <si>
    <t>GEOMEAN RATES (BS)</t>
  </si>
  <si>
    <t>GEOMEAN RATES (CF)</t>
  </si>
  <si>
    <t>Yield on AAA Bond</t>
  </si>
  <si>
    <t>GEOMEAN (COMPS)</t>
  </si>
  <si>
    <t>AVGO DY</t>
  </si>
  <si>
    <t>% Chg (Assets)</t>
  </si>
  <si>
    <t>% Chg (Liabilities)</t>
  </si>
  <si>
    <t>GEOMEAN A/L 2 Rev</t>
  </si>
  <si>
    <t>Unlevered Approach</t>
  </si>
  <si>
    <t>Levered Approach</t>
  </si>
  <si>
    <t>Geomean Rates</t>
  </si>
  <si>
    <t>UPDATED***1/2/25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</si>
</sst>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0.0%"/>
    <numFmt numFmtId="167" formatCode="0.0000"/>
    <numFmt numFmtId="168" formatCode="0.000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232526"/>
      <name val="Helvetica"/>
      <family val="2"/>
    </font>
    <font>
      <b/>
      <sz val="12"/>
      <color rgb="FF232526"/>
      <name val="Helvetica"/>
      <family val="2"/>
    </font>
    <font>
      <sz val="12"/>
      <color rgb="FF232526"/>
      <name val="Helvetica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1B1B1B"/>
      <name val="Helvetica Neue"/>
      <family val="2"/>
    </font>
    <font>
      <i/>
      <sz val="12"/>
      <color theme="1"/>
      <name val="Aptos Narrow"/>
      <scheme val="minor"/>
    </font>
    <font>
      <sz val="14"/>
      <color rgb="FF232A31"/>
      <name val="Helvetica Neue"/>
      <family val="2"/>
    </font>
    <font>
      <b/>
      <sz val="24"/>
      <color theme="1"/>
      <name val="Aptos Narrow"/>
      <scheme val="minor"/>
    </font>
    <font>
      <b/>
      <sz val="26"/>
      <color theme="1"/>
      <name val="Aptos Narrow"/>
      <scheme val="minor"/>
    </font>
    <font>
      <b/>
      <sz val="28"/>
      <color theme="1"/>
      <name val="Aptos Narrow"/>
      <scheme val="minor"/>
    </font>
    <font>
      <b/>
      <sz val="36"/>
      <color theme="1"/>
      <name val="Aptos Narrow"/>
      <scheme val="minor"/>
    </font>
    <font>
      <b/>
      <sz val="36"/>
      <color rgb="FF232526"/>
      <name val="Helvetica"/>
      <family val="2"/>
    </font>
    <font>
      <b/>
      <sz val="20"/>
      <color theme="1"/>
      <name val="Aptos Narrow"/>
      <scheme val="minor"/>
    </font>
    <font>
      <b/>
      <sz val="14"/>
      <color rgb="FF232A31"/>
      <name val="Helvetica Neue"/>
      <family val="2"/>
    </font>
    <font>
      <b/>
      <sz val="18"/>
      <color theme="1"/>
      <name val="Aptos Narrow"/>
      <scheme val="minor"/>
    </font>
    <font>
      <b/>
      <sz val="18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8">
    <xf numFmtId="0" fontId="0" fillId="0" borderId="0" xfId="0"/>
    <xf numFmtId="164" fontId="0" fillId="0" borderId="0" xfId="0" applyNumberFormat="1"/>
    <xf numFmtId="44" fontId="0" fillId="0" borderId="0" xfId="0" applyNumberFormat="1"/>
    <xf numFmtId="0" fontId="0" fillId="0" borderId="2" xfId="0" applyBorder="1"/>
    <xf numFmtId="9" fontId="0" fillId="0" borderId="0" xfId="0" applyNumberFormat="1"/>
    <xf numFmtId="0" fontId="0" fillId="0" borderId="3" xfId="0" applyBorder="1"/>
    <xf numFmtId="4" fontId="5" fillId="0" borderId="0" xfId="0" applyNumberFormat="1" applyFont="1"/>
    <xf numFmtId="0" fontId="5" fillId="0" borderId="0" xfId="0" applyFont="1"/>
    <xf numFmtId="10" fontId="6" fillId="0" borderId="0" xfId="0" applyNumberFormat="1" applyFont="1"/>
    <xf numFmtId="15" fontId="7" fillId="0" borderId="0" xfId="0" applyNumberFormat="1" applyFont="1"/>
    <xf numFmtId="10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0" xfId="0" applyFont="1" applyBorder="1" applyAlignment="1">
      <alignment horizontal="center" vertical="center"/>
    </xf>
    <xf numFmtId="0" fontId="0" fillId="0" borderId="4" xfId="0" applyBorder="1"/>
    <xf numFmtId="10" fontId="0" fillId="0" borderId="6" xfId="2" applyNumberFormat="1" applyFont="1" applyBorder="1"/>
    <xf numFmtId="0" fontId="8" fillId="0" borderId="11" xfId="0" applyFont="1" applyBorder="1"/>
    <xf numFmtId="10" fontId="8" fillId="0" borderId="12" xfId="0" applyNumberFormat="1" applyFont="1" applyBorder="1"/>
    <xf numFmtId="10" fontId="8" fillId="0" borderId="9" xfId="0" applyNumberFormat="1" applyFont="1" applyBorder="1"/>
    <xf numFmtId="2" fontId="0" fillId="0" borderId="0" xfId="0" applyNumberForma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12" xfId="0" applyBorder="1"/>
    <xf numFmtId="10" fontId="0" fillId="0" borderId="12" xfId="0" applyNumberFormat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/>
    <xf numFmtId="10" fontId="8" fillId="0" borderId="6" xfId="0" applyNumberFormat="1" applyFont="1" applyBorder="1"/>
    <xf numFmtId="0" fontId="14" fillId="0" borderId="0" xfId="0" applyFont="1"/>
    <xf numFmtId="2" fontId="8" fillId="0" borderId="16" xfId="0" applyNumberFormat="1" applyFont="1" applyBorder="1"/>
    <xf numFmtId="2" fontId="0" fillId="0" borderId="2" xfId="0" applyNumberFormat="1" applyBorder="1"/>
    <xf numFmtId="0" fontId="4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0" fontId="0" fillId="0" borderId="17" xfId="0" applyBorder="1"/>
    <xf numFmtId="0" fontId="0" fillId="0" borderId="19" xfId="0" applyBorder="1"/>
    <xf numFmtId="2" fontId="0" fillId="0" borderId="20" xfId="0" applyNumberFormat="1" applyBorder="1"/>
    <xf numFmtId="0" fontId="0" fillId="0" borderId="21" xfId="0" applyBorder="1"/>
    <xf numFmtId="2" fontId="0" fillId="0" borderId="22" xfId="0" applyNumberFormat="1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164" fontId="0" fillId="0" borderId="0" xfId="1" applyNumberFormat="1" applyFont="1" applyBorder="1"/>
    <xf numFmtId="164" fontId="0" fillId="0" borderId="12" xfId="0" applyNumberFormat="1" applyBorder="1"/>
    <xf numFmtId="0" fontId="3" fillId="0" borderId="11" xfId="0" applyFont="1" applyBorder="1"/>
    <xf numFmtId="44" fontId="0" fillId="0" borderId="12" xfId="0" applyNumberFormat="1" applyBorder="1"/>
    <xf numFmtId="0" fontId="15" fillId="0" borderId="4" xfId="0" applyFont="1" applyBorder="1"/>
    <xf numFmtId="0" fontId="15" fillId="0" borderId="11" xfId="0" applyFont="1" applyBorder="1"/>
    <xf numFmtId="0" fontId="15" fillId="0" borderId="11" xfId="0" applyFont="1" applyBorder="1" applyAlignment="1">
      <alignment horizontal="right"/>
    </xf>
    <xf numFmtId="0" fontId="15" fillId="0" borderId="13" xfId="0" applyFont="1" applyBorder="1"/>
    <xf numFmtId="164" fontId="0" fillId="0" borderId="12" xfId="1" applyNumberFormat="1" applyFont="1" applyBorder="1"/>
    <xf numFmtId="44" fontId="0" fillId="0" borderId="0" xfId="1" applyFont="1" applyBorder="1"/>
    <xf numFmtId="44" fontId="0" fillId="0" borderId="12" xfId="1" applyFont="1" applyBorder="1"/>
    <xf numFmtId="164" fontId="0" fillId="0" borderId="8" xfId="1" applyNumberFormat="1" applyFont="1" applyBorder="1"/>
    <xf numFmtId="0" fontId="15" fillId="0" borderId="7" xfId="0" applyFont="1" applyBorder="1"/>
    <xf numFmtId="10" fontId="8" fillId="0" borderId="10" xfId="0" applyNumberFormat="1" applyFont="1" applyBorder="1"/>
    <xf numFmtId="0" fontId="8" fillId="0" borderId="10" xfId="0" applyFont="1" applyBorder="1"/>
    <xf numFmtId="0" fontId="11" fillId="0" borderId="10" xfId="0" applyFont="1" applyBorder="1"/>
    <xf numFmtId="10" fontId="11" fillId="0" borderId="10" xfId="0" applyNumberFormat="1" applyFont="1" applyBorder="1"/>
    <xf numFmtId="0" fontId="0" fillId="0" borderId="25" xfId="0" applyBorder="1"/>
    <xf numFmtId="0" fontId="8" fillId="0" borderId="20" xfId="0" applyFont="1" applyBorder="1"/>
    <xf numFmtId="0" fontId="8" fillId="0" borderId="19" xfId="0" applyFont="1" applyBorder="1"/>
    <xf numFmtId="0" fontId="11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10" fontId="11" fillId="0" borderId="26" xfId="0" applyNumberFormat="1" applyFont="1" applyBorder="1"/>
    <xf numFmtId="0" fontId="11" fillId="0" borderId="22" xfId="0" applyFont="1" applyBorder="1"/>
    <xf numFmtId="2" fontId="8" fillId="0" borderId="10" xfId="0" applyNumberFormat="1" applyFont="1" applyBorder="1"/>
    <xf numFmtId="10" fontId="0" fillId="0" borderId="10" xfId="2" applyNumberFormat="1" applyFont="1" applyBorder="1"/>
    <xf numFmtId="2" fontId="9" fillId="0" borderId="10" xfId="0" applyNumberFormat="1" applyFont="1" applyBorder="1"/>
    <xf numFmtId="0" fontId="8" fillId="0" borderId="17" xfId="0" applyFont="1" applyBorder="1"/>
    <xf numFmtId="10" fontId="8" fillId="0" borderId="25" xfId="0" applyNumberFormat="1" applyFont="1" applyBorder="1"/>
    <xf numFmtId="0" fontId="8" fillId="0" borderId="25" xfId="0" applyFont="1" applyBorder="1"/>
    <xf numFmtId="0" fontId="8" fillId="0" borderId="18" xfId="0" applyFont="1" applyBorder="1"/>
    <xf numFmtId="10" fontId="0" fillId="0" borderId="20" xfId="2" applyNumberFormat="1" applyFont="1" applyBorder="1"/>
    <xf numFmtId="2" fontId="0" fillId="0" borderId="26" xfId="0" applyNumberFormat="1" applyBorder="1"/>
    <xf numFmtId="9" fontId="0" fillId="0" borderId="20" xfId="0" applyNumberFormat="1" applyBorder="1"/>
    <xf numFmtId="9" fontId="0" fillId="0" borderId="20" xfId="2" applyFont="1" applyBorder="1"/>
    <xf numFmtId="10" fontId="0" fillId="0" borderId="20" xfId="0" applyNumberFormat="1" applyBorder="1"/>
    <xf numFmtId="0" fontId="0" fillId="0" borderId="26" xfId="0" applyBorder="1"/>
    <xf numFmtId="10" fontId="0" fillId="0" borderId="22" xfId="0" applyNumberFormat="1" applyBorder="1"/>
    <xf numFmtId="44" fontId="0" fillId="0" borderId="9" xfId="0" applyNumberFormat="1" applyBorder="1"/>
    <xf numFmtId="0" fontId="15" fillId="0" borderId="0" xfId="0" applyFont="1"/>
    <xf numFmtId="17" fontId="5" fillId="0" borderId="0" xfId="0" applyNumberFormat="1" applyFont="1"/>
    <xf numFmtId="10" fontId="0" fillId="0" borderId="2" xfId="2" applyNumberFormat="1" applyFont="1" applyBorder="1"/>
    <xf numFmtId="0" fontId="0" fillId="0" borderId="27" xfId="0" applyBorder="1"/>
    <xf numFmtId="2" fontId="0" fillId="0" borderId="27" xfId="0" applyNumberFormat="1" applyBorder="1"/>
    <xf numFmtId="2" fontId="0" fillId="0" borderId="12" xfId="0" applyNumberFormat="1" applyBorder="1"/>
    <xf numFmtId="0" fontId="3" fillId="0" borderId="28" xfId="0" applyFont="1" applyBorder="1"/>
    <xf numFmtId="0" fontId="3" fillId="0" borderId="29" xfId="0" applyFont="1" applyBorder="1"/>
    <xf numFmtId="2" fontId="0" fillId="0" borderId="31" xfId="0" applyNumberFormat="1" applyBorder="1"/>
    <xf numFmtId="0" fontId="0" fillId="0" borderId="16" xfId="0" applyBorder="1"/>
    <xf numFmtId="0" fontId="15" fillId="0" borderId="32" xfId="0" applyFont="1" applyBorder="1"/>
    <xf numFmtId="0" fontId="15" fillId="0" borderId="33" xfId="0" applyFont="1" applyBorder="1"/>
    <xf numFmtId="0" fontId="15" fillId="0" borderId="30" xfId="0" applyFont="1" applyBorder="1"/>
    <xf numFmtId="0" fontId="15" fillId="0" borderId="30" xfId="0" applyFont="1" applyBorder="1" applyAlignment="1">
      <alignment horizontal="left" indent="3"/>
    </xf>
    <xf numFmtId="0" fontId="15" fillId="0" borderId="34" xfId="0" applyFont="1" applyBorder="1"/>
    <xf numFmtId="0" fontId="0" fillId="0" borderId="35" xfId="0" applyBorder="1"/>
    <xf numFmtId="0" fontId="3" fillId="0" borderId="35" xfId="0" applyFont="1" applyBorder="1"/>
    <xf numFmtId="0" fontId="0" fillId="0" borderId="36" xfId="0" applyBorder="1"/>
    <xf numFmtId="0" fontId="0" fillId="0" borderId="24" xfId="0" applyBorder="1"/>
    <xf numFmtId="0" fontId="0" fillId="0" borderId="11" xfId="0" applyBorder="1"/>
    <xf numFmtId="10" fontId="0" fillId="0" borderId="16" xfId="0" applyNumberFormat="1" applyBorder="1"/>
    <xf numFmtId="0" fontId="12" fillId="0" borderId="32" xfId="0" applyFont="1" applyBorder="1" applyAlignment="1">
      <alignment horizontal="center" vertical="center"/>
    </xf>
    <xf numFmtId="0" fontId="16" fillId="0" borderId="11" xfId="0" applyFont="1" applyBorder="1"/>
    <xf numFmtId="0" fontId="16" fillId="0" borderId="0" xfId="0" applyFont="1"/>
    <xf numFmtId="3" fontId="16" fillId="0" borderId="12" xfId="0" applyNumberFormat="1" applyFont="1" applyBorder="1"/>
    <xf numFmtId="0" fontId="16" fillId="0" borderId="7" xfId="0" applyFont="1" applyBorder="1"/>
    <xf numFmtId="0" fontId="16" fillId="0" borderId="8" xfId="0" applyFont="1" applyBorder="1"/>
    <xf numFmtId="3" fontId="16" fillId="0" borderId="9" xfId="0" applyNumberFormat="1" applyFont="1" applyBorder="1"/>
    <xf numFmtId="15" fontId="16" fillId="0" borderId="11" xfId="0" applyNumberFormat="1" applyFont="1" applyBorder="1"/>
    <xf numFmtId="15" fontId="16" fillId="0" borderId="7" xfId="0" applyNumberFormat="1" applyFont="1" applyBorder="1"/>
    <xf numFmtId="0" fontId="11" fillId="0" borderId="38" xfId="0" applyFont="1" applyBorder="1"/>
    <xf numFmtId="2" fontId="0" fillId="0" borderId="39" xfId="0" applyNumberFormat="1" applyBorder="1"/>
    <xf numFmtId="0" fontId="11" fillId="0" borderId="39" xfId="0" applyFont="1" applyBorder="1"/>
    <xf numFmtId="10" fontId="0" fillId="0" borderId="39" xfId="2" applyNumberFormat="1" applyFont="1" applyBorder="1"/>
    <xf numFmtId="10" fontId="0" fillId="0" borderId="40" xfId="2" applyNumberFormat="1" applyFont="1" applyBorder="1"/>
    <xf numFmtId="10" fontId="0" fillId="0" borderId="0" xfId="2" applyNumberFormat="1" applyFont="1" applyBorder="1"/>
    <xf numFmtId="10" fontId="0" fillId="0" borderId="12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0" fontId="9" fillId="0" borderId="7" xfId="0" applyFont="1" applyBorder="1"/>
    <xf numFmtId="2" fontId="0" fillId="0" borderId="11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4" xfId="0" applyNumberFormat="1" applyBorder="1"/>
    <xf numFmtId="2" fontId="0" fillId="0" borderId="9" xfId="0" applyNumberFormat="1" applyBorder="1"/>
    <xf numFmtId="0" fontId="0" fillId="0" borderId="33" xfId="0" applyBorder="1"/>
    <xf numFmtId="0" fontId="0" fillId="0" borderId="30" xfId="0" applyBorder="1"/>
    <xf numFmtId="0" fontId="0" fillId="0" borderId="34" xfId="0" applyBorder="1"/>
    <xf numFmtId="165" fontId="0" fillId="0" borderId="2" xfId="0" applyNumberFormat="1" applyBorder="1"/>
    <xf numFmtId="9" fontId="0" fillId="0" borderId="8" xfId="2" applyFont="1" applyBorder="1"/>
    <xf numFmtId="9" fontId="0" fillId="0" borderId="8" xfId="0" applyNumberFormat="1" applyBorder="1"/>
    <xf numFmtId="9" fontId="0" fillId="0" borderId="9" xfId="0" applyNumberFormat="1" applyBorder="1"/>
    <xf numFmtId="165" fontId="0" fillId="0" borderId="0" xfId="0" applyNumberFormat="1"/>
    <xf numFmtId="165" fontId="0" fillId="0" borderId="12" xfId="0" applyNumberFormat="1" applyBorder="1"/>
    <xf numFmtId="0" fontId="0" fillId="0" borderId="30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9" fontId="0" fillId="0" borderId="30" xfId="0" applyNumberFormat="1" applyBorder="1"/>
    <xf numFmtId="0" fontId="3" fillId="0" borderId="30" xfId="0" applyFont="1" applyBorder="1"/>
    <xf numFmtId="0" fontId="2" fillId="0" borderId="30" xfId="0" applyFont="1" applyBorder="1"/>
    <xf numFmtId="0" fontId="9" fillId="0" borderId="15" xfId="0" applyFont="1" applyBorder="1"/>
    <xf numFmtId="0" fontId="0" fillId="0" borderId="41" xfId="0" applyBorder="1"/>
    <xf numFmtId="0" fontId="0" fillId="0" borderId="42" xfId="0" applyBorder="1"/>
    <xf numFmtId="0" fontId="15" fillId="0" borderId="19" xfId="0" applyFont="1" applyBorder="1"/>
    <xf numFmtId="0" fontId="0" fillId="0" borderId="43" xfId="0" applyBorder="1"/>
    <xf numFmtId="10" fontId="0" fillId="0" borderId="43" xfId="2" applyNumberFormat="1" applyFont="1" applyBorder="1"/>
    <xf numFmtId="0" fontId="15" fillId="0" borderId="44" xfId="0" applyFont="1" applyBorder="1"/>
    <xf numFmtId="0" fontId="0" fillId="0" borderId="45" xfId="0" applyBorder="1"/>
    <xf numFmtId="10" fontId="0" fillId="0" borderId="43" xfId="0" applyNumberFormat="1" applyBorder="1"/>
    <xf numFmtId="0" fontId="0" fillId="0" borderId="44" xfId="0" applyBorder="1"/>
    <xf numFmtId="0" fontId="0" fillId="0" borderId="46" xfId="0" applyBorder="1"/>
    <xf numFmtId="0" fontId="3" fillId="0" borderId="47" xfId="0" applyFont="1" applyBorder="1"/>
    <xf numFmtId="0" fontId="0" fillId="0" borderId="47" xfId="0" applyBorder="1"/>
    <xf numFmtId="2" fontId="0" fillId="0" borderId="47" xfId="0" applyNumberFormat="1" applyBorder="1"/>
    <xf numFmtId="2" fontId="0" fillId="0" borderId="48" xfId="0" applyNumberFormat="1" applyBorder="1"/>
    <xf numFmtId="10" fontId="0" fillId="0" borderId="6" xfId="0" applyNumberFormat="1" applyBorder="1"/>
    <xf numFmtId="0" fontId="15" fillId="0" borderId="30" xfId="0" applyFont="1" applyBorder="1" applyAlignment="1">
      <alignment horizontal="right"/>
    </xf>
    <xf numFmtId="0" fontId="3" fillId="0" borderId="30" xfId="0" applyFont="1" applyBorder="1" applyAlignment="1">
      <alignment horizontal="right"/>
    </xf>
    <xf numFmtId="0" fontId="23" fillId="0" borderId="0" xfId="0" applyFont="1"/>
    <xf numFmtId="15" fontId="16" fillId="0" borderId="0" xfId="0" applyNumberFormat="1" applyFont="1"/>
    <xf numFmtId="3" fontId="16" fillId="0" borderId="0" xfId="0" applyNumberFormat="1" applyFont="1"/>
    <xf numFmtId="0" fontId="23" fillId="0" borderId="4" xfId="0" applyFont="1" applyBorder="1"/>
    <xf numFmtId="0" fontId="23" fillId="0" borderId="5" xfId="0" applyFont="1" applyBorder="1"/>
    <xf numFmtId="0" fontId="23" fillId="0" borderId="6" xfId="0" applyFont="1" applyBorder="1"/>
    <xf numFmtId="0" fontId="0" fillId="0" borderId="51" xfId="0" applyBorder="1"/>
    <xf numFmtId="2" fontId="26" fillId="0" borderId="12" xfId="0" applyNumberFormat="1" applyFont="1" applyBorder="1"/>
    <xf numFmtId="2" fontId="26" fillId="0" borderId="8" xfId="0" applyNumberFormat="1" applyFont="1" applyBorder="1"/>
    <xf numFmtId="2" fontId="26" fillId="0" borderId="9" xfId="0" applyNumberFormat="1" applyFont="1" applyBorder="1"/>
    <xf numFmtId="0" fontId="0" fillId="0" borderId="30" xfId="0" applyBorder="1" applyAlignment="1">
      <alignment horizontal="right"/>
    </xf>
    <xf numFmtId="165" fontId="0" fillId="0" borderId="0" xfId="1" applyNumberFormat="1" applyFont="1" applyBorder="1"/>
    <xf numFmtId="165" fontId="0" fillId="0" borderId="12" xfId="1" applyNumberFormat="1" applyFont="1" applyBorder="1"/>
    <xf numFmtId="0" fontId="3" fillId="0" borderId="46" xfId="0" applyFont="1" applyBorder="1"/>
    <xf numFmtId="9" fontId="0" fillId="0" borderId="47" xfId="0" applyNumberFormat="1" applyBorder="1"/>
    <xf numFmtId="0" fontId="2" fillId="0" borderId="47" xfId="0" applyFont="1" applyBorder="1"/>
    <xf numFmtId="0" fontId="0" fillId="0" borderId="48" xfId="0" applyBorder="1"/>
    <xf numFmtId="0" fontId="15" fillId="0" borderId="46" xfId="0" applyFont="1" applyBorder="1"/>
    <xf numFmtId="0" fontId="15" fillId="0" borderId="47" xfId="0" applyFont="1" applyBorder="1"/>
    <xf numFmtId="0" fontId="15" fillId="0" borderId="49" xfId="0" applyFont="1" applyBorder="1"/>
    <xf numFmtId="0" fontId="15" fillId="0" borderId="47" xfId="0" applyFont="1" applyBorder="1" applyAlignment="1">
      <alignment horizontal="right"/>
    </xf>
    <xf numFmtId="0" fontId="15" fillId="0" borderId="48" xfId="0" applyFont="1" applyBorder="1"/>
    <xf numFmtId="0" fontId="3" fillId="0" borderId="47" xfId="0" applyFont="1" applyBorder="1" applyAlignment="1">
      <alignment horizontal="right"/>
    </xf>
    <xf numFmtId="165" fontId="0" fillId="0" borderId="1" xfId="1" applyNumberFormat="1" applyFont="1" applyBorder="1"/>
    <xf numFmtId="165" fontId="0" fillId="0" borderId="14" xfId="1" applyNumberFormat="1" applyFont="1" applyBorder="1"/>
    <xf numFmtId="165" fontId="0" fillId="0" borderId="2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165" fontId="2" fillId="0" borderId="0" xfId="0" applyNumberFormat="1" applyFont="1"/>
    <xf numFmtId="165" fontId="2" fillId="0" borderId="2" xfId="0" applyNumberFormat="1" applyFont="1" applyBorder="1"/>
    <xf numFmtId="165" fontId="2" fillId="0" borderId="12" xfId="0" applyNumberFormat="1" applyFont="1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4" xfId="0" applyNumberFormat="1" applyBorder="1"/>
    <xf numFmtId="165" fontId="2" fillId="0" borderId="0" xfId="1" applyNumberFormat="1" applyFont="1" applyBorder="1"/>
    <xf numFmtId="165" fontId="2" fillId="0" borderId="2" xfId="1" applyNumberFormat="1" applyFont="1" applyBorder="1"/>
    <xf numFmtId="165" fontId="2" fillId="0" borderId="12" xfId="1" applyNumberFormat="1" applyFont="1" applyBorder="1"/>
    <xf numFmtId="165" fontId="0" fillId="0" borderId="0" xfId="2" applyNumberFormat="1" applyFont="1" applyBorder="1"/>
    <xf numFmtId="165" fontId="0" fillId="0" borderId="2" xfId="2" applyNumberFormat="1" applyFont="1" applyBorder="1"/>
    <xf numFmtId="165" fontId="0" fillId="0" borderId="8" xfId="0" applyNumberFormat="1" applyBorder="1"/>
    <xf numFmtId="165" fontId="0" fillId="0" borderId="24" xfId="0" applyNumberFormat="1" applyBorder="1"/>
    <xf numFmtId="165" fontId="0" fillId="0" borderId="9" xfId="0" applyNumberFormat="1" applyBorder="1"/>
    <xf numFmtId="9" fontId="0" fillId="0" borderId="11" xfId="0" applyNumberFormat="1" applyBorder="1"/>
    <xf numFmtId="0" fontId="2" fillId="0" borderId="11" xfId="0" applyFont="1" applyBorder="1"/>
    <xf numFmtId="166" fontId="0" fillId="0" borderId="47" xfId="2" applyNumberFormat="1" applyFont="1" applyBorder="1"/>
    <xf numFmtId="166" fontId="0" fillId="0" borderId="48" xfId="2" applyNumberFormat="1" applyFont="1" applyBorder="1"/>
    <xf numFmtId="0" fontId="3" fillId="0" borderId="11" xfId="0" applyFont="1" applyBorder="1" applyAlignment="1">
      <alignment horizontal="right"/>
    </xf>
    <xf numFmtId="10" fontId="0" fillId="0" borderId="47" xfId="2" applyNumberFormat="1" applyFont="1" applyBorder="1"/>
    <xf numFmtId="43" fontId="0" fillId="0" borderId="0" xfId="3" applyFont="1" applyBorder="1"/>
    <xf numFmtId="0" fontId="0" fillId="0" borderId="5" xfId="3" applyNumberFormat="1" applyFont="1" applyBorder="1"/>
    <xf numFmtId="0" fontId="0" fillId="0" borderId="23" xfId="3" applyNumberFormat="1" applyFont="1" applyBorder="1"/>
    <xf numFmtId="0" fontId="0" fillId="0" borderId="6" xfId="3" applyNumberFormat="1" applyFont="1" applyBorder="1"/>
    <xf numFmtId="0" fontId="3" fillId="0" borderId="0" xfId="0" applyFont="1"/>
    <xf numFmtId="167" fontId="0" fillId="0" borderId="6" xfId="0" applyNumberFormat="1" applyBorder="1"/>
    <xf numFmtId="167" fontId="0" fillId="0" borderId="12" xfId="0" applyNumberFormat="1" applyBorder="1"/>
    <xf numFmtId="167" fontId="0" fillId="0" borderId="9" xfId="0" applyNumberFormat="1" applyBorder="1"/>
    <xf numFmtId="2" fontId="0" fillId="0" borderId="33" xfId="0" applyNumberFormat="1" applyBorder="1"/>
    <xf numFmtId="2" fontId="0" fillId="0" borderId="30" xfId="0" applyNumberFormat="1" applyBorder="1"/>
    <xf numFmtId="9" fontId="0" fillId="0" borderId="9" xfId="2" applyFont="1" applyBorder="1"/>
    <xf numFmtId="43" fontId="0" fillId="0" borderId="12" xfId="0" applyNumberFormat="1" applyBorder="1"/>
    <xf numFmtId="165" fontId="0" fillId="0" borderId="5" xfId="1" applyNumberFormat="1" applyFont="1" applyBorder="1"/>
    <xf numFmtId="165" fontId="0" fillId="0" borderId="2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3" fillId="0" borderId="49" xfId="0" applyFont="1" applyBorder="1"/>
    <xf numFmtId="0" fontId="0" fillId="0" borderId="52" xfId="0" applyBorder="1"/>
    <xf numFmtId="0" fontId="3" fillId="0" borderId="52" xfId="0" applyFont="1" applyBorder="1"/>
    <xf numFmtId="0" fontId="0" fillId="0" borderId="53" xfId="0" applyBorder="1"/>
    <xf numFmtId="166" fontId="0" fillId="0" borderId="12" xfId="2" applyNumberFormat="1" applyFont="1" applyBorder="1"/>
    <xf numFmtId="166" fontId="0" fillId="0" borderId="9" xfId="2" applyNumberFormat="1" applyFont="1" applyBorder="1"/>
    <xf numFmtId="0" fontId="3" fillId="0" borderId="41" xfId="0" applyFont="1" applyBorder="1"/>
    <xf numFmtId="0" fontId="0" fillId="0" borderId="54" xfId="0" applyBorder="1"/>
    <xf numFmtId="0" fontId="3" fillId="0" borderId="54" xfId="0" applyFont="1" applyBorder="1"/>
    <xf numFmtId="0" fontId="0" fillId="0" borderId="55" xfId="0" applyBorder="1"/>
    <xf numFmtId="166" fontId="0" fillId="0" borderId="10" xfId="2" applyNumberFormat="1" applyFont="1" applyBorder="1"/>
    <xf numFmtId="166" fontId="0" fillId="0" borderId="20" xfId="2" applyNumberFormat="1" applyFont="1" applyBorder="1"/>
    <xf numFmtId="166" fontId="0" fillId="0" borderId="26" xfId="2" applyNumberFormat="1" applyFont="1" applyBorder="1"/>
    <xf numFmtId="166" fontId="0" fillId="0" borderId="22" xfId="2" applyNumberFormat="1" applyFont="1" applyBorder="1"/>
    <xf numFmtId="0" fontId="0" fillId="0" borderId="12" xfId="2" applyNumberFormat="1" applyFont="1" applyBorder="1"/>
    <xf numFmtId="168" fontId="0" fillId="0" borderId="0" xfId="2" applyNumberFormat="1" applyFont="1" applyBorder="1"/>
    <xf numFmtId="168" fontId="0" fillId="0" borderId="12" xfId="2" applyNumberFormat="1" applyFont="1" applyBorder="1"/>
    <xf numFmtId="168" fontId="0" fillId="0" borderId="8" xfId="2" applyNumberFormat="1" applyFont="1" applyBorder="1"/>
    <xf numFmtId="168" fontId="0" fillId="0" borderId="9" xfId="2" applyNumberFormat="1" applyFont="1" applyBorder="1"/>
    <xf numFmtId="0" fontId="0" fillId="0" borderId="34" xfId="0" applyBorder="1" applyAlignment="1">
      <alignment horizontal="right"/>
    </xf>
    <xf numFmtId="0" fontId="0" fillId="0" borderId="37" xfId="0" applyBorder="1"/>
    <xf numFmtId="43" fontId="0" fillId="0" borderId="12" xfId="3" applyFont="1" applyBorder="1"/>
    <xf numFmtId="0" fontId="0" fillId="0" borderId="46" xfId="0" applyBorder="1" applyAlignment="1">
      <alignment horizontal="left"/>
    </xf>
    <xf numFmtId="166" fontId="0" fillId="0" borderId="6" xfId="2" applyNumberFormat="1" applyFont="1" applyBorder="1"/>
    <xf numFmtId="166" fontId="0" fillId="0" borderId="6" xfId="0" applyNumberFormat="1" applyBorder="1"/>
    <xf numFmtId="166" fontId="0" fillId="0" borderId="12" xfId="0" applyNumberFormat="1" applyBorder="1"/>
    <xf numFmtId="166" fontId="0" fillId="0" borderId="9" xfId="0" applyNumberFormat="1" applyBorder="1"/>
    <xf numFmtId="0" fontId="3" fillId="0" borderId="57" xfId="0" applyFont="1" applyBorder="1"/>
    <xf numFmtId="2" fontId="0" fillId="0" borderId="6" xfId="0" applyNumberFormat="1" applyBorder="1"/>
    <xf numFmtId="0" fontId="0" fillId="0" borderId="28" xfId="0" applyBorder="1"/>
    <xf numFmtId="0" fontId="0" fillId="0" borderId="29" xfId="0" applyBorder="1"/>
    <xf numFmtId="2" fontId="26" fillId="0" borderId="0" xfId="0" applyNumberFormat="1" applyFont="1"/>
    <xf numFmtId="0" fontId="22" fillId="0" borderId="4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10" fontId="21" fillId="0" borderId="4" xfId="0" applyNumberFormat="1" applyFont="1" applyBorder="1" applyAlignment="1">
      <alignment horizontal="center"/>
    </xf>
    <xf numFmtId="10" fontId="21" fillId="0" borderId="5" xfId="0" applyNumberFormat="1" applyFont="1" applyBorder="1" applyAlignment="1">
      <alignment horizontal="center"/>
    </xf>
    <xf numFmtId="10" fontId="21" fillId="0" borderId="6" xfId="0" applyNumberFormat="1" applyFont="1" applyBorder="1" applyAlignment="1">
      <alignment horizontal="center"/>
    </xf>
    <xf numFmtId="10" fontId="21" fillId="0" borderId="11" xfId="0" applyNumberFormat="1" applyFont="1" applyBorder="1" applyAlignment="1">
      <alignment horizontal="center"/>
    </xf>
    <xf numFmtId="10" fontId="21" fillId="0" borderId="0" xfId="0" applyNumberFormat="1" applyFont="1" applyAlignment="1">
      <alignment horizontal="center"/>
    </xf>
    <xf numFmtId="10" fontId="21" fillId="0" borderId="12" xfId="0" applyNumberFormat="1" applyFont="1" applyBorder="1" applyAlignment="1">
      <alignment horizontal="center"/>
    </xf>
    <xf numFmtId="10" fontId="21" fillId="0" borderId="7" xfId="0" applyNumberFormat="1" applyFont="1" applyBorder="1" applyAlignment="1">
      <alignment horizontal="center"/>
    </xf>
    <xf numFmtId="10" fontId="21" fillId="0" borderId="8" xfId="0" applyNumberFormat="1" applyFont="1" applyBorder="1" applyAlignment="1">
      <alignment horizontal="center"/>
    </xf>
    <xf numFmtId="10" fontId="21" fillId="0" borderId="9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5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56" xfId="0" applyFont="1" applyBorder="1" applyAlignment="1">
      <alignment horizontal="center"/>
    </xf>
    <xf numFmtId="2" fontId="24" fillId="0" borderId="4" xfId="0" applyNumberFormat="1" applyFont="1" applyBorder="1" applyAlignment="1">
      <alignment horizontal="center"/>
    </xf>
    <xf numFmtId="2" fontId="24" fillId="0" borderId="6" xfId="0" applyNumberFormat="1" applyFont="1" applyBorder="1" applyAlignment="1">
      <alignment horizontal="center"/>
    </xf>
    <xf numFmtId="2" fontId="24" fillId="0" borderId="7" xfId="0" applyNumberFormat="1" applyFont="1" applyBorder="1" applyAlignment="1">
      <alignment horizontal="center"/>
    </xf>
    <xf numFmtId="2" fontId="24" fillId="0" borderId="9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Comps!$F$26</c:f>
              <c:strCache>
                <c:ptCount val="1"/>
                <c:pt idx="0">
                  <c:v>Current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Comps!$G$26:$M$26</c:f>
              <c:numCache>
                <c:formatCode>0.00</c:formatCode>
                <c:ptCount val="7"/>
                <c:pt idx="0">
                  <c:v>6.2694136291600637</c:v>
                </c:pt>
                <c:pt idx="1">
                  <c:v>3.8926432848588539</c:v>
                </c:pt>
                <c:pt idx="2">
                  <c:v>1.4364584842776409</c:v>
                </c:pt>
                <c:pt idx="3">
                  <c:v>1.8673677601632397</c:v>
                </c:pt>
                <c:pt idx="4">
                  <c:v>2.6367249602543721</c:v>
                </c:pt>
                <c:pt idx="5">
                  <c:v>2.6266137040714996</c:v>
                </c:pt>
                <c:pt idx="6">
                  <c:v>2.8132253711201081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D-DE4C-A803-7A86F28E0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Comps!$F$27</c:f>
              <c:strCache>
                <c:ptCount val="1"/>
                <c:pt idx="0">
                  <c:v>Quick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Comps!$G$27:$M$27</c:f>
              <c:numCache>
                <c:formatCode>0.00</c:formatCode>
                <c:ptCount val="7"/>
                <c:pt idx="0">
                  <c:v>4.54675118858954</c:v>
                </c:pt>
                <c:pt idx="1">
                  <c:v>2.6770744225834044</c:v>
                </c:pt>
                <c:pt idx="2">
                  <c:v>0.97188813215476022</c:v>
                </c:pt>
                <c:pt idx="3">
                  <c:v>1.2467430544655471</c:v>
                </c:pt>
                <c:pt idx="4">
                  <c:v>1.8879173290937996</c:v>
                </c:pt>
                <c:pt idx="5">
                  <c:v>1.7371258334515534</c:v>
                </c:pt>
                <c:pt idx="6">
                  <c:v>1.8669365721997302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1-B64E-A367-578506B0F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Comps!$F$30</c:f>
              <c:strCache>
                <c:ptCount val="1"/>
                <c:pt idx="0">
                  <c:v>Inventory 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Comps!$G$30:$M$30</c:f>
              <c:numCache>
                <c:formatCode>0.00</c:formatCode>
                <c:ptCount val="7"/>
                <c:pt idx="0">
                  <c:v>12.165517241379311</c:v>
                </c:pt>
                <c:pt idx="1">
                  <c:v>18.616071428571427</c:v>
                </c:pt>
                <c:pt idx="2">
                  <c:v>25.858123569794049</c:v>
                </c:pt>
                <c:pt idx="3">
                  <c:v>23.89</c:v>
                </c:pt>
                <c:pt idx="4">
                  <c:v>21.115384615384617</c:v>
                </c:pt>
                <c:pt idx="5">
                  <c:v>17.202072538860104</c:v>
                </c:pt>
                <c:pt idx="6">
                  <c:v>18.852631578947367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4-794B-8988-C4FC2F91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Comps!$F$31</c:f>
              <c:strCache>
                <c:ptCount val="1"/>
                <c:pt idx="0">
                  <c:v>Fixed Asset 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Comps!$G$31:$M$31</c:f>
              <c:numCache>
                <c:formatCode>0.00</c:formatCode>
                <c:ptCount val="7"/>
                <c:pt idx="0">
                  <c:v>-8.28169014084507</c:v>
                </c:pt>
                <c:pt idx="1">
                  <c:v>-14.580419580419585</c:v>
                </c:pt>
                <c:pt idx="2">
                  <c:v>-7.0186335403726705</c:v>
                </c:pt>
                <c:pt idx="3">
                  <c:v>-6.2703412073490812</c:v>
                </c:pt>
                <c:pt idx="4">
                  <c:v>-8.8548387096774199</c:v>
                </c:pt>
                <c:pt idx="5">
                  <c:v>-14.821428571428573</c:v>
                </c:pt>
                <c:pt idx="6">
                  <c:v>-29.603305785123968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F-DF42-9695-1C4DFBA6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Comps!$F$32</c:f>
              <c:strCache>
                <c:ptCount val="1"/>
                <c:pt idx="0">
                  <c:v>Days Sales 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Comps!$G$32:$M$32</c:f>
              <c:numCache>
                <c:formatCode>0.00</c:formatCode>
                <c:ptCount val="7"/>
                <c:pt idx="0">
                  <c:v>50.694444444444443</c:v>
                </c:pt>
                <c:pt idx="1">
                  <c:v>59.345323741007192</c:v>
                </c:pt>
                <c:pt idx="2">
                  <c:v>52.650442477876105</c:v>
                </c:pt>
                <c:pt idx="3">
                  <c:v>35.140226035998325</c:v>
                </c:pt>
                <c:pt idx="4">
                  <c:v>27.524590163934423</c:v>
                </c:pt>
                <c:pt idx="5">
                  <c:v>32.542168674698793</c:v>
                </c:pt>
                <c:pt idx="6">
                  <c:v>32.097989949748744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9-2243-8BE8-788187C84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Comps!$F$33</c:f>
              <c:strCache>
                <c:ptCount val="1"/>
                <c:pt idx="0">
                  <c:v>TAT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Comps!$G$33:$M$33</c:f>
              <c:numCache>
                <c:formatCode>0.00</c:formatCode>
                <c:ptCount val="7"/>
                <c:pt idx="0">
                  <c:v>0.32413362243210464</c:v>
                </c:pt>
                <c:pt idx="1">
                  <c:v>0.4161012213618584</c:v>
                </c:pt>
                <c:pt idx="2">
                  <c:v>0.33488427229351275</c:v>
                </c:pt>
                <c:pt idx="3">
                  <c:v>0.31459875161315809</c:v>
                </c:pt>
                <c:pt idx="4">
                  <c:v>0.36326341560246145</c:v>
                </c:pt>
                <c:pt idx="5">
                  <c:v>0.45314952569439709</c:v>
                </c:pt>
                <c:pt idx="6">
                  <c:v>0.49158729723053274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B-1F40-9142-67B52E4AE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Comps!$F$36</c:f>
              <c:strCache>
                <c:ptCount val="1"/>
                <c:pt idx="0">
                  <c:v>L-2-A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Comps!$G$36:$M$36</c:f>
              <c:numCache>
                <c:formatCode>0.00</c:formatCode>
                <c:ptCount val="7"/>
                <c:pt idx="0">
                  <c:v>0.57377531145492633</c:v>
                </c:pt>
                <c:pt idx="1">
                  <c:v>0.46832841063303265</c:v>
                </c:pt>
                <c:pt idx="2">
                  <c:v>0.63011587588536877</c:v>
                </c:pt>
                <c:pt idx="3">
                  <c:v>0.68523005609839605</c:v>
                </c:pt>
                <c:pt idx="4">
                  <c:v>0.66952954410110499</c:v>
                </c:pt>
                <c:pt idx="5">
                  <c:v>0.68974271480242955</c:v>
                </c:pt>
                <c:pt idx="6">
                  <c:v>0.67076551478055613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5-8B41-B2E7-47138664C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Comps!$F$37</c:f>
              <c:strCache>
                <c:ptCount val="1"/>
                <c:pt idx="0">
                  <c:v>D-2-Cap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Comps!$G$37:$M$37</c:f>
              <c:numCache>
                <c:formatCode>0.00</c:formatCode>
                <c:ptCount val="7"/>
                <c:pt idx="0">
                  <c:v>0.43067520801119213</c:v>
                </c:pt>
                <c:pt idx="1">
                  <c:v>0.39632004713240127</c:v>
                </c:pt>
                <c:pt idx="2">
                  <c:v>0.56784737370589666</c:v>
                </c:pt>
                <c:pt idx="3">
                  <c:v>0.63556944656197589</c:v>
                </c:pt>
                <c:pt idx="4">
                  <c:v>0.61725802743505254</c:v>
                </c:pt>
                <c:pt idx="5">
                  <c:v>0.63749302288493737</c:v>
                </c:pt>
                <c:pt idx="6">
                  <c:v>0.62303582652419864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4-8646-BB73-55F9FE9B5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Comps!$F$38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Comps!$G$38:$M$38</c:f>
              <c:numCache>
                <c:formatCode>0.00</c:formatCode>
                <c:ptCount val="7"/>
                <c:pt idx="0">
                  <c:v>2.3461803759268838</c:v>
                </c:pt>
                <c:pt idx="1">
                  <c:v>1.8808603280657632</c:v>
                </c:pt>
                <c:pt idx="2">
                  <c:v>2.7035493950805223</c:v>
                </c:pt>
                <c:pt idx="3">
                  <c:v>3.1769233987365602</c:v>
                </c:pt>
                <c:pt idx="4">
                  <c:v>3.0259891078007368</c:v>
                </c:pt>
                <c:pt idx="5">
                  <c:v>3.2231314064493422</c:v>
                </c:pt>
                <c:pt idx="6">
                  <c:v>3.0373488953730723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7-FA41-83D1-C926C6111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Comps!$F$39</c:f>
              <c:strCache>
                <c:ptCount val="1"/>
                <c:pt idx="0">
                  <c:v>Times Int Earned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Comps!$G$39:$M$39</c:f>
              <c:numCache>
                <c:formatCode>0.00</c:formatCode>
                <c:ptCount val="7"/>
                <c:pt idx="0">
                  <c:v>3.1242740998838561</c:v>
                </c:pt>
                <c:pt idx="1">
                  <c:v>6.3938315539739028</c:v>
                </c:pt>
                <c:pt idx="2">
                  <c:v>2.0619047619047617</c:v>
                </c:pt>
                <c:pt idx="3">
                  <c:v>2.2827225130890052</c:v>
                </c:pt>
                <c:pt idx="4">
                  <c:v>4.526041666666667</c:v>
                </c:pt>
                <c:pt idx="5">
                  <c:v>7.7189189189189209</c:v>
                </c:pt>
                <c:pt idx="6">
                  <c:v>12.102941176470589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7-4C40-9D88-3B88125D8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Comps!$F$42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Comps!$G$42:$M$42</c:f>
              <c:numCache>
                <c:formatCode>0.00</c:formatCode>
                <c:ptCount val="7"/>
                <c:pt idx="0">
                  <c:v>9.6145124716553287E-2</c:v>
                </c:pt>
                <c:pt idx="1">
                  <c:v>0.58786570743405275</c:v>
                </c:pt>
                <c:pt idx="2">
                  <c:v>0.12070796460176991</c:v>
                </c:pt>
                <c:pt idx="3">
                  <c:v>0.12419422352448724</c:v>
                </c:pt>
                <c:pt idx="4">
                  <c:v>0.24557377049180329</c:v>
                </c:pt>
                <c:pt idx="5">
                  <c:v>0.34611445783132538</c:v>
                </c:pt>
                <c:pt idx="6">
                  <c:v>0.39335566722501397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D-D845-B933-1A2FAF6A1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Comps!$F$43</c:f>
              <c:strCache>
                <c:ptCount val="1"/>
                <c:pt idx="0">
                  <c:v>Op.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Comps!$G$43:$M$43</c:f>
              <c:numCache>
                <c:formatCode>0.00</c:formatCode>
                <c:ptCount val="7"/>
                <c:pt idx="0">
                  <c:v>0.15249433106575963</c:v>
                </c:pt>
                <c:pt idx="1">
                  <c:v>0.25851318944844126</c:v>
                </c:pt>
                <c:pt idx="2">
                  <c:v>0.19159292035398229</c:v>
                </c:pt>
                <c:pt idx="3">
                  <c:v>0.18250313938886564</c:v>
                </c:pt>
                <c:pt idx="4">
                  <c:v>0.31657559198542806</c:v>
                </c:pt>
                <c:pt idx="5">
                  <c:v>0.43012048192771091</c:v>
                </c:pt>
                <c:pt idx="6">
                  <c:v>0.45951982132886654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B47-8176-76101A6AB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Comps!$F$44</c:f>
              <c:strCache>
                <c:ptCount val="1"/>
                <c:pt idx="0">
                  <c:v>ROA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Comps!$G$44:$M$44</c:f>
              <c:numCache>
                <c:formatCode>0.00</c:formatCode>
                <c:ptCount val="7"/>
                <c:pt idx="0">
                  <c:v>3.1163867553562898E-2</c:v>
                </c:pt>
                <c:pt idx="1">
                  <c:v>0.24461163886006226</c:v>
                </c:pt>
                <c:pt idx="2">
                  <c:v>4.042319888569481E-2</c:v>
                </c:pt>
                <c:pt idx="3">
                  <c:v>3.9071347678369193E-2</c:v>
                </c:pt>
                <c:pt idx="4">
                  <c:v>8.9207966651227419E-2</c:v>
                </c:pt>
                <c:pt idx="5">
                  <c:v>0.15684160240223849</c:v>
                </c:pt>
                <c:pt idx="6">
                  <c:v>0.19336864930145747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D-7A4B-BE69-AE5997DEE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Comps!$F$45</c:f>
              <c:strCache>
                <c:ptCount val="1"/>
                <c:pt idx="0">
                  <c:v>ROE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Comps!$G$45:$M$45</c:f>
              <c:numCache>
                <c:formatCode>0.00</c:formatCode>
                <c:ptCount val="7"/>
                <c:pt idx="0">
                  <c:v>7.3116054492153817E-2</c:v>
                </c:pt>
                <c:pt idx="1">
                  <c:v>0.46008032731504073</c:v>
                </c:pt>
                <c:pt idx="2">
                  <c:v>0.10928611489463985</c:v>
                </c:pt>
                <c:pt idx="3">
                  <c:v>0.12412667865958248</c:v>
                </c:pt>
                <c:pt idx="4">
                  <c:v>0.26994233541566554</c:v>
                </c:pt>
                <c:pt idx="5">
                  <c:v>0.50552109454049554</c:v>
                </c:pt>
                <c:pt idx="6">
                  <c:v>0.58732805335556482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C-2A4C-B760-29E74A34E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Comps!$F$46</c:f>
              <c:strCache>
                <c:ptCount val="1"/>
                <c:pt idx="0">
                  <c:v>ROI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Comps!$G$46:$M$46</c:f>
              <c:numCache>
                <c:formatCode>0.00</c:formatCode>
                <c:ptCount val="7"/>
                <c:pt idx="0">
                  <c:v>4.403210367425079E-2</c:v>
                </c:pt>
                <c:pt idx="1">
                  <c:v>0.28612539937912124</c:v>
                </c:pt>
                <c:pt idx="2">
                  <c:v>4.7436030608358437E-2</c:v>
                </c:pt>
                <c:pt idx="3">
                  <c:v>4.5250800426894347E-2</c:v>
                </c:pt>
                <c:pt idx="4">
                  <c:v>0.10331826193578052</c:v>
                </c:pt>
                <c:pt idx="5">
                  <c:v>0.18325492384977279</c:v>
                </c:pt>
                <c:pt idx="6">
                  <c:v>0.22140163419233186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4-B94A-856E-6C891B277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Comps!$F$47</c:f>
              <c:strCache>
                <c:ptCount val="1"/>
                <c:pt idx="0">
                  <c:v>BEP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Comps!$G$47:$M$47</c:f>
              <c:numCache>
                <c:formatCode>0.00</c:formatCode>
                <c:ptCount val="7"/>
                <c:pt idx="0">
                  <c:v>4.9428539928705301E-2</c:v>
                </c:pt>
                <c:pt idx="1">
                  <c:v>0.10756765386764588</c:v>
                </c:pt>
                <c:pt idx="2">
                  <c:v>6.4161455709332307E-2</c:v>
                </c:pt>
                <c:pt idx="3">
                  <c:v>5.7415259817219309E-2</c:v>
                </c:pt>
                <c:pt idx="4">
                  <c:v>0.11500033084099781</c:v>
                </c:pt>
                <c:pt idx="5">
                  <c:v>0.19490889237698769</c:v>
                </c:pt>
                <c:pt idx="6">
                  <c:v>0.22589410699091483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D-B84E-A3C8-3B1163241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Comps!$F$50</c:f>
              <c:strCache>
                <c:ptCount val="1"/>
                <c:pt idx="0">
                  <c:v>MP / BV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Comps!$G$50:$M$50</c:f>
              <c:numCache>
                <c:formatCode>0.00</c:formatCode>
                <c:ptCount val="7"/>
                <c:pt idx="0">
                  <c:v>29.131003110450077</c:v>
                </c:pt>
                <c:pt idx="1">
                  <c:v>24.555159978229042</c:v>
                </c:pt>
                <c:pt idx="2">
                  <c:v>20.489714441150547</c:v>
                </c:pt>
                <c:pt idx="3">
                  <c:v>23.109438296448143</c:v>
                </c:pt>
                <c:pt idx="4">
                  <c:v>18.695930221848467</c:v>
                </c:pt>
                <c:pt idx="5">
                  <c:v>24.033316995732701</c:v>
                </c:pt>
                <c:pt idx="6">
                  <c:v>23.306772963734893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77-5C42-B0F9-FA3045810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199567"/>
        <c:axId val="1658581023"/>
      </c:lineChart>
      <c:catAx>
        <c:axId val="170819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1023"/>
        <c:crosses val="autoZero"/>
        <c:auto val="1"/>
        <c:lblAlgn val="ctr"/>
        <c:lblOffset val="100"/>
        <c:noMultiLvlLbl val="0"/>
      </c:catAx>
      <c:valAx>
        <c:axId val="16585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19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276678</xdr:colOff>
      <xdr:row>67</xdr:row>
      <xdr:rowOff>0</xdr:rowOff>
    </xdr:from>
    <xdr:to>
      <xdr:col>3</xdr:col>
      <xdr:colOff>1587500</xdr:colOff>
      <xdr:row>69</xdr:row>
      <xdr:rowOff>45357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8A89BE-647D-BF35-78F4-2536256DA690}"/>
            </a:ext>
          </a:extLst>
        </xdr:cNvPr>
        <xdr:cNvCxnSpPr/>
      </xdr:nvCxnSpPr>
      <xdr:spPr>
        <a:xfrm>
          <a:off x="5265964" y="13992679"/>
          <a:ext cx="1310822" cy="4535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79</xdr:row>
      <xdr:rowOff>0</xdr:rowOff>
    </xdr:from>
    <xdr:to>
      <xdr:col>3</xdr:col>
      <xdr:colOff>1632857</xdr:colOff>
      <xdr:row>80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E49A89-3EFC-094E-82AF-11D28A85F5AB}"/>
            </a:ext>
          </a:extLst>
        </xdr:cNvPr>
        <xdr:cNvCxnSpPr/>
      </xdr:nvCxnSpPr>
      <xdr:spPr>
        <a:xfrm flipV="1">
          <a:off x="5294086" y="16578036"/>
          <a:ext cx="1328057" cy="4218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41639</xdr:colOff>
      <xdr:row>20</xdr:row>
      <xdr:rowOff>24291</xdr:rowOff>
    </xdr:from>
    <xdr:to>
      <xdr:col>20</xdr:col>
      <xdr:colOff>464972</xdr:colOff>
      <xdr:row>33</xdr:row>
      <xdr:rowOff>80087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37ED12-2814-9814-CCCE-F75B1EEC4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41639</xdr:colOff>
      <xdr:row>34</xdr:row>
      <xdr:rowOff>187377</xdr:rowOff>
    </xdr:from>
    <xdr:to>
      <xdr:col>20</xdr:col>
      <xdr:colOff>464972</xdr:colOff>
      <xdr:row>48</xdr:row>
      <xdr:rowOff>63848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CAC122-4B7E-854E-BBBD-114CCF792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812801</xdr:colOff>
      <xdr:row>20</xdr:row>
      <xdr:rowOff>16934</xdr:rowOff>
    </xdr:from>
    <xdr:to>
      <xdr:col>26</xdr:col>
      <xdr:colOff>406401</xdr:colOff>
      <xdr:row>33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B4C976-4F32-B94C-B38B-C9CECE0E5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35</xdr:row>
      <xdr:rowOff>0</xdr:rowOff>
    </xdr:from>
    <xdr:to>
      <xdr:col>26</xdr:col>
      <xdr:colOff>423334</xdr:colOff>
      <xdr:row>48</xdr:row>
      <xdr:rowOff>84667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A1D95A-3358-664C-8749-F954E3C38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50</xdr:row>
      <xdr:rowOff>0</xdr:rowOff>
    </xdr:from>
    <xdr:to>
      <xdr:col>26</xdr:col>
      <xdr:colOff>423334</xdr:colOff>
      <xdr:row>63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E2D7ED-B5C7-0942-8DDC-A64E55808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21896</xdr:colOff>
      <xdr:row>65</xdr:row>
      <xdr:rowOff>0</xdr:rowOff>
    </xdr:from>
    <xdr:to>
      <xdr:col>26</xdr:col>
      <xdr:colOff>445230</xdr:colOff>
      <xdr:row>78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86FFB1-AA07-3F4F-BC06-2681AEFC6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423333</xdr:colOff>
      <xdr:row>33</xdr:row>
      <xdr:rowOff>67733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E2508F-AC04-9142-8E8C-4088CA351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35</xdr:row>
      <xdr:rowOff>0</xdr:rowOff>
    </xdr:from>
    <xdr:to>
      <xdr:col>33</xdr:col>
      <xdr:colOff>423333</xdr:colOff>
      <xdr:row>48</xdr:row>
      <xdr:rowOff>84667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DB503B-FF77-4A45-ADF1-C9EEE8A94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50</xdr:row>
      <xdr:rowOff>0</xdr:rowOff>
    </xdr:from>
    <xdr:to>
      <xdr:col>33</xdr:col>
      <xdr:colOff>423333</xdr:colOff>
      <xdr:row>63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27EBCF-44AB-DA4C-BE35-0B13EF7B0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87587</xdr:colOff>
      <xdr:row>64</xdr:row>
      <xdr:rowOff>153276</xdr:rowOff>
    </xdr:from>
    <xdr:to>
      <xdr:col>33</xdr:col>
      <xdr:colOff>510920</xdr:colOff>
      <xdr:row>78</xdr:row>
      <xdr:rowOff>57807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AAEAFA-F95A-EF48-B2EC-58E90074E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0</xdr:colOff>
      <xdr:row>20</xdr:row>
      <xdr:rowOff>0</xdr:rowOff>
    </xdr:from>
    <xdr:to>
      <xdr:col>40</xdr:col>
      <xdr:colOff>423333</xdr:colOff>
      <xdr:row>33</xdr:row>
      <xdr:rowOff>67733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FF6EB55-F83A-9445-B546-840FF42A7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0</xdr:colOff>
      <xdr:row>35</xdr:row>
      <xdr:rowOff>0</xdr:rowOff>
    </xdr:from>
    <xdr:to>
      <xdr:col>40</xdr:col>
      <xdr:colOff>423333</xdr:colOff>
      <xdr:row>48</xdr:row>
      <xdr:rowOff>84667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5E72995-FBBC-FA48-BDAA-05F417F3D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0</xdr:colOff>
      <xdr:row>50</xdr:row>
      <xdr:rowOff>0</xdr:rowOff>
    </xdr:from>
    <xdr:to>
      <xdr:col>40</xdr:col>
      <xdr:colOff>423333</xdr:colOff>
      <xdr:row>63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B6BE86B-5E21-D34E-9F22-149D98683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43794</xdr:colOff>
      <xdr:row>65</xdr:row>
      <xdr:rowOff>21897</xdr:rowOff>
    </xdr:from>
    <xdr:to>
      <xdr:col>40</xdr:col>
      <xdr:colOff>467127</xdr:colOff>
      <xdr:row>78</xdr:row>
      <xdr:rowOff>123497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F5CBCF5-2769-FF4E-BCFC-3C54D7FBE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35</xdr:col>
      <xdr:colOff>0</xdr:colOff>
      <xdr:row>80</xdr:row>
      <xdr:rowOff>0</xdr:rowOff>
    </xdr:from>
    <xdr:to>
      <xdr:col>40</xdr:col>
      <xdr:colOff>423333</xdr:colOff>
      <xdr:row>93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CA70E85-DA2B-1F42-B835-A423BE759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95</xdr:row>
      <xdr:rowOff>0</xdr:rowOff>
    </xdr:from>
    <xdr:to>
      <xdr:col>40</xdr:col>
      <xdr:colOff>423333</xdr:colOff>
      <xdr:row>108</xdr:row>
      <xdr:rowOff>101600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730BC9B-5D93-5E45-BB66-A8647D7B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42</xdr:col>
      <xdr:colOff>0</xdr:colOff>
      <xdr:row>20</xdr:row>
      <xdr:rowOff>0</xdr:rowOff>
    </xdr:from>
    <xdr:to>
      <xdr:col>47</xdr:col>
      <xdr:colOff>423333</xdr:colOff>
      <xdr:row>33</xdr:row>
      <xdr:rowOff>50800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C67A328-944C-D447-9C63-41DEBE62F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5C9B-2F7E-6844-9BF8-0CB92ECFA11F}">
  <dimension ref="A3:P99"/>
  <sheetViews>
    <sheetView zoomScale="25" zoomScaleNormal="90" workbookViewId="0">
      <pane xSplit="1" topLeftCell="B1" activePane="topRight" state="frozen"/>
      <selection pane="topRight" activeCell="L48" sqref="L48"/>
    </sheetView>
  </sheetViews>
  <sheetFormatPr baseColWidth="10" defaultRowHeight="16" x14ac:dyDescent="0.2"/>
  <cols>
    <col min="1" max="1" width="21.83203125" customWidth="1"/>
    <col min="2" max="2" width="22.83203125" customWidth="1"/>
    <col min="3" max="9" width="20.33203125" bestFit="1" customWidth="1"/>
    <col min="10" max="10" width="22" customWidth="1"/>
    <col min="11" max="14" width="20.33203125" bestFit="1" customWidth="1"/>
    <col min="15" max="15" width="17" customWidth="1"/>
  </cols>
  <sheetData>
    <row r="3" spans="1:16" ht="17" thickBot="1" x14ac:dyDescent="0.25"/>
    <row r="4" spans="1:16" x14ac:dyDescent="0.2">
      <c r="A4" s="50" t="s">
        <v>0</v>
      </c>
      <c r="B4" s="23">
        <v>2017</v>
      </c>
      <c r="C4" s="23">
        <v>2018</v>
      </c>
      <c r="D4" s="23">
        <v>2019</v>
      </c>
      <c r="E4" s="23">
        <v>2020</v>
      </c>
      <c r="F4" s="23">
        <v>2021</v>
      </c>
      <c r="G4" s="23">
        <v>2022</v>
      </c>
      <c r="H4" s="23">
        <v>2023</v>
      </c>
      <c r="I4" s="23">
        <v>2024</v>
      </c>
      <c r="J4" s="23">
        <v>2025</v>
      </c>
      <c r="K4" s="23">
        <v>2026</v>
      </c>
      <c r="L4" s="23">
        <v>2027</v>
      </c>
      <c r="M4" s="24">
        <v>2028</v>
      </c>
      <c r="N4" s="24">
        <v>2029</v>
      </c>
      <c r="P4" t="s">
        <v>53</v>
      </c>
    </row>
    <row r="5" spans="1:16" x14ac:dyDescent="0.2">
      <c r="A5" s="51"/>
      <c r="B5" s="175"/>
      <c r="C5" s="175"/>
      <c r="D5" s="175"/>
      <c r="E5" s="175"/>
      <c r="F5" s="175"/>
      <c r="G5" s="175"/>
      <c r="H5" s="175"/>
      <c r="I5" s="175"/>
      <c r="J5" s="138"/>
      <c r="K5" s="138"/>
      <c r="L5" s="138"/>
      <c r="M5" s="139"/>
      <c r="N5" s="139"/>
      <c r="P5" s="22">
        <f>Rates!H13</f>
        <v>0.15021282188797766</v>
      </c>
    </row>
    <row r="6" spans="1:16" x14ac:dyDescent="0.2">
      <c r="A6" s="51" t="s">
        <v>1</v>
      </c>
      <c r="B6" s="175">
        <f>17.64*10^9</f>
        <v>17640000000</v>
      </c>
      <c r="C6" s="175">
        <f>20.85*10^9</f>
        <v>20850000000</v>
      </c>
      <c r="D6" s="175">
        <f>22.6*10^9</f>
        <v>22600000000</v>
      </c>
      <c r="E6" s="175">
        <f>23.89*10^9</f>
        <v>23890000000</v>
      </c>
      <c r="F6" s="175">
        <f>27.45*10^9</f>
        <v>27450000000</v>
      </c>
      <c r="G6" s="175">
        <f>33.2*10^9</f>
        <v>33200000000.000004</v>
      </c>
      <c r="H6" s="175">
        <f>35.82*10^9</f>
        <v>35820000000</v>
      </c>
      <c r="I6" s="175">
        <f>51.57*10^9</f>
        <v>51570000000</v>
      </c>
      <c r="J6" s="175">
        <f t="shared" ref="J6:N7" si="0">I6*(1+$P$5)</f>
        <v>59316475224.763008</v>
      </c>
      <c r="K6" s="175">
        <f t="shared" si="0"/>
        <v>68226570352.722977</v>
      </c>
      <c r="L6" s="175">
        <f t="shared" si="0"/>
        <v>78475076013.144135</v>
      </c>
      <c r="M6" s="176">
        <f t="shared" si="0"/>
        <v>90263038628.952072</v>
      </c>
      <c r="N6" s="176">
        <f t="shared" si="0"/>
        <v>103821704373.5905</v>
      </c>
    </row>
    <row r="7" spans="1:16" x14ac:dyDescent="0.2">
      <c r="A7" s="51" t="s">
        <v>2</v>
      </c>
      <c r="B7" s="175">
        <f>10.87*10^9</f>
        <v>10870000000</v>
      </c>
      <c r="C7" s="175">
        <f>10.64*10^9</f>
        <v>10640000000</v>
      </c>
      <c r="D7" s="175">
        <f>11.94*10^9</f>
        <v>11940000000</v>
      </c>
      <c r="E7" s="175">
        <f>12.74*10^9</f>
        <v>12740000000</v>
      </c>
      <c r="F7" s="175">
        <f>12.56*10^9</f>
        <v>12560000000</v>
      </c>
      <c r="G7" s="175">
        <f>12.62*10^9</f>
        <v>12620000000</v>
      </c>
      <c r="H7" s="175">
        <f>12.52*10^9</f>
        <v>12520000000</v>
      </c>
      <c r="I7" s="175">
        <f>22.05*10^9</f>
        <v>22050000000</v>
      </c>
      <c r="J7" s="175">
        <f t="shared" si="0"/>
        <v>25362192722.62991</v>
      </c>
      <c r="K7" s="175">
        <f t="shared" si="0"/>
        <v>29171919260.762878</v>
      </c>
      <c r="L7" s="175">
        <f t="shared" si="0"/>
        <v>33553915572.810318</v>
      </c>
      <c r="M7" s="176">
        <f t="shared" si="0"/>
        <v>38594143916.393112</v>
      </c>
      <c r="N7" s="176">
        <f t="shared" si="0"/>
        <v>44391479182.425247</v>
      </c>
    </row>
    <row r="8" spans="1:16" x14ac:dyDescent="0.2">
      <c r="A8" s="51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6"/>
      <c r="N8" s="176"/>
      <c r="P8" t="s">
        <v>54</v>
      </c>
    </row>
    <row r="9" spans="1:16" x14ac:dyDescent="0.2">
      <c r="A9" s="48" t="s">
        <v>3</v>
      </c>
      <c r="B9" s="175">
        <f>B6-B7</f>
        <v>6770000000</v>
      </c>
      <c r="C9" s="175">
        <f t="shared" ref="C9:H9" si="1">C6-C7</f>
        <v>10210000000</v>
      </c>
      <c r="D9" s="175">
        <f t="shared" si="1"/>
        <v>10660000000</v>
      </c>
      <c r="E9" s="175">
        <f t="shared" si="1"/>
        <v>11150000000</v>
      </c>
      <c r="F9" s="175">
        <f t="shared" si="1"/>
        <v>14890000000</v>
      </c>
      <c r="G9" s="175">
        <f t="shared" si="1"/>
        <v>20580000000.000004</v>
      </c>
      <c r="H9" s="175">
        <f t="shared" si="1"/>
        <v>23300000000</v>
      </c>
      <c r="I9" s="175">
        <f>I6-I7</f>
        <v>29520000000</v>
      </c>
      <c r="J9" s="175">
        <f t="shared" ref="J9:L9" si="2">J6-J7</f>
        <v>33954282502.133099</v>
      </c>
      <c r="K9" s="175">
        <f t="shared" si="2"/>
        <v>39054651091.960098</v>
      </c>
      <c r="L9" s="175">
        <f t="shared" si="2"/>
        <v>44921160440.333817</v>
      </c>
      <c r="M9" s="176">
        <f>M6-M7</f>
        <v>51668894712.55896</v>
      </c>
      <c r="N9" s="176">
        <f>N6-N7</f>
        <v>59430225191.165253</v>
      </c>
      <c r="P9" s="4">
        <v>0.21</v>
      </c>
    </row>
    <row r="10" spans="1:16" x14ac:dyDescent="0.2">
      <c r="A10" s="51" t="s">
        <v>4</v>
      </c>
      <c r="B10" s="175">
        <f>4.08*10^9</f>
        <v>4080000000</v>
      </c>
      <c r="C10" s="175">
        <f>4.82*10^9</f>
        <v>4820000000</v>
      </c>
      <c r="D10" s="175">
        <f>6.33*10^9</f>
        <v>6330000000</v>
      </c>
      <c r="E10" s="175">
        <f>6.79*10^9</f>
        <v>6790000000</v>
      </c>
      <c r="F10" s="175">
        <f>6.2*10^9</f>
        <v>6200000000</v>
      </c>
      <c r="G10" s="175">
        <f>6.3*10^9</f>
        <v>6300000000</v>
      </c>
      <c r="H10" s="175">
        <f>6.84*10^9</f>
        <v>6840000000</v>
      </c>
      <c r="I10" s="175">
        <f>13.73*10^9</f>
        <v>13730000000</v>
      </c>
      <c r="J10" s="175">
        <f>I10*(1+$P$5)</f>
        <v>15792422044.521935</v>
      </c>
      <c r="K10" s="175">
        <f>J10*(1+$P$5)</f>
        <v>18164646324.275482</v>
      </c>
      <c r="L10" s="175">
        <f>K10*(1+$P$5)</f>
        <v>20893209107.241985</v>
      </c>
      <c r="M10" s="176">
        <f>L10*(1+$P$5)</f>
        <v>24031637005.5364</v>
      </c>
      <c r="N10" s="176">
        <f>M10*(1+$P$5)</f>
        <v>27641497014.725571</v>
      </c>
    </row>
    <row r="11" spans="1:16" x14ac:dyDescent="0.2">
      <c r="A11" s="51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6"/>
      <c r="N11" s="176"/>
    </row>
    <row r="12" spans="1:16" x14ac:dyDescent="0.2">
      <c r="A12" s="48" t="s">
        <v>5</v>
      </c>
      <c r="B12" s="175">
        <f>B9-B10</f>
        <v>2690000000</v>
      </c>
      <c r="C12" s="175">
        <f>C9-C10</f>
        <v>5390000000</v>
      </c>
      <c r="D12" s="175">
        <f>D9-D10</f>
        <v>4330000000</v>
      </c>
      <c r="E12" s="175">
        <f>E9-E10</f>
        <v>4360000000</v>
      </c>
      <c r="F12" s="175">
        <f t="shared" ref="F12:H12" si="3">F9-F10</f>
        <v>8690000000</v>
      </c>
      <c r="G12" s="175">
        <f t="shared" si="3"/>
        <v>14280000000.000004</v>
      </c>
      <c r="H12" s="175">
        <f t="shared" si="3"/>
        <v>16460000000</v>
      </c>
      <c r="I12" s="175">
        <f>I9-I10</f>
        <v>15790000000</v>
      </c>
      <c r="J12" s="175">
        <f t="shared" ref="J12:M12" si="4">J9-J10</f>
        <v>18161860457.611164</v>
      </c>
      <c r="K12" s="175">
        <f t="shared" si="4"/>
        <v>20890004767.684616</v>
      </c>
      <c r="L12" s="175">
        <f t="shared" si="4"/>
        <v>24027951333.091831</v>
      </c>
      <c r="M12" s="176">
        <f t="shared" si="4"/>
        <v>27637257707.02256</v>
      </c>
      <c r="N12" s="176">
        <f>N9-N10</f>
        <v>31788728176.439682</v>
      </c>
    </row>
    <row r="13" spans="1:16" x14ac:dyDescent="0.2">
      <c r="A13" s="51" t="s">
        <v>6</v>
      </c>
      <c r="B13" s="175">
        <f>861*10^6</f>
        <v>861000000</v>
      </c>
      <c r="C13" s="175">
        <f>843*10^6</f>
        <v>843000000</v>
      </c>
      <c r="D13" s="175">
        <f>2.1*10^9</f>
        <v>2100000000</v>
      </c>
      <c r="E13" s="175">
        <f>1.91*10^9</f>
        <v>1910000000</v>
      </c>
      <c r="F13" s="175">
        <f>1.92*10^9</f>
        <v>1920000000</v>
      </c>
      <c r="G13" s="175">
        <f>1.85*10^9</f>
        <v>1850000000</v>
      </c>
      <c r="H13" s="175">
        <f>1.36*10^9</f>
        <v>1360000000</v>
      </c>
      <c r="I13" s="175">
        <f>5.88*10^9</f>
        <v>5880000000</v>
      </c>
      <c r="J13" s="175">
        <f>I13*(1+$P$5)</f>
        <v>6763251392.7013092</v>
      </c>
      <c r="K13" s="175">
        <f>J13*(1+$P$5)</f>
        <v>7779178469.536768</v>
      </c>
      <c r="L13" s="175">
        <f>K13*(1+$P$5)</f>
        <v>8947710819.4160862</v>
      </c>
      <c r="M13" s="176">
        <f>L13*(1+$P$5)</f>
        <v>10291771711.038166</v>
      </c>
      <c r="N13" s="176">
        <f>M13*(1+$P$5)</f>
        <v>11837727781.98007</v>
      </c>
    </row>
    <row r="14" spans="1:16" x14ac:dyDescent="0.2">
      <c r="A14" s="51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6"/>
      <c r="N14" s="176"/>
    </row>
    <row r="15" spans="1:16" x14ac:dyDescent="0.2">
      <c r="A15" s="48" t="s">
        <v>7</v>
      </c>
      <c r="B15" s="175">
        <f>B12-B13</f>
        <v>1829000000</v>
      </c>
      <c r="C15" s="175">
        <f t="shared" ref="C15:H15" si="5">C12-C13</f>
        <v>4547000000</v>
      </c>
      <c r="D15" s="175">
        <f t="shared" si="5"/>
        <v>2230000000</v>
      </c>
      <c r="E15" s="175">
        <f t="shared" si="5"/>
        <v>2450000000</v>
      </c>
      <c r="F15" s="175">
        <f t="shared" si="5"/>
        <v>6770000000</v>
      </c>
      <c r="G15" s="175">
        <f t="shared" si="5"/>
        <v>12430000000.000004</v>
      </c>
      <c r="H15" s="175">
        <f t="shared" si="5"/>
        <v>15100000000</v>
      </c>
      <c r="I15" s="175">
        <f>I12-I13</f>
        <v>9910000000</v>
      </c>
      <c r="J15" s="175">
        <f>J12-J13</f>
        <v>11398609064.909855</v>
      </c>
      <c r="K15" s="175">
        <f t="shared" ref="K15:M15" si="6">K12-K13</f>
        <v>13110826298.147848</v>
      </c>
      <c r="L15" s="175">
        <f t="shared" si="6"/>
        <v>15080240513.675745</v>
      </c>
      <c r="M15" s="176">
        <f t="shared" si="6"/>
        <v>17345485995.984394</v>
      </c>
      <c r="N15" s="176">
        <f t="shared" ref="N15" si="7">N12-N13</f>
        <v>19951000394.45961</v>
      </c>
    </row>
    <row r="16" spans="1:16" x14ac:dyDescent="0.2">
      <c r="A16" s="51" t="s">
        <v>8</v>
      </c>
      <c r="B16" s="175">
        <f>35*10^6</f>
        <v>35000000</v>
      </c>
      <c r="C16" s="175">
        <f>-8.08*10^9</f>
        <v>-8080000000</v>
      </c>
      <c r="D16" s="175">
        <f>-510*10^6</f>
        <v>-510000000</v>
      </c>
      <c r="E16" s="175">
        <f>-518*10^6</f>
        <v>-518000000</v>
      </c>
      <c r="F16" s="175">
        <f>29*10^6</f>
        <v>29000000</v>
      </c>
      <c r="G16" s="175">
        <f>939*10^6</f>
        <v>939000000</v>
      </c>
      <c r="H16" s="175">
        <f>1.01*10^9</f>
        <v>1010000000</v>
      </c>
      <c r="I16" s="175">
        <f>3.75*10^9</f>
        <v>3750000000</v>
      </c>
      <c r="J16" s="175">
        <f>J15*$P$9</f>
        <v>2393707903.6310697</v>
      </c>
      <c r="K16" s="175">
        <f>K15*$P$9</f>
        <v>2753273522.6110482</v>
      </c>
      <c r="L16" s="175">
        <f>L15*$P$9</f>
        <v>3166850507.8719063</v>
      </c>
      <c r="M16" s="176">
        <f>M15*$P$9</f>
        <v>3642552059.1567225</v>
      </c>
      <c r="N16" s="176">
        <f>N15*$P$9</f>
        <v>4189710082.8365178</v>
      </c>
    </row>
    <row r="17" spans="1:14" x14ac:dyDescent="0.2">
      <c r="A17" s="48" t="s">
        <v>112</v>
      </c>
      <c r="B17" s="175">
        <f>B15-B16</f>
        <v>1794000000</v>
      </c>
      <c r="C17" s="175">
        <f t="shared" ref="C17:H17" si="8">C15-C16</f>
        <v>12627000000</v>
      </c>
      <c r="D17" s="175">
        <f t="shared" si="8"/>
        <v>2740000000</v>
      </c>
      <c r="E17" s="175">
        <f t="shared" si="8"/>
        <v>2968000000</v>
      </c>
      <c r="F17" s="175">
        <f t="shared" si="8"/>
        <v>6741000000</v>
      </c>
      <c r="G17" s="175">
        <f t="shared" si="8"/>
        <v>11491000000.000004</v>
      </c>
      <c r="H17" s="175">
        <f t="shared" si="8"/>
        <v>14090000000</v>
      </c>
      <c r="I17" s="175">
        <f>I15-I16</f>
        <v>6160000000</v>
      </c>
      <c r="J17" s="175">
        <f>I17*(1+$P$5)</f>
        <v>7085310982.8299427</v>
      </c>
      <c r="K17" s="175">
        <f>J17*(1+$P$5)</f>
        <v>8149615539.5147095</v>
      </c>
      <c r="L17" s="175">
        <f>K17*(1+$P$5)</f>
        <v>9373792287.007328</v>
      </c>
      <c r="M17" s="176">
        <f>L17*(1+$P$5)</f>
        <v>10781856078.230459</v>
      </c>
      <c r="N17" s="176">
        <f>M17*(1+$P$5)</f>
        <v>12401429104.931501</v>
      </c>
    </row>
    <row r="18" spans="1:14" x14ac:dyDescent="0.2">
      <c r="A18" s="51" t="s">
        <v>10</v>
      </c>
      <c r="B18" s="175">
        <f>(92*10^6)+(6*10^6)</f>
        <v>98000000</v>
      </c>
      <c r="C18" s="175">
        <f>(351*10^6)+(19*10^6)</f>
        <v>370000000</v>
      </c>
      <c r="D18" s="175">
        <f>12*10^6</f>
        <v>12000000</v>
      </c>
      <c r="E18" s="175">
        <f>1*10^6</f>
        <v>1000000</v>
      </c>
      <c r="F18" s="175">
        <v>0</v>
      </c>
      <c r="G18" s="175">
        <v>0</v>
      </c>
      <c r="H18" s="175">
        <v>0</v>
      </c>
      <c r="I18" s="175">
        <f>273*10^6</f>
        <v>273000000</v>
      </c>
      <c r="J18" s="175">
        <f>I18*(1+$P$5)</f>
        <v>314008100.37541789</v>
      </c>
      <c r="K18" s="175">
        <f t="shared" ref="K18:N18" si="9">J18*(1+$P$5)</f>
        <v>361176143.22849274</v>
      </c>
      <c r="L18" s="175">
        <f t="shared" si="9"/>
        <v>415429430.90146101</v>
      </c>
      <c r="M18" s="176">
        <f t="shared" si="9"/>
        <v>477832258.0124861</v>
      </c>
      <c r="N18" s="176">
        <f t="shared" si="9"/>
        <v>549608789.87764585</v>
      </c>
    </row>
    <row r="19" spans="1:14" x14ac:dyDescent="0.2">
      <c r="A19" s="48" t="s">
        <v>9</v>
      </c>
      <c r="B19" s="175">
        <f>B15-B16-B18</f>
        <v>1696000000</v>
      </c>
      <c r="C19" s="175">
        <f t="shared" ref="C19:H19" si="10">C15-C16-C18</f>
        <v>12257000000</v>
      </c>
      <c r="D19" s="175">
        <f t="shared" si="10"/>
        <v>2728000000</v>
      </c>
      <c r="E19" s="175">
        <f t="shared" si="10"/>
        <v>2967000000</v>
      </c>
      <c r="F19" s="175">
        <f t="shared" si="10"/>
        <v>6741000000</v>
      </c>
      <c r="G19" s="175">
        <f t="shared" si="10"/>
        <v>11491000000.000004</v>
      </c>
      <c r="H19" s="175">
        <f t="shared" si="10"/>
        <v>14090000000</v>
      </c>
      <c r="I19" s="175">
        <f>I15-I16-I18</f>
        <v>5887000000</v>
      </c>
      <c r="J19" s="175">
        <f>J15-J16-J17</f>
        <v>1919590178.448843</v>
      </c>
      <c r="K19" s="175">
        <f t="shared" ref="K19:M19" si="11">K15-K16-K17</f>
        <v>2207937236.0220909</v>
      </c>
      <c r="L19" s="175">
        <f t="shared" si="11"/>
        <v>2539597718.7965107</v>
      </c>
      <c r="M19" s="176">
        <f t="shared" si="11"/>
        <v>2921077858.5972118</v>
      </c>
      <c r="N19" s="176">
        <f t="shared" ref="N19" si="12">N15-N16-N17</f>
        <v>3359861206.6915913</v>
      </c>
    </row>
    <row r="20" spans="1:14" x14ac:dyDescent="0.2">
      <c r="A20" s="53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8"/>
      <c r="N20" s="188"/>
    </row>
    <row r="21" spans="1:14" x14ac:dyDescent="0.2">
      <c r="A21" s="51" t="s">
        <v>11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6"/>
      <c r="N21" s="176"/>
    </row>
    <row r="22" spans="1:14" x14ac:dyDescent="0.2">
      <c r="A22" s="52" t="s">
        <v>12</v>
      </c>
      <c r="B22" s="212">
        <f>4.05*10^9</f>
        <v>4050000000</v>
      </c>
      <c r="C22" s="212">
        <f>4.18*10^9</f>
        <v>4179999999.9999995</v>
      </c>
      <c r="D22" s="212">
        <f>3.98*10^9</f>
        <v>3980000000</v>
      </c>
      <c r="E22" s="212">
        <f>4.02*10^9</f>
        <v>4019999999.9999995</v>
      </c>
      <c r="F22" s="212">
        <f>4.1*10^9</f>
        <v>4099999999.9999995</v>
      </c>
      <c r="G22" s="212">
        <f>4.09*10^9</f>
        <v>4090000000</v>
      </c>
      <c r="H22" s="212">
        <f>4.15*10^9</f>
        <v>4150000000.0000005</v>
      </c>
      <c r="I22" s="212">
        <f>4.62*10^9</f>
        <v>4620000000</v>
      </c>
      <c r="J22" s="212">
        <f t="shared" ref="J22:N22" si="13">4.62*10^9</f>
        <v>4620000000</v>
      </c>
      <c r="K22" s="212">
        <f t="shared" si="13"/>
        <v>4620000000</v>
      </c>
      <c r="L22" s="212">
        <f t="shared" si="13"/>
        <v>4620000000</v>
      </c>
      <c r="M22" s="249">
        <f t="shared" si="13"/>
        <v>4620000000</v>
      </c>
      <c r="N22" s="249">
        <f t="shared" si="13"/>
        <v>4620000000</v>
      </c>
    </row>
    <row r="23" spans="1:14" x14ac:dyDescent="0.2">
      <c r="A23" s="52" t="s">
        <v>13</v>
      </c>
      <c r="B23" s="212">
        <f>4.21*10^9</f>
        <v>4210000000</v>
      </c>
      <c r="C23" s="212">
        <f>4.31*10^9</f>
        <v>4310000000</v>
      </c>
      <c r="D23" s="212">
        <f>4.19*10^9</f>
        <v>4190000000.0000005</v>
      </c>
      <c r="E23" s="212">
        <f>4.21*10^9</f>
        <v>4210000000</v>
      </c>
      <c r="F23" s="212">
        <f>4.29*10^9</f>
        <v>4290000000</v>
      </c>
      <c r="G23" s="212">
        <f>4.23*10^9</f>
        <v>4230000000.0000005</v>
      </c>
      <c r="H23" s="212">
        <f>4.27*10^9</f>
        <v>4269999999.9999995</v>
      </c>
      <c r="I23" s="212">
        <f>4.78*10^9</f>
        <v>4780000000</v>
      </c>
      <c r="J23" s="212">
        <f t="shared" ref="J23:N23" si="14">4.78*10^9</f>
        <v>4780000000</v>
      </c>
      <c r="K23" s="212">
        <f t="shared" si="14"/>
        <v>4780000000</v>
      </c>
      <c r="L23" s="212">
        <f t="shared" si="14"/>
        <v>4780000000</v>
      </c>
      <c r="M23" s="249">
        <f t="shared" si="14"/>
        <v>4780000000</v>
      </c>
      <c r="N23" s="249">
        <f t="shared" si="14"/>
        <v>4780000000</v>
      </c>
    </row>
    <row r="24" spans="1:14" x14ac:dyDescent="0.2">
      <c r="A24" s="52" t="s">
        <v>133</v>
      </c>
      <c r="B24" s="175"/>
      <c r="C24" s="175"/>
      <c r="D24" s="175"/>
      <c r="E24" s="175"/>
      <c r="F24" s="175"/>
      <c r="G24" s="175"/>
      <c r="H24" s="175">
        <f>AVERAGE(B23:I23)</f>
        <v>4311250000</v>
      </c>
      <c r="I24" s="175"/>
      <c r="J24" s="175"/>
      <c r="K24" s="175"/>
      <c r="L24" s="175"/>
      <c r="M24" s="176"/>
      <c r="N24" s="176"/>
    </row>
    <row r="25" spans="1:14" x14ac:dyDescent="0.2">
      <c r="A25" s="51" t="s">
        <v>14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6"/>
      <c r="N25" s="176"/>
    </row>
    <row r="26" spans="1:14" x14ac:dyDescent="0.2">
      <c r="A26" s="52" t="s">
        <v>12</v>
      </c>
      <c r="B26" s="175">
        <f>B$19/B22</f>
        <v>0.41876543209876543</v>
      </c>
      <c r="C26" s="175">
        <f>C$19/C22</f>
        <v>2.9322966507177037</v>
      </c>
      <c r="D26" s="175">
        <f t="shared" ref="D26:H27" si="15">D$19/D22</f>
        <v>0.68542713567839197</v>
      </c>
      <c r="E26" s="175">
        <f t="shared" si="15"/>
        <v>0.73805970149253741</v>
      </c>
      <c r="F26" s="175">
        <f t="shared" si="15"/>
        <v>1.6441463414634148</v>
      </c>
      <c r="G26" s="175">
        <f t="shared" si="15"/>
        <v>2.8095354523227392</v>
      </c>
      <c r="H26" s="175">
        <f t="shared" si="15"/>
        <v>3.395180722891566</v>
      </c>
      <c r="I26" s="189">
        <f t="shared" ref="I26:N27" si="16">I$19/I22</f>
        <v>1.2742424242424242</v>
      </c>
      <c r="J26" s="189">
        <f t="shared" si="16"/>
        <v>0.41549570962096166</v>
      </c>
      <c r="K26" s="189">
        <f t="shared" si="16"/>
        <v>0.47790849264547425</v>
      </c>
      <c r="L26" s="189">
        <f t="shared" si="16"/>
        <v>0.54969647592998072</v>
      </c>
      <c r="M26" s="176">
        <f t="shared" si="16"/>
        <v>0.63226793476130128</v>
      </c>
      <c r="N26" s="176">
        <f t="shared" si="16"/>
        <v>0.72724268543108039</v>
      </c>
    </row>
    <row r="27" spans="1:14" x14ac:dyDescent="0.2">
      <c r="A27" s="52" t="s">
        <v>13</v>
      </c>
      <c r="B27" s="175">
        <f>B$19/B23</f>
        <v>0.4028503562945368</v>
      </c>
      <c r="C27" s="175">
        <f>C$19/C23</f>
        <v>2.8438515081206495</v>
      </c>
      <c r="D27" s="175">
        <f>D$19/D23</f>
        <v>0.65107398568019081</v>
      </c>
      <c r="E27" s="175">
        <f t="shared" si="15"/>
        <v>0.704750593824228</v>
      </c>
      <c r="F27" s="175">
        <f t="shared" si="15"/>
        <v>1.5713286713286714</v>
      </c>
      <c r="G27" s="175">
        <f t="shared" si="15"/>
        <v>2.7165484633569745</v>
      </c>
      <c r="H27" s="175">
        <f t="shared" si="15"/>
        <v>3.2997658079625296</v>
      </c>
      <c r="I27" s="189">
        <f t="shared" si="16"/>
        <v>1.2315899581589957</v>
      </c>
      <c r="J27" s="189">
        <f t="shared" si="16"/>
        <v>0.40158790344118056</v>
      </c>
      <c r="K27" s="189">
        <f t="shared" si="16"/>
        <v>0.46191155565315711</v>
      </c>
      <c r="L27" s="189">
        <f t="shared" si="16"/>
        <v>0.53129659389048345</v>
      </c>
      <c r="M27" s="176">
        <f t="shared" si="16"/>
        <v>0.61110415451824518</v>
      </c>
      <c r="N27" s="176">
        <f t="shared" si="16"/>
        <v>0.70289983403589773</v>
      </c>
    </row>
    <row r="28" spans="1:14" x14ac:dyDescent="0.2">
      <c r="A28" s="51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6"/>
      <c r="N28" s="176"/>
    </row>
    <row r="29" spans="1:14" x14ac:dyDescent="0.2">
      <c r="A29" s="51" t="s">
        <v>16</v>
      </c>
      <c r="B29" s="175">
        <f>4.73*10^9</f>
        <v>4730000000</v>
      </c>
      <c r="C29" s="175">
        <f>4.06*10^9</f>
        <v>4059999999.9999995</v>
      </c>
      <c r="D29" s="175">
        <f>5.78*10^9</f>
        <v>5780000000</v>
      </c>
      <c r="E29" s="175">
        <f>6.91*10^9</f>
        <v>6910000000</v>
      </c>
      <c r="F29" s="175">
        <f>6.04*10^9</f>
        <v>6040000000</v>
      </c>
      <c r="G29" s="175">
        <f>4.98*10^9</f>
        <v>4980000000</v>
      </c>
      <c r="H29" s="175">
        <f>3.83*10^9</f>
        <v>3830000000</v>
      </c>
      <c r="I29" s="175">
        <f>10.01*10^9</f>
        <v>10010000000</v>
      </c>
      <c r="J29" s="175">
        <f>I29*(1+$P$5)</f>
        <v>11513630347.098658</v>
      </c>
      <c r="K29" s="175">
        <f t="shared" ref="K29:M29" si="17">J29*(1+$P$5)</f>
        <v>13243125251.711403</v>
      </c>
      <c r="L29" s="175">
        <f t="shared" si="17"/>
        <v>15232412466.386908</v>
      </c>
      <c r="M29" s="176">
        <f t="shared" si="17"/>
        <v>17520516127.124496</v>
      </c>
      <c r="N29" s="176">
        <f>M29*(1+$P$5)</f>
        <v>20152322295.513691</v>
      </c>
    </row>
    <row r="30" spans="1:14" x14ac:dyDescent="0.2">
      <c r="A30" s="51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6"/>
      <c r="N30" s="176"/>
    </row>
    <row r="31" spans="1:14" x14ac:dyDescent="0.2">
      <c r="A31" s="51" t="s">
        <v>15</v>
      </c>
      <c r="B31" s="175">
        <f>B12+B29</f>
        <v>7420000000</v>
      </c>
      <c r="C31" s="175">
        <f t="shared" ref="C31:H31" si="18">C12+C29</f>
        <v>9450000000</v>
      </c>
      <c r="D31" s="175">
        <f t="shared" si="18"/>
        <v>10110000000</v>
      </c>
      <c r="E31" s="175">
        <f t="shared" si="18"/>
        <v>11270000000</v>
      </c>
      <c r="F31" s="175">
        <f t="shared" si="18"/>
        <v>14730000000</v>
      </c>
      <c r="G31" s="175">
        <f t="shared" si="18"/>
        <v>19260000000.000004</v>
      </c>
      <c r="H31" s="175">
        <f t="shared" si="18"/>
        <v>20290000000</v>
      </c>
      <c r="I31" s="175">
        <f>I12+I29</f>
        <v>25800000000</v>
      </c>
      <c r="J31" s="189">
        <f>J29+J12</f>
        <v>29675490804.709824</v>
      </c>
      <c r="K31" s="189">
        <f t="shared" ref="K31:L31" si="19">K29+K12</f>
        <v>34133130019.396019</v>
      </c>
      <c r="L31" s="189">
        <f t="shared" si="19"/>
        <v>39260363799.478737</v>
      </c>
      <c r="M31" s="176">
        <f>M29+M12</f>
        <v>45157773834.147057</v>
      </c>
      <c r="N31" s="176">
        <f>N29+N12</f>
        <v>51941050471.953369</v>
      </c>
    </row>
    <row r="32" spans="1:14" x14ac:dyDescent="0.2">
      <c r="A32" s="51"/>
      <c r="B32" s="138"/>
      <c r="C32" s="138"/>
      <c r="D32" s="138"/>
      <c r="E32" s="138"/>
      <c r="F32" s="138"/>
      <c r="G32" s="138"/>
      <c r="H32" s="138"/>
      <c r="I32" s="175"/>
      <c r="J32" s="175"/>
      <c r="K32" s="175"/>
      <c r="L32" s="175"/>
      <c r="M32" s="176"/>
      <c r="N32" s="176"/>
    </row>
    <row r="33" spans="1:14" ht="17" thickBot="1" x14ac:dyDescent="0.25">
      <c r="A33" s="58" t="s">
        <v>17</v>
      </c>
      <c r="B33" s="190">
        <f>1.07*10^9</f>
        <v>1070000000.0000001</v>
      </c>
      <c r="C33" s="190">
        <f>635*10^6</f>
        <v>635000000</v>
      </c>
      <c r="D33" s="190">
        <f>432*10^6</f>
        <v>432000000</v>
      </c>
      <c r="E33" s="190">
        <f>463*10^6</f>
        <v>463000000</v>
      </c>
      <c r="F33" s="190">
        <f>443*10^6</f>
        <v>443000000</v>
      </c>
      <c r="G33" s="190">
        <f>424*10^6</f>
        <v>424000000</v>
      </c>
      <c r="H33" s="190">
        <f>452*10^6</f>
        <v>452000000</v>
      </c>
      <c r="I33" s="190">
        <f>548*10^6</f>
        <v>548000000</v>
      </c>
      <c r="J33" s="190">
        <f>I33*(1+$P$5)</f>
        <v>630316626.39461172</v>
      </c>
      <c r="K33" s="190">
        <f>J33*(1+$P$5)</f>
        <v>724998265.52825654</v>
      </c>
      <c r="L33" s="190">
        <f>K33*(1+$P$5)</f>
        <v>833902300.85714531</v>
      </c>
      <c r="M33" s="191">
        <f>L33*(1+$P$5)</f>
        <v>959165118.64777446</v>
      </c>
      <c r="N33" s="191">
        <f>M33*(1+$P$5)</f>
        <v>1103244017.7763736</v>
      </c>
    </row>
    <row r="35" spans="1:14" ht="17" thickBot="1" x14ac:dyDescent="0.25"/>
    <row r="36" spans="1:14" x14ac:dyDescent="0.2">
      <c r="A36" s="50" t="s">
        <v>0</v>
      </c>
      <c r="B36" s="23">
        <v>2017</v>
      </c>
      <c r="C36" s="23">
        <v>2018</v>
      </c>
      <c r="D36" s="23">
        <v>2019</v>
      </c>
      <c r="E36" s="23">
        <v>2020</v>
      </c>
      <c r="F36" s="23">
        <v>2021</v>
      </c>
      <c r="G36" s="23">
        <v>2022</v>
      </c>
      <c r="H36" s="23">
        <v>2023</v>
      </c>
      <c r="I36" s="24">
        <v>2024</v>
      </c>
    </row>
    <row r="37" spans="1:14" x14ac:dyDescent="0.2">
      <c r="A37" s="51"/>
      <c r="I37" s="25"/>
    </row>
    <row r="38" spans="1:14" x14ac:dyDescent="0.2">
      <c r="A38" s="51" t="s">
        <v>1</v>
      </c>
      <c r="C38" s="243">
        <f>IF(AND(ISNUMBER(B6), B6&lt;&gt;0), (C6-B6)/B6, "")</f>
        <v>0.18197278911564627</v>
      </c>
      <c r="D38" s="243">
        <f t="shared" ref="C38:I45" si="20">IF(AND(ISNUMBER(C6), C6&lt;&gt;0), (D6-C6)/C6, "")</f>
        <v>8.3932853717026384E-2</v>
      </c>
      <c r="E38" s="243">
        <f t="shared" si="20"/>
        <v>5.7079646017699118E-2</v>
      </c>
      <c r="F38" s="243">
        <f t="shared" si="20"/>
        <v>0.14901632482210131</v>
      </c>
      <c r="G38" s="243">
        <f t="shared" si="20"/>
        <v>0.20947176684881616</v>
      </c>
      <c r="H38" s="243">
        <f t="shared" si="20"/>
        <v>7.8915662650602292E-2</v>
      </c>
      <c r="I38" s="244">
        <f>IF(AND(ISNUMBER(H6), H6&lt;&gt;0), (I6-H6)/H6, "")</f>
        <v>0.43969849246231157</v>
      </c>
    </row>
    <row r="39" spans="1:14" x14ac:dyDescent="0.2">
      <c r="A39" s="51" t="s">
        <v>2</v>
      </c>
      <c r="C39" s="243">
        <f t="shared" si="20"/>
        <v>-2.1159153633854646E-2</v>
      </c>
      <c r="D39" s="243">
        <f t="shared" si="20"/>
        <v>0.12218045112781954</v>
      </c>
      <c r="E39" s="243">
        <f t="shared" si="20"/>
        <v>6.7001675041876041E-2</v>
      </c>
      <c r="F39" s="243">
        <f t="shared" si="20"/>
        <v>-1.4128728414442701E-2</v>
      </c>
      <c r="G39" s="243">
        <f t="shared" si="20"/>
        <v>4.7770700636942673E-3</v>
      </c>
      <c r="H39" s="243">
        <f t="shared" si="20"/>
        <v>-7.9239302694136295E-3</v>
      </c>
      <c r="I39" s="244">
        <f t="shared" si="20"/>
        <v>0.76118210862619806</v>
      </c>
    </row>
    <row r="40" spans="1:14" x14ac:dyDescent="0.2">
      <c r="A40" s="51"/>
      <c r="C40" s="243"/>
      <c r="D40" s="243"/>
      <c r="E40" s="243"/>
      <c r="F40" s="243"/>
      <c r="G40" s="243"/>
      <c r="H40" s="243"/>
      <c r="I40" s="244"/>
    </row>
    <row r="41" spans="1:14" x14ac:dyDescent="0.2">
      <c r="A41" s="48" t="s">
        <v>3</v>
      </c>
      <c r="C41" s="243">
        <f t="shared" si="20"/>
        <v>0.50812407680945348</v>
      </c>
      <c r="D41" s="243">
        <f t="shared" si="20"/>
        <v>4.4074436826640549E-2</v>
      </c>
      <c r="E41" s="243">
        <f t="shared" si="20"/>
        <v>4.596622889305816E-2</v>
      </c>
      <c r="F41" s="243">
        <f t="shared" si="20"/>
        <v>0.33542600896860986</v>
      </c>
      <c r="G41" s="243">
        <f t="shared" si="20"/>
        <v>0.38213566151779743</v>
      </c>
      <c r="H41" s="243">
        <f t="shared" si="20"/>
        <v>0.13216715257531564</v>
      </c>
      <c r="I41" s="244">
        <f t="shared" si="20"/>
        <v>0.26695278969957081</v>
      </c>
    </row>
    <row r="42" spans="1:14" x14ac:dyDescent="0.2">
      <c r="A42" s="51" t="s">
        <v>4</v>
      </c>
      <c r="C42" s="243">
        <f t="shared" si="20"/>
        <v>0.18137254901960784</v>
      </c>
      <c r="D42" s="243">
        <f t="shared" si="20"/>
        <v>0.31327800829875518</v>
      </c>
      <c r="E42" s="243">
        <f t="shared" si="20"/>
        <v>7.266982622432859E-2</v>
      </c>
      <c r="F42" s="243">
        <f t="shared" si="20"/>
        <v>-8.6892488954344621E-2</v>
      </c>
      <c r="G42" s="243">
        <f t="shared" si="20"/>
        <v>1.6129032258064516E-2</v>
      </c>
      <c r="H42" s="243">
        <f t="shared" si="20"/>
        <v>8.5714285714285715E-2</v>
      </c>
      <c r="I42" s="244">
        <f t="shared" si="20"/>
        <v>1.0073099415204678</v>
      </c>
    </row>
    <row r="43" spans="1:14" x14ac:dyDescent="0.2">
      <c r="A43" s="51"/>
      <c r="C43" s="243"/>
      <c r="D43" s="243"/>
      <c r="E43" s="243"/>
      <c r="F43" s="243"/>
      <c r="G43" s="243"/>
      <c r="H43" s="243"/>
      <c r="I43" s="244"/>
    </row>
    <row r="44" spans="1:14" x14ac:dyDescent="0.2">
      <c r="A44" s="48" t="s">
        <v>5</v>
      </c>
      <c r="C44" s="243">
        <f t="shared" si="20"/>
        <v>1.003717472118959</v>
      </c>
      <c r="D44" s="243">
        <f t="shared" si="20"/>
        <v>-0.19666048237476808</v>
      </c>
      <c r="E44" s="243">
        <f t="shared" si="20"/>
        <v>6.9284064665127024E-3</v>
      </c>
      <c r="F44" s="243">
        <f t="shared" si="20"/>
        <v>0.99311926605504586</v>
      </c>
      <c r="G44" s="243">
        <f t="shared" si="20"/>
        <v>0.64326812428078295</v>
      </c>
      <c r="H44" s="243">
        <f t="shared" si="20"/>
        <v>0.15266106442576999</v>
      </c>
      <c r="I44" s="244">
        <f t="shared" si="20"/>
        <v>-4.0704738760631833E-2</v>
      </c>
    </row>
    <row r="45" spans="1:14" x14ac:dyDescent="0.2">
      <c r="A45" s="51" t="s">
        <v>6</v>
      </c>
      <c r="C45" s="243">
        <f t="shared" si="20"/>
        <v>-2.0905923344947737E-2</v>
      </c>
      <c r="D45" s="243">
        <f t="shared" si="20"/>
        <v>1.4911032028469751</v>
      </c>
      <c r="E45" s="243">
        <f t="shared" si="20"/>
        <v>-9.0476190476190474E-2</v>
      </c>
      <c r="F45" s="243">
        <f t="shared" si="20"/>
        <v>5.235602094240838E-3</v>
      </c>
      <c r="G45" s="243">
        <f t="shared" si="20"/>
        <v>-3.6458333333333336E-2</v>
      </c>
      <c r="H45" s="243">
        <f t="shared" si="20"/>
        <v>-0.26486486486486488</v>
      </c>
      <c r="I45" s="244">
        <f t="shared" si="20"/>
        <v>3.3235294117647061</v>
      </c>
    </row>
    <row r="46" spans="1:14" x14ac:dyDescent="0.2">
      <c r="A46" s="51"/>
      <c r="C46" s="243"/>
      <c r="D46" s="243"/>
      <c r="E46" s="243"/>
      <c r="F46" s="243"/>
      <c r="G46" s="243"/>
      <c r="H46" s="243"/>
      <c r="I46" s="244"/>
    </row>
    <row r="47" spans="1:14" x14ac:dyDescent="0.2">
      <c r="A47" s="48" t="s">
        <v>7</v>
      </c>
      <c r="C47" s="243">
        <f>IF(AND(ISNUMBER(B15), B15&lt;&gt;0), (C15-B15)/B15, "")</f>
        <v>1.4860579551667579</v>
      </c>
      <c r="D47" s="243">
        <f t="shared" ref="D47:I47" si="21">IF(AND(ISNUMBER(C15), C15&lt;&gt;0), (D15-C15)/C15, "")</f>
        <v>-0.509566747305916</v>
      </c>
      <c r="E47" s="243">
        <f t="shared" si="21"/>
        <v>9.8654708520179366E-2</v>
      </c>
      <c r="F47" s="243">
        <f t="shared" si="21"/>
        <v>1.763265306122449</v>
      </c>
      <c r="G47" s="243">
        <f t="shared" si="21"/>
        <v>0.83604135893648501</v>
      </c>
      <c r="H47" s="243">
        <f t="shared" si="21"/>
        <v>0.21480289621882506</v>
      </c>
      <c r="I47" s="244">
        <f t="shared" si="21"/>
        <v>-0.34370860927152319</v>
      </c>
    </row>
    <row r="48" spans="1:14" x14ac:dyDescent="0.2">
      <c r="A48" s="51" t="s">
        <v>8</v>
      </c>
      <c r="C48" s="243">
        <f>IF(AND(ISNUMBER(B16), B16&lt;&gt;0), (C16-B16)/B16, "")</f>
        <v>-231.85714285714286</v>
      </c>
      <c r="D48" s="243">
        <f t="shared" ref="D48:H48" si="22">IF(AND(ISNUMBER(C16), C16&lt;&gt;0), (D16-C16)/C16, "")</f>
        <v>-0.93688118811881194</v>
      </c>
      <c r="E48" s="243">
        <f t="shared" si="22"/>
        <v>1.5686274509803921E-2</v>
      </c>
      <c r="F48" s="243">
        <f t="shared" si="22"/>
        <v>-1.055984555984556</v>
      </c>
      <c r="G48" s="243">
        <f t="shared" si="22"/>
        <v>31.379310344827587</v>
      </c>
      <c r="H48" s="243">
        <f t="shared" si="22"/>
        <v>7.5612353567625135E-2</v>
      </c>
      <c r="I48" s="244">
        <f>IF(AND(ISNUMBER(H16), H16&lt;&gt;0), (I16-H16)/H16, "")</f>
        <v>2.7128712871287131</v>
      </c>
    </row>
    <row r="49" spans="1:9" x14ac:dyDescent="0.2">
      <c r="A49" s="48" t="s">
        <v>112</v>
      </c>
      <c r="C49" s="243">
        <f>IF(AND(ISNUMBER(B17), B17&lt;&gt;0), (C17-B17)/B17, "")</f>
        <v>6.0384615384615383</v>
      </c>
      <c r="D49" s="243">
        <f t="shared" ref="D49:I49" si="23">IF(AND(ISNUMBER(C17), C17&lt;&gt;0), (D17-C17)/C17, "")</f>
        <v>-0.78300467252712447</v>
      </c>
      <c r="E49" s="243">
        <f t="shared" si="23"/>
        <v>8.3211678832116789E-2</v>
      </c>
      <c r="F49" s="243">
        <f t="shared" si="23"/>
        <v>1.2712264150943395</v>
      </c>
      <c r="G49" s="243">
        <f t="shared" si="23"/>
        <v>0.70464322800771451</v>
      </c>
      <c r="H49" s="243">
        <f t="shared" si="23"/>
        <v>0.22617700809329</v>
      </c>
      <c r="I49" s="244">
        <f t="shared" si="23"/>
        <v>-0.56281050390347764</v>
      </c>
    </row>
    <row r="50" spans="1:9" x14ac:dyDescent="0.2">
      <c r="A50" s="51" t="s">
        <v>10</v>
      </c>
      <c r="C50" s="243">
        <f t="shared" ref="C50:I65" si="24">IF(AND(ISNUMBER(B18), B18&lt;&gt;0), (C18-B18)/B18, "")</f>
        <v>2.7755102040816326</v>
      </c>
      <c r="D50" s="243">
        <f t="shared" si="24"/>
        <v>-0.96756756756756757</v>
      </c>
      <c r="E50" s="243">
        <f t="shared" si="24"/>
        <v>-0.91666666666666663</v>
      </c>
      <c r="F50" s="243">
        <f t="shared" si="24"/>
        <v>-1</v>
      </c>
      <c r="G50" s="243" t="str">
        <f>IF(AND(ISNUMBER(F18), F18&lt;&gt;0), (G18-F18)/F18, "")</f>
        <v/>
      </c>
      <c r="H50" s="243" t="str">
        <f t="shared" si="24"/>
        <v/>
      </c>
      <c r="I50" s="244" t="str">
        <f t="shared" si="24"/>
        <v/>
      </c>
    </row>
    <row r="51" spans="1:9" x14ac:dyDescent="0.2">
      <c r="A51" s="48" t="s">
        <v>9</v>
      </c>
      <c r="C51" s="243">
        <f t="shared" si="24"/>
        <v>6.2270047169811322</v>
      </c>
      <c r="D51" s="243">
        <f t="shared" si="24"/>
        <v>-0.77743330341845474</v>
      </c>
      <c r="E51" s="243">
        <f t="shared" si="24"/>
        <v>8.7609970674486809E-2</v>
      </c>
      <c r="F51" s="243">
        <f t="shared" si="24"/>
        <v>1.2719919110212337</v>
      </c>
      <c r="G51" s="243">
        <f t="shared" si="24"/>
        <v>0.70464322800771451</v>
      </c>
      <c r="H51" s="243">
        <f t="shared" si="24"/>
        <v>0.22617700809329</v>
      </c>
      <c r="I51" s="244">
        <f t="shared" si="24"/>
        <v>-0.58218594748048258</v>
      </c>
    </row>
    <row r="52" spans="1:9" x14ac:dyDescent="0.2">
      <c r="A52" s="53"/>
      <c r="C52" s="243"/>
      <c r="D52" s="243"/>
      <c r="E52" s="243"/>
      <c r="F52" s="243"/>
      <c r="G52" s="243"/>
      <c r="H52" s="243"/>
      <c r="I52" s="244"/>
    </row>
    <row r="53" spans="1:9" x14ac:dyDescent="0.2">
      <c r="A53" s="51" t="s">
        <v>11</v>
      </c>
      <c r="C53" s="243"/>
      <c r="D53" s="243"/>
      <c r="E53" s="243"/>
      <c r="F53" s="243"/>
      <c r="G53" s="243"/>
      <c r="H53" s="243"/>
      <c r="I53" s="244"/>
    </row>
    <row r="54" spans="1:9" x14ac:dyDescent="0.2">
      <c r="A54" s="52" t="s">
        <v>12</v>
      </c>
      <c r="C54" s="243">
        <f t="shared" si="24"/>
        <v>3.209876543209865E-2</v>
      </c>
      <c r="D54" s="243">
        <f t="shared" si="24"/>
        <v>-4.7846889952152999E-2</v>
      </c>
      <c r="E54" s="243">
        <f t="shared" si="24"/>
        <v>1.0050251256281287E-2</v>
      </c>
      <c r="F54" s="243">
        <f t="shared" si="24"/>
        <v>1.9900497512437814E-2</v>
      </c>
      <c r="G54" s="243">
        <f t="shared" si="24"/>
        <v>-2.4390243902437862E-3</v>
      </c>
      <c r="H54" s="243">
        <f t="shared" si="24"/>
        <v>1.4669926650366864E-2</v>
      </c>
      <c r="I54" s="244">
        <f t="shared" si="24"/>
        <v>0.11325301204819264</v>
      </c>
    </row>
    <row r="55" spans="1:9" x14ac:dyDescent="0.2">
      <c r="A55" s="52" t="s">
        <v>13</v>
      </c>
      <c r="C55" s="243">
        <f t="shared" si="24"/>
        <v>2.3752969121140142E-2</v>
      </c>
      <c r="D55" s="243">
        <f t="shared" si="24"/>
        <v>-2.7842227378190143E-2</v>
      </c>
      <c r="E55" s="243">
        <f t="shared" si="24"/>
        <v>4.7732696897373559E-3</v>
      </c>
      <c r="F55" s="243">
        <f t="shared" si="24"/>
        <v>1.9002375296912115E-2</v>
      </c>
      <c r="G55" s="243">
        <f t="shared" si="24"/>
        <v>-1.3986013986013875E-2</v>
      </c>
      <c r="H55" s="243">
        <f t="shared" si="24"/>
        <v>9.4562647754134858E-3</v>
      </c>
      <c r="I55" s="244">
        <f t="shared" si="24"/>
        <v>0.11943793911007038</v>
      </c>
    </row>
    <row r="56" spans="1:9" x14ac:dyDescent="0.2">
      <c r="A56" s="52"/>
      <c r="C56" s="243"/>
      <c r="D56" s="243"/>
      <c r="E56" s="243"/>
      <c r="F56" s="243"/>
      <c r="G56" s="243"/>
      <c r="H56" s="243"/>
      <c r="I56" s="244"/>
    </row>
    <row r="57" spans="1:9" x14ac:dyDescent="0.2">
      <c r="A57" s="51" t="s">
        <v>14</v>
      </c>
      <c r="C57" s="243"/>
      <c r="D57" s="243"/>
      <c r="E57" s="243"/>
      <c r="F57" s="243"/>
      <c r="G57" s="243"/>
      <c r="H57" s="243"/>
      <c r="I57" s="244"/>
    </row>
    <row r="58" spans="1:9" x14ac:dyDescent="0.2">
      <c r="A58" s="52" t="s">
        <v>12</v>
      </c>
      <c r="C58" s="243">
        <f t="shared" si="24"/>
        <v>6.0022414123860264</v>
      </c>
      <c r="D58" s="243">
        <f t="shared" si="24"/>
        <v>-0.76624904730882948</v>
      </c>
      <c r="E58" s="243">
        <f t="shared" si="24"/>
        <v>7.6787980916531828E-2</v>
      </c>
      <c r="F58" s="243">
        <f t="shared" si="24"/>
        <v>1.2276603615378923</v>
      </c>
      <c r="G58" s="243">
        <f t="shared" si="24"/>
        <v>0.70881105986103388</v>
      </c>
      <c r="H58" s="243">
        <f t="shared" si="24"/>
        <v>0.2084491477353147</v>
      </c>
      <c r="I58" s="244">
        <f t="shared" si="24"/>
        <v>-0.62469084026926458</v>
      </c>
    </row>
    <row r="59" spans="1:9" x14ac:dyDescent="0.2">
      <c r="A59" s="52" t="s">
        <v>13</v>
      </c>
      <c r="C59" s="243">
        <f t="shared" si="24"/>
        <v>6.0593247931532632</v>
      </c>
      <c r="D59" s="243">
        <f t="shared" si="24"/>
        <v>-0.77105907821802855</v>
      </c>
      <c r="E59" s="243">
        <f t="shared" si="24"/>
        <v>8.2443177464631909E-2</v>
      </c>
      <c r="F59" s="243">
        <f t="shared" si="24"/>
        <v>1.2296237634963623</v>
      </c>
      <c r="G59" s="243">
        <f t="shared" si="24"/>
        <v>0.72882256457519956</v>
      </c>
      <c r="H59" s="243">
        <f t="shared" si="24"/>
        <v>0.21469057242028522</v>
      </c>
      <c r="I59" s="244">
        <f t="shared" si="24"/>
        <v>-0.6267644342555776</v>
      </c>
    </row>
    <row r="60" spans="1:9" x14ac:dyDescent="0.2">
      <c r="A60" s="51"/>
      <c r="C60" s="243"/>
      <c r="D60" s="243"/>
      <c r="E60" s="243"/>
      <c r="F60" s="243"/>
      <c r="G60" s="243"/>
      <c r="H60" s="243"/>
      <c r="I60" s="244"/>
    </row>
    <row r="61" spans="1:9" x14ac:dyDescent="0.2">
      <c r="A61" s="51" t="s">
        <v>16</v>
      </c>
      <c r="C61" s="243">
        <f t="shared" si="24"/>
        <v>-0.14164904862579292</v>
      </c>
      <c r="D61" s="243">
        <f t="shared" si="24"/>
        <v>0.42364532019704448</v>
      </c>
      <c r="E61" s="243">
        <f t="shared" si="24"/>
        <v>0.19550173010380623</v>
      </c>
      <c r="F61" s="243">
        <f t="shared" si="24"/>
        <v>-0.12590448625180897</v>
      </c>
      <c r="G61" s="243">
        <f t="shared" si="24"/>
        <v>-0.17549668874172186</v>
      </c>
      <c r="H61" s="243">
        <f t="shared" si="24"/>
        <v>-0.23092369477911648</v>
      </c>
      <c r="I61" s="244">
        <f t="shared" si="24"/>
        <v>1.6135770234986946</v>
      </c>
    </row>
    <row r="62" spans="1:9" x14ac:dyDescent="0.2">
      <c r="A62" s="51"/>
      <c r="C62" s="243"/>
      <c r="D62" s="243"/>
      <c r="E62" s="243"/>
      <c r="F62" s="243"/>
      <c r="G62" s="243"/>
      <c r="H62" s="243"/>
      <c r="I62" s="244"/>
    </row>
    <row r="63" spans="1:9" x14ac:dyDescent="0.2">
      <c r="A63" s="51" t="s">
        <v>15</v>
      </c>
      <c r="C63" s="243">
        <f t="shared" si="24"/>
        <v>0.27358490566037735</v>
      </c>
      <c r="D63" s="243">
        <f t="shared" si="24"/>
        <v>6.9841269841269843E-2</v>
      </c>
      <c r="E63" s="243">
        <f t="shared" si="24"/>
        <v>0.11473788328387735</v>
      </c>
      <c r="F63" s="243">
        <f t="shared" si="24"/>
        <v>0.30700976042590949</v>
      </c>
      <c r="G63" s="243">
        <f t="shared" si="24"/>
        <v>0.30753564154786178</v>
      </c>
      <c r="H63" s="243">
        <f t="shared" si="24"/>
        <v>5.3478712357216823E-2</v>
      </c>
      <c r="I63" s="244">
        <f t="shared" si="24"/>
        <v>0.27156234598324297</v>
      </c>
    </row>
    <row r="64" spans="1:9" x14ac:dyDescent="0.2">
      <c r="A64" s="51"/>
      <c r="C64" s="243"/>
      <c r="D64" s="243"/>
      <c r="E64" s="243"/>
      <c r="F64" s="243"/>
      <c r="G64" s="243"/>
      <c r="H64" s="243"/>
      <c r="I64" s="244"/>
    </row>
    <row r="65" spans="1:9" ht="17" thickBot="1" x14ac:dyDescent="0.25">
      <c r="A65" s="58" t="s">
        <v>17</v>
      </c>
      <c r="B65" s="28"/>
      <c r="C65" s="245">
        <f t="shared" si="24"/>
        <v>-0.4065420560747664</v>
      </c>
      <c r="D65" s="245">
        <f t="shared" si="24"/>
        <v>-0.31968503937007875</v>
      </c>
      <c r="E65" s="245">
        <f t="shared" si="24"/>
        <v>7.1759259259259259E-2</v>
      </c>
      <c r="F65" s="245">
        <f t="shared" si="24"/>
        <v>-4.3196544276457881E-2</v>
      </c>
      <c r="G65" s="245">
        <f t="shared" si="24"/>
        <v>-4.2889390519187359E-2</v>
      </c>
      <c r="H65" s="245">
        <f t="shared" si="24"/>
        <v>6.6037735849056603E-2</v>
      </c>
      <c r="I65" s="246">
        <f t="shared" si="24"/>
        <v>0.21238938053097345</v>
      </c>
    </row>
    <row r="68" spans="1:9" ht="17" thickBot="1" x14ac:dyDescent="0.25"/>
    <row r="69" spans="1:9" x14ac:dyDescent="0.2">
      <c r="E69" s="260" t="s">
        <v>171</v>
      </c>
      <c r="F69" s="261"/>
    </row>
    <row r="70" spans="1:9" x14ac:dyDescent="0.2">
      <c r="E70" s="262"/>
      <c r="F70" s="263"/>
    </row>
    <row r="71" spans="1:9" ht="17" thickBot="1" x14ac:dyDescent="0.25">
      <c r="E71" s="264"/>
      <c r="F71" s="263"/>
    </row>
    <row r="72" spans="1:9" x14ac:dyDescent="0.2">
      <c r="E72" s="51" t="s">
        <v>1</v>
      </c>
      <c r="F72" s="122" cm="1">
        <f t="array" ref="F72">GEOMEAN(1+C38:I38)-1</f>
        <v>0.1656198530333064</v>
      </c>
    </row>
    <row r="73" spans="1:9" x14ac:dyDescent="0.2">
      <c r="E73" s="51" t="s">
        <v>2</v>
      </c>
      <c r="F73" s="122" cm="1">
        <f t="array" ref="F73">GEOMEAN(1+C39:I39)-1</f>
        <v>0.10632498722908035</v>
      </c>
    </row>
    <row r="74" spans="1:9" x14ac:dyDescent="0.2">
      <c r="E74" s="51"/>
      <c r="F74" s="122"/>
    </row>
    <row r="75" spans="1:9" x14ac:dyDescent="0.2">
      <c r="E75" s="48" t="s">
        <v>3</v>
      </c>
      <c r="F75" s="122" cm="1">
        <f t="array" ref="F75">GEOMEAN(1+C41:I41)-1</f>
        <v>0.23413053491525049</v>
      </c>
    </row>
    <row r="76" spans="1:9" x14ac:dyDescent="0.2">
      <c r="E76" s="51" t="s">
        <v>4</v>
      </c>
      <c r="F76" s="122" cm="1">
        <f t="array" ref="F76">GEOMEAN(1+C42:I42)-1</f>
        <v>0.18928843668028672</v>
      </c>
    </row>
    <row r="77" spans="1:9" x14ac:dyDescent="0.2">
      <c r="E77" s="51"/>
      <c r="F77" s="122"/>
    </row>
    <row r="78" spans="1:9" x14ac:dyDescent="0.2">
      <c r="E78" s="48" t="s">
        <v>5</v>
      </c>
      <c r="F78" s="122" cm="1">
        <f t="array" ref="F78">GEOMEAN(1+C44:I44)-1</f>
        <v>0.28766907084219917</v>
      </c>
    </row>
    <row r="79" spans="1:9" x14ac:dyDescent="0.2">
      <c r="E79" s="51" t="s">
        <v>6</v>
      </c>
      <c r="F79" s="122" cm="1">
        <f t="array" ref="F79">GEOMEAN(1+C45:I45)-1</f>
        <v>0.31581947713767877</v>
      </c>
    </row>
    <row r="80" spans="1:9" x14ac:dyDescent="0.2">
      <c r="E80" s="51"/>
      <c r="F80" s="122"/>
    </row>
    <row r="81" spans="5:6" x14ac:dyDescent="0.2">
      <c r="E81" s="48" t="s">
        <v>7</v>
      </c>
      <c r="F81" s="122" cm="1">
        <f t="array" ref="F81">GEOMEAN(1+C47:I47)-1</f>
        <v>0.27302559517826386</v>
      </c>
    </row>
    <row r="82" spans="5:6" x14ac:dyDescent="0.2">
      <c r="E82" s="51" t="s">
        <v>8</v>
      </c>
      <c r="F82" s="122" t="e" cm="1">
        <f t="array" ref="F82">GEOMEAN(1+C48:I48)-1</f>
        <v>#NUM!</v>
      </c>
    </row>
    <row r="83" spans="5:6" x14ac:dyDescent="0.2">
      <c r="E83" s="48" t="s">
        <v>112</v>
      </c>
      <c r="F83" s="122" cm="1">
        <f t="array" ref="F83">GEOMEAN(1+C49:I49)-1</f>
        <v>0.19271559068294875</v>
      </c>
    </row>
    <row r="84" spans="5:6" x14ac:dyDescent="0.2">
      <c r="E84" s="51" t="s">
        <v>10</v>
      </c>
      <c r="F84" s="242" t="e" cm="1">
        <f t="array" ref="F84">GEOMEAN(1+C50:I50)-1</f>
        <v>#VALUE!</v>
      </c>
    </row>
    <row r="85" spans="5:6" x14ac:dyDescent="0.2">
      <c r="E85" s="48" t="s">
        <v>9</v>
      </c>
      <c r="F85" s="122" cm="1">
        <f t="array" ref="F85">GEOMEAN(1+C51:I51)-1</f>
        <v>0.19456487645436216</v>
      </c>
    </row>
    <row r="86" spans="5:6" x14ac:dyDescent="0.2">
      <c r="E86" s="53"/>
      <c r="F86" s="122"/>
    </row>
    <row r="87" spans="5:6" x14ac:dyDescent="0.2">
      <c r="E87" s="51" t="s">
        <v>11</v>
      </c>
      <c r="F87" s="122"/>
    </row>
    <row r="88" spans="5:6" x14ac:dyDescent="0.2">
      <c r="E88" s="52" t="s">
        <v>12</v>
      </c>
      <c r="F88" s="122" cm="1">
        <f t="array" ref="F88">GEOMEAN(1+C54:I54)-1</f>
        <v>1.8989161433730528E-2</v>
      </c>
    </row>
    <row r="89" spans="5:6" x14ac:dyDescent="0.2">
      <c r="E89" s="52" t="s">
        <v>13</v>
      </c>
      <c r="F89" s="122" cm="1">
        <f t="array" ref="F89">GEOMEAN(1+C55:I55)-1</f>
        <v>1.8305223520091785E-2</v>
      </c>
    </row>
    <row r="90" spans="5:6" x14ac:dyDescent="0.2">
      <c r="E90" s="52" t="s">
        <v>133</v>
      </c>
      <c r="F90" s="122"/>
    </row>
    <row r="91" spans="5:6" x14ac:dyDescent="0.2">
      <c r="E91" s="51" t="s">
        <v>14</v>
      </c>
      <c r="F91" s="242"/>
    </row>
    <row r="92" spans="5:6" x14ac:dyDescent="0.2">
      <c r="E92" s="52" t="s">
        <v>12</v>
      </c>
      <c r="F92" s="122" cm="1">
        <f t="array" ref="F92">GEOMEAN(1+C58:I58)-1</f>
        <v>0.17230381015397112</v>
      </c>
    </row>
    <row r="93" spans="5:6" x14ac:dyDescent="0.2">
      <c r="E93" s="52" t="s">
        <v>13</v>
      </c>
      <c r="F93" s="122" cm="1">
        <f t="array" ref="F93">GEOMEAN(1+C59:I59)-1</f>
        <v>0.17309118019150849</v>
      </c>
    </row>
    <row r="94" spans="5:6" x14ac:dyDescent="0.2">
      <c r="E94" s="51"/>
      <c r="F94" s="122"/>
    </row>
    <row r="95" spans="5:6" x14ac:dyDescent="0.2">
      <c r="E95" s="51" t="s">
        <v>16</v>
      </c>
      <c r="F95" s="122" cm="1">
        <f t="array" ref="F95">GEOMEAN(1+C61:I61)-1</f>
        <v>0.11303909636499299</v>
      </c>
    </row>
    <row r="96" spans="5:6" x14ac:dyDescent="0.2">
      <c r="E96" s="51"/>
      <c r="F96" s="122"/>
    </row>
    <row r="97" spans="5:6" x14ac:dyDescent="0.2">
      <c r="E97" s="51" t="s">
        <v>15</v>
      </c>
      <c r="F97" s="122" cm="1">
        <f t="array" ref="F97">GEOMEAN(1+C63:I63)-1</f>
        <v>0.19485868032703579</v>
      </c>
    </row>
    <row r="98" spans="5:6" x14ac:dyDescent="0.2">
      <c r="E98" s="51"/>
      <c r="F98" s="122"/>
    </row>
    <row r="99" spans="5:6" ht="17" thickBot="1" x14ac:dyDescent="0.25">
      <c r="E99" s="58" t="s">
        <v>17</v>
      </c>
      <c r="F99" s="124" cm="1">
        <f t="array" ref="F99">GEOMEAN(1+C65:I65)-1</f>
        <v>-9.1164559147109525E-2</v>
      </c>
    </row>
  </sheetData>
  <mergeCells count="1">
    <mergeCell ref="E69:F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C82F-73EC-CF41-892D-D7F60FF476E2}">
  <dimension ref="B1:Z97"/>
  <sheetViews>
    <sheetView topLeftCell="A51" zoomScale="50" zoomScaleNormal="50" workbookViewId="0">
      <selection activeCell="B95" sqref="B95:B99"/>
    </sheetView>
  </sheetViews>
  <sheetFormatPr baseColWidth="10" defaultRowHeight="16" x14ac:dyDescent="0.2"/>
  <cols>
    <col min="2" max="2" width="30.6640625" customWidth="1"/>
    <col min="3" max="4" width="24.1640625" customWidth="1"/>
    <col min="5" max="5" width="23" customWidth="1"/>
    <col min="6" max="9" width="21.1640625" bestFit="1" customWidth="1"/>
    <col min="10" max="10" width="23.83203125" customWidth="1"/>
    <col min="11" max="11" width="22.33203125" customWidth="1"/>
    <col min="12" max="12" width="25.5" customWidth="1"/>
    <col min="13" max="13" width="22.1640625" customWidth="1"/>
    <col min="14" max="14" width="28.1640625" customWidth="1"/>
    <col min="15" max="15" width="24" customWidth="1"/>
    <col min="16" max="16" width="15.33203125" customWidth="1"/>
    <col min="17" max="17" width="16.1640625" bestFit="1" customWidth="1"/>
    <col min="18" max="18" width="25.83203125" customWidth="1"/>
    <col min="19" max="19" width="23.1640625" customWidth="1"/>
    <col min="21" max="21" width="10.83203125" customWidth="1"/>
  </cols>
  <sheetData>
    <row r="1" spans="2:26" x14ac:dyDescent="0.2">
      <c r="R1" s="269"/>
    </row>
    <row r="2" spans="2:26" ht="17" thickBot="1" x14ac:dyDescent="0.25">
      <c r="R2" s="270"/>
    </row>
    <row r="3" spans="2:26" x14ac:dyDescent="0.2">
      <c r="B3" s="97" t="s">
        <v>0</v>
      </c>
      <c r="C3" s="213">
        <v>2017</v>
      </c>
      <c r="D3" s="213">
        <v>2018</v>
      </c>
      <c r="E3" s="213">
        <v>2019</v>
      </c>
      <c r="F3" s="213">
        <v>2020</v>
      </c>
      <c r="G3" s="213">
        <v>2021</v>
      </c>
      <c r="H3" s="213">
        <v>2022</v>
      </c>
      <c r="I3" s="214">
        <v>2023</v>
      </c>
      <c r="J3" s="213">
        <v>2024</v>
      </c>
      <c r="K3" s="213">
        <v>2025</v>
      </c>
      <c r="L3" s="213">
        <v>2026</v>
      </c>
      <c r="M3" s="213">
        <v>2027</v>
      </c>
      <c r="N3" s="215">
        <v>2028</v>
      </c>
      <c r="O3" s="215">
        <v>2029</v>
      </c>
      <c r="R3" s="97" t="s">
        <v>0</v>
      </c>
      <c r="S3" s="23">
        <v>2017</v>
      </c>
      <c r="T3" s="23">
        <v>2018</v>
      </c>
      <c r="U3" s="23">
        <v>2019</v>
      </c>
      <c r="V3" s="23">
        <v>2020</v>
      </c>
      <c r="W3" s="23">
        <v>2021</v>
      </c>
      <c r="X3" s="23">
        <v>2022</v>
      </c>
      <c r="Y3" s="45">
        <v>2023</v>
      </c>
      <c r="Z3" s="24">
        <v>2024</v>
      </c>
    </row>
    <row r="4" spans="2:26" x14ac:dyDescent="0.2">
      <c r="B4" s="98"/>
      <c r="C4" s="138"/>
      <c r="D4" s="138"/>
      <c r="E4" s="138"/>
      <c r="F4" s="138"/>
      <c r="G4" s="138"/>
      <c r="H4" s="138"/>
      <c r="I4" s="134"/>
      <c r="J4" s="138"/>
      <c r="K4" s="138"/>
      <c r="L4" s="138"/>
      <c r="M4" s="138"/>
      <c r="N4" s="139"/>
      <c r="O4" s="139"/>
      <c r="P4" s="4"/>
      <c r="R4" s="98"/>
      <c r="Z4" s="25"/>
    </row>
    <row r="5" spans="2:26" x14ac:dyDescent="0.2">
      <c r="B5" s="98" t="s">
        <v>18</v>
      </c>
      <c r="C5" s="138"/>
      <c r="D5" s="138"/>
      <c r="E5" s="138"/>
      <c r="F5" s="138"/>
      <c r="G5" s="138"/>
      <c r="H5" s="138"/>
      <c r="I5" s="134"/>
      <c r="J5" s="138"/>
      <c r="K5" s="138"/>
      <c r="L5" s="138"/>
      <c r="M5" s="138"/>
      <c r="N5" s="139"/>
      <c r="O5" s="139"/>
      <c r="R5" s="98" t="s">
        <v>18</v>
      </c>
      <c r="T5" s="21"/>
      <c r="Z5" s="25"/>
    </row>
    <row r="6" spans="2:26" x14ac:dyDescent="0.2">
      <c r="B6" s="98"/>
      <c r="C6" s="138"/>
      <c r="D6" s="138"/>
      <c r="E6" s="138"/>
      <c r="F6" s="138"/>
      <c r="G6" s="138"/>
      <c r="H6" s="138"/>
      <c r="I6" s="134"/>
      <c r="J6" s="138"/>
      <c r="K6" s="138"/>
      <c r="L6" s="138"/>
      <c r="M6" s="138"/>
      <c r="N6" s="139"/>
      <c r="O6" s="139"/>
      <c r="R6" s="98"/>
      <c r="T6" s="21"/>
      <c r="Z6" s="25"/>
    </row>
    <row r="7" spans="2:26" x14ac:dyDescent="0.2">
      <c r="B7" s="162" t="s">
        <v>19</v>
      </c>
      <c r="C7" s="138"/>
      <c r="D7" s="138"/>
      <c r="E7" s="138"/>
      <c r="F7" s="138"/>
      <c r="G7" s="138"/>
      <c r="H7" s="138"/>
      <c r="I7" s="134"/>
      <c r="J7" s="138"/>
      <c r="K7" s="138"/>
      <c r="L7" s="138"/>
      <c r="M7" s="138"/>
      <c r="N7" s="139"/>
      <c r="O7" s="139"/>
      <c r="R7" s="162" t="s">
        <v>19</v>
      </c>
      <c r="T7" s="21"/>
      <c r="Z7" s="25"/>
    </row>
    <row r="8" spans="2:26" x14ac:dyDescent="0.2">
      <c r="B8" s="98" t="s">
        <v>20</v>
      </c>
      <c r="C8" s="175">
        <f>11.2*10^9</f>
        <v>11200000000</v>
      </c>
      <c r="D8" s="175">
        <f>4.29*10^9</f>
        <v>4290000000</v>
      </c>
      <c r="E8" s="175">
        <f>5.05*10^9</f>
        <v>5050000000</v>
      </c>
      <c r="F8" s="175">
        <f>7.62*10^9</f>
        <v>7620000000</v>
      </c>
      <c r="G8" s="175">
        <f>12.16*10^9</f>
        <v>12160000000</v>
      </c>
      <c r="H8" s="175">
        <f>12.42*10^9</f>
        <v>12420000000</v>
      </c>
      <c r="I8" s="189">
        <f>14.19*10^9</f>
        <v>14190000000</v>
      </c>
      <c r="J8" s="138">
        <f>9.35*10^9</f>
        <v>9350000000</v>
      </c>
      <c r="K8" s="138">
        <f>J8*(1+IS!$P$5*BS!M$73)</f>
        <v>13887488651.788731</v>
      </c>
      <c r="L8" s="138">
        <f>K8*(1+IS!$P$5*BS!N$73)</f>
        <v>20665936912.123772</v>
      </c>
      <c r="M8" s="138">
        <f>L8*(1+IS!$P$5*BS!O$73)</f>
        <v>30811222924.441513</v>
      </c>
      <c r="N8" s="139">
        <f>M8*(1+IS!$P$5*BS!P$73)</f>
        <v>46024429389.795151</v>
      </c>
      <c r="O8" s="139">
        <f>N8*(1+IS!$P$5*BS!Q$73)</f>
        <v>72162795730.966064</v>
      </c>
      <c r="P8" s="4"/>
      <c r="R8" s="98" t="s">
        <v>20</v>
      </c>
      <c r="T8" s="21">
        <f>IF(AND(ISNUMBER(C8), C8&lt;&gt;0), (D8-C8)/C8, 0)</f>
        <v>-0.61696428571428574</v>
      </c>
      <c r="U8" s="21">
        <f t="shared" ref="U8:Z12" si="0">IF(AND(ISNUMBER(D8), D8&lt;&gt;0), (E8-D8)/D8, 0)</f>
        <v>0.17715617715617715</v>
      </c>
      <c r="V8" s="21">
        <f t="shared" si="0"/>
        <v>0.50891089108910892</v>
      </c>
      <c r="W8" s="21">
        <f t="shared" si="0"/>
        <v>0.59580052493438318</v>
      </c>
      <c r="X8" s="21">
        <f t="shared" si="0"/>
        <v>2.1381578947368422E-2</v>
      </c>
      <c r="Y8" s="21">
        <f t="shared" si="0"/>
        <v>0.14251207729468598</v>
      </c>
      <c r="Z8" s="91">
        <f t="shared" si="0"/>
        <v>-0.34108527131782945</v>
      </c>
    </row>
    <row r="9" spans="2:26" x14ac:dyDescent="0.2">
      <c r="B9" s="98" t="s">
        <v>21</v>
      </c>
      <c r="C9" s="175">
        <f>2.45*10^9</f>
        <v>2450000000</v>
      </c>
      <c r="D9" s="175">
        <f>3.39*10^9</f>
        <v>3390000000</v>
      </c>
      <c r="E9" s="175">
        <f>3.26*10^9</f>
        <v>3260000000</v>
      </c>
      <c r="F9" s="175">
        <f>2.3*10^9</f>
        <v>2300000000</v>
      </c>
      <c r="G9" s="175">
        <f>2.07*10^9</f>
        <v>2069999999.9999998</v>
      </c>
      <c r="H9" s="175">
        <f>2.96*10^9</f>
        <v>2960000000</v>
      </c>
      <c r="I9" s="189">
        <f>3.15*10^9</f>
        <v>3150000000</v>
      </c>
      <c r="J9" s="138">
        <f>4.42*10^9</f>
        <v>4420000000</v>
      </c>
      <c r="K9" s="138">
        <f>J9*(1+IS!$P$5*BS!M$73)</f>
        <v>6564994635.391037</v>
      </c>
      <c r="L9" s="138">
        <f>K9*(1+IS!$P$5*BS!N$73)</f>
        <v>9769351994.8221474</v>
      </c>
      <c r="M9" s="138">
        <f>L9*(1+IS!$P$5*BS!O$73)</f>
        <v>14565305382.463261</v>
      </c>
      <c r="N9" s="139">
        <f>M9*(1+IS!$P$5*BS!P$73)</f>
        <v>21757002984.2668</v>
      </c>
      <c r="O9" s="139">
        <f>N9*(1+IS!$P$5*BS!Q$73)</f>
        <v>34113321618.274868</v>
      </c>
      <c r="R9" s="98" t="s">
        <v>21</v>
      </c>
      <c r="T9" s="21">
        <f t="shared" ref="T9:T46" si="1">IF(AND(ISNUMBER(C9), C9&lt;&gt;0), (D9-C9)/C9, 0)</f>
        <v>0.3836734693877551</v>
      </c>
      <c r="U9" s="21">
        <f t="shared" si="0"/>
        <v>-3.8348082595870206E-2</v>
      </c>
      <c r="V9" s="21">
        <f t="shared" si="0"/>
        <v>-0.29447852760736198</v>
      </c>
      <c r="W9" s="21">
        <f t="shared" si="0"/>
        <v>-0.1000000000000001</v>
      </c>
      <c r="X9" s="21">
        <f t="shared" si="0"/>
        <v>0.42995169082125623</v>
      </c>
      <c r="Y9" s="21">
        <f t="shared" si="0"/>
        <v>6.4189189189189186E-2</v>
      </c>
      <c r="Z9" s="91">
        <f t="shared" si="0"/>
        <v>0.40317460317460319</v>
      </c>
    </row>
    <row r="10" spans="2:26" x14ac:dyDescent="0.2">
      <c r="B10" s="98" t="s">
        <v>22</v>
      </c>
      <c r="C10" s="175">
        <f>1.45*10^9</f>
        <v>1450000000</v>
      </c>
      <c r="D10" s="175">
        <f>1.12*10^9</f>
        <v>1120000000</v>
      </c>
      <c r="E10" s="175">
        <f>874*10^6</f>
        <v>874000000</v>
      </c>
      <c r="F10" s="175">
        <f>1*10^9</f>
        <v>1000000000</v>
      </c>
      <c r="G10" s="175">
        <f>1.3*10^9</f>
        <v>1300000000</v>
      </c>
      <c r="H10" s="175">
        <f>1.93*10^9</f>
        <v>1930000000</v>
      </c>
      <c r="I10" s="189">
        <f>1.9*10^9</f>
        <v>1900000000</v>
      </c>
      <c r="J10" s="138">
        <f>1.76*10^9</f>
        <v>1760000000</v>
      </c>
      <c r="K10" s="138">
        <f>J10*(1+IS!$P$5*BS!M$73)</f>
        <v>2614115510.9249377</v>
      </c>
      <c r="L10" s="138">
        <f>K10*(1+IS!$P$5*BS!N$73)</f>
        <v>3890058712.8703575</v>
      </c>
      <c r="M10" s="138">
        <f>L10*(1+IS!$P$5*BS!O$73)</f>
        <v>5799759609.3066387</v>
      </c>
      <c r="N10" s="139">
        <f>M10*(1+IS!$P$5*BS!P$73)</f>
        <v>8663422002.7849712</v>
      </c>
      <c r="O10" s="139">
        <f>N10*(1+IS!$P$5*BS!Q$73)</f>
        <v>13583585078.770084</v>
      </c>
      <c r="R10" s="98" t="s">
        <v>22</v>
      </c>
      <c r="T10" s="21">
        <f t="shared" si="1"/>
        <v>-0.22758620689655173</v>
      </c>
      <c r="U10" s="21">
        <f t="shared" si="0"/>
        <v>-0.21964285714285714</v>
      </c>
      <c r="V10" s="21">
        <f t="shared" si="0"/>
        <v>0.14416475972540047</v>
      </c>
      <c r="W10" s="21">
        <f t="shared" si="0"/>
        <v>0.3</v>
      </c>
      <c r="X10" s="21">
        <f t="shared" si="0"/>
        <v>0.48461538461538461</v>
      </c>
      <c r="Y10" s="21">
        <f t="shared" si="0"/>
        <v>-1.5544041450777202E-2</v>
      </c>
      <c r="Z10" s="91">
        <f t="shared" si="0"/>
        <v>-7.3684210526315783E-2</v>
      </c>
    </row>
    <row r="11" spans="2:26" x14ac:dyDescent="0.2">
      <c r="B11" s="98" t="s">
        <v>10</v>
      </c>
      <c r="C11" s="175">
        <f>724*10^6</f>
        <v>724000000</v>
      </c>
      <c r="D11" s="175">
        <f>(243*10^6)+(58*10^6)</f>
        <v>301000000</v>
      </c>
      <c r="E11" s="175">
        <f>(302*10^6)+(427*10^6)</f>
        <v>729000000</v>
      </c>
      <c r="F11" s="175">
        <f>(387*10^6)+(590*10^6)</f>
        <v>977000000</v>
      </c>
      <c r="G11" s="175">
        <f>(539*10^6)+(516*10^6)</f>
        <v>1055000000</v>
      </c>
      <c r="H11" s="175">
        <f>(864*10^6)+(341*10^6)</f>
        <v>1205000000</v>
      </c>
      <c r="I11" s="189">
        <f>(743*10^6)+(863*10^6)</f>
        <v>1606000000</v>
      </c>
      <c r="J11" s="138">
        <f>(4.07*10^9)</f>
        <v>4070000000.0000005</v>
      </c>
      <c r="K11" s="138">
        <f>J11*(1+IS!$P$5*BS!M$73)</f>
        <v>6045142119.0139189</v>
      </c>
      <c r="L11" s="138">
        <f>K11*(1+IS!$P$5*BS!N$73)</f>
        <v>8995760773.5127029</v>
      </c>
      <c r="M11" s="138">
        <f>L11*(1+IS!$P$5*BS!O$73)</f>
        <v>13411944096.521603</v>
      </c>
      <c r="N11" s="139">
        <f>M11*(1+IS!$P$5*BS!P$73)</f>
        <v>20034163381.440247</v>
      </c>
      <c r="O11" s="139">
        <f>N11*(1+IS!$P$5*BS!Q$73)</f>
        <v>31412040494.655823</v>
      </c>
      <c r="R11" s="98" t="s">
        <v>10</v>
      </c>
      <c r="T11" s="21">
        <f t="shared" si="1"/>
        <v>-0.58425414364640882</v>
      </c>
      <c r="U11" s="21">
        <f t="shared" si="0"/>
        <v>1.4219269102990033</v>
      </c>
      <c r="V11" s="21">
        <f t="shared" si="0"/>
        <v>0.34019204389574759</v>
      </c>
      <c r="W11" s="21">
        <f t="shared" si="0"/>
        <v>7.9836233367451381E-2</v>
      </c>
      <c r="X11" s="21">
        <f t="shared" si="0"/>
        <v>0.14218009478672985</v>
      </c>
      <c r="Y11" s="21">
        <f t="shared" si="0"/>
        <v>0.33278008298755185</v>
      </c>
      <c r="Z11" s="91">
        <f t="shared" si="0"/>
        <v>1.5342465753424661</v>
      </c>
    </row>
    <row r="12" spans="2:26" x14ac:dyDescent="0.2">
      <c r="B12" s="163" t="s">
        <v>28</v>
      </c>
      <c r="C12" s="192">
        <f>SUM(C8:C11)</f>
        <v>15824000000</v>
      </c>
      <c r="D12" s="192">
        <f>SUM(D8:D11)</f>
        <v>9101000000</v>
      </c>
      <c r="E12" s="192">
        <f t="shared" ref="E12:G12" si="2">SUM(E8:E11)</f>
        <v>9913000000</v>
      </c>
      <c r="F12" s="192">
        <f t="shared" si="2"/>
        <v>11897000000</v>
      </c>
      <c r="G12" s="192">
        <f t="shared" si="2"/>
        <v>16585000000</v>
      </c>
      <c r="H12" s="192">
        <f>SUM(H8:H11)</f>
        <v>18515000000</v>
      </c>
      <c r="I12" s="193">
        <f t="shared" ref="I12" si="3">SUM(I8:I11)</f>
        <v>20846000000</v>
      </c>
      <c r="J12" s="193">
        <f>SUM(J8:J11)</f>
        <v>19600000000</v>
      </c>
      <c r="K12" s="193">
        <f t="shared" ref="K12" si="4">SUM(K8:K11)</f>
        <v>29111740917.118626</v>
      </c>
      <c r="L12" s="193">
        <f t="shared" ref="L12" si="5">SUM(L8:L11)</f>
        <v>43321108393.328979</v>
      </c>
      <c r="M12" s="193">
        <f t="shared" ref="M12" si="6">SUM(M8:M11)</f>
        <v>64588232012.733017</v>
      </c>
      <c r="N12" s="194">
        <f t="shared" ref="N12:O12" si="7">SUM(N8:N11)</f>
        <v>96479017758.28717</v>
      </c>
      <c r="O12" s="194">
        <f t="shared" si="7"/>
        <v>151271742922.66684</v>
      </c>
      <c r="R12" s="163" t="s">
        <v>28</v>
      </c>
      <c r="T12" s="21">
        <f t="shared" si="1"/>
        <v>-0.42486097067745199</v>
      </c>
      <c r="U12" s="21">
        <f t="shared" si="0"/>
        <v>8.9220964729150642E-2</v>
      </c>
      <c r="V12" s="21">
        <f t="shared" si="0"/>
        <v>0.20014122868959952</v>
      </c>
      <c r="W12" s="21">
        <f t="shared" si="0"/>
        <v>0.39404891989577207</v>
      </c>
      <c r="X12" s="21">
        <f t="shared" si="0"/>
        <v>0.11637021404883931</v>
      </c>
      <c r="Y12" s="21">
        <f t="shared" si="0"/>
        <v>0.12589792060491492</v>
      </c>
      <c r="Z12" s="91">
        <f t="shared" si="0"/>
        <v>-5.9771658831430492E-2</v>
      </c>
    </row>
    <row r="13" spans="2:26" x14ac:dyDescent="0.2">
      <c r="B13" s="162" t="s">
        <v>23</v>
      </c>
      <c r="C13" s="138"/>
      <c r="D13" s="138"/>
      <c r="E13" s="138"/>
      <c r="F13" s="138"/>
      <c r="G13" s="138"/>
      <c r="H13" s="138"/>
      <c r="I13" s="134"/>
      <c r="J13" s="138"/>
      <c r="K13" s="138"/>
      <c r="L13" s="138"/>
      <c r="M13" s="138"/>
      <c r="N13" s="139"/>
      <c r="O13" s="139"/>
      <c r="R13" s="162" t="s">
        <v>23</v>
      </c>
      <c r="T13" s="21"/>
      <c r="U13" s="21"/>
      <c r="V13" s="21"/>
      <c r="W13" s="21"/>
      <c r="X13" s="21"/>
      <c r="Y13" s="21"/>
      <c r="Z13" s="91"/>
    </row>
    <row r="14" spans="2:26" x14ac:dyDescent="0.2">
      <c r="B14" s="98" t="s">
        <v>24</v>
      </c>
      <c r="C14" s="175">
        <v>0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>
        <v>0</v>
      </c>
      <c r="K14" s="138">
        <f>J14*(1+IS!$P$5*BS!M$73)</f>
        <v>0</v>
      </c>
      <c r="L14" s="138">
        <f>K14*(1+IS!$P$5*BS!N$73)</f>
        <v>0</v>
      </c>
      <c r="M14" s="138">
        <f>L14*(1+IS!$P$5*BS!O$73)</f>
        <v>0</v>
      </c>
      <c r="N14" s="139">
        <f>M14*(1+IS!$P$5*BS!P$73)</f>
        <v>0</v>
      </c>
      <c r="O14" s="139">
        <f>N14*(1+IS!$P$5*BS!Q$73)</f>
        <v>0</v>
      </c>
      <c r="R14" s="98" t="s">
        <v>24</v>
      </c>
      <c r="T14" s="21">
        <f t="shared" si="1"/>
        <v>0</v>
      </c>
      <c r="U14" s="21">
        <f t="shared" ref="U14:U20" si="8">IF(AND(ISNUMBER(D14), D14&lt;&gt;0), (E14-D14)/D14, 0)</f>
        <v>0</v>
      </c>
      <c r="V14" s="21">
        <f t="shared" ref="V14:V20" si="9">IF(AND(ISNUMBER(E14), E14&lt;&gt;0), (F14-E14)/E14, 0)</f>
        <v>0</v>
      </c>
      <c r="W14" s="21">
        <f t="shared" ref="W14:W20" si="10">IF(AND(ISNUMBER(F14), F14&lt;&gt;0), (G14-F14)/F14, 0)</f>
        <v>0</v>
      </c>
      <c r="X14" s="21">
        <f t="shared" ref="X14:X20" si="11">IF(AND(ISNUMBER(G14), G14&lt;&gt;0), (H14-G14)/G14, 0)</f>
        <v>0</v>
      </c>
      <c r="Y14" s="21">
        <f t="shared" ref="Y14:Y20" si="12">IF(AND(ISNUMBER(H14), H14&lt;&gt;0), (I14-H14)/H14, 0)</f>
        <v>0</v>
      </c>
      <c r="Z14" s="91">
        <f t="shared" ref="Z14:Z20" si="13">IF(AND(ISNUMBER(I14), I14&lt;&gt;0), (J14-I14)/I14, 0)</f>
        <v>0</v>
      </c>
    </row>
    <row r="15" spans="2:26" x14ac:dyDescent="0.2">
      <c r="B15" s="98" t="s">
        <v>25</v>
      </c>
      <c r="C15" s="175">
        <f>2.6*10^9</f>
        <v>2600000000</v>
      </c>
      <c r="D15" s="175">
        <f>2.63*10^9</f>
        <v>2630000000</v>
      </c>
      <c r="E15" s="175">
        <f>2.56*10^9</f>
        <v>2560000000</v>
      </c>
      <c r="F15" s="175">
        <f>3.1*10^9</f>
        <v>3100000000</v>
      </c>
      <c r="G15" s="175">
        <f>2.94*10^9</f>
        <v>2940000000</v>
      </c>
      <c r="H15" s="175">
        <f>2.74*10^9</f>
        <v>2740000000</v>
      </c>
      <c r="I15" s="189">
        <f>2.62*10^9</f>
        <v>2620000000</v>
      </c>
      <c r="J15" s="138">
        <f>2.52*10^9</f>
        <v>2520000000</v>
      </c>
      <c r="K15" s="138">
        <f>J15*(1+IS!$P$5*BS!M$73)</f>
        <v>3742938117.9152517</v>
      </c>
      <c r="L15" s="138">
        <f>K15*(1+IS!$P$5*BS!N$73)</f>
        <v>5569856793.4280119</v>
      </c>
      <c r="M15" s="138">
        <f>L15*(1+IS!$P$5*BS!O$73)</f>
        <v>8304201258.7799597</v>
      </c>
      <c r="N15" s="139">
        <f>M15*(1+IS!$P$5*BS!P$73)</f>
        <v>12404445140.351208</v>
      </c>
      <c r="O15" s="139">
        <f>N15*(1+IS!$P$5*BS!Q$73)</f>
        <v>19449224090.057163</v>
      </c>
      <c r="R15" s="98" t="s">
        <v>25</v>
      </c>
      <c r="T15" s="21">
        <f t="shared" si="1"/>
        <v>1.1538461538461539E-2</v>
      </c>
      <c r="U15" s="21">
        <f t="shared" si="8"/>
        <v>-2.6615969581749048E-2</v>
      </c>
      <c r="V15" s="21">
        <f t="shared" si="9"/>
        <v>0.2109375</v>
      </c>
      <c r="W15" s="21">
        <f t="shared" si="10"/>
        <v>-5.1612903225806452E-2</v>
      </c>
      <c r="X15" s="21">
        <f t="shared" si="11"/>
        <v>-6.8027210884353748E-2</v>
      </c>
      <c r="Y15" s="21">
        <f t="shared" si="12"/>
        <v>-4.3795620437956206E-2</v>
      </c>
      <c r="Z15" s="91">
        <f t="shared" si="13"/>
        <v>-3.8167938931297711E-2</v>
      </c>
    </row>
    <row r="16" spans="2:26" x14ac:dyDescent="0.2">
      <c r="B16" s="98" t="s">
        <v>40</v>
      </c>
      <c r="C16" s="175">
        <f>21*10^6</f>
        <v>21000000</v>
      </c>
      <c r="D16" s="175">
        <f>284*10^6</f>
        <v>284000000</v>
      </c>
      <c r="E16" s="175">
        <v>0</v>
      </c>
      <c r="F16" s="175">
        <f>240*10^6</f>
        <v>240000000</v>
      </c>
      <c r="G16" s="175">
        <v>0</v>
      </c>
      <c r="H16" s="175">
        <v>0</v>
      </c>
      <c r="I16" s="189">
        <v>0</v>
      </c>
      <c r="J16" s="138">
        <v>0</v>
      </c>
      <c r="K16" s="138">
        <f>J16*(1+IS!$P$5*BS!M$73)</f>
        <v>0</v>
      </c>
      <c r="L16" s="138">
        <f>K16*(1+IS!$P$5*BS!N$73)</f>
        <v>0</v>
      </c>
      <c r="M16" s="138">
        <f>L16*(1+IS!$P$5*BS!O$73)</f>
        <v>0</v>
      </c>
      <c r="N16" s="139">
        <f>M16*(1+IS!$P$5*BS!P$73)</f>
        <v>0</v>
      </c>
      <c r="O16" s="139">
        <f>N16*(1+IS!$P$5*BS!Q$73)</f>
        <v>0</v>
      </c>
      <c r="R16" s="98" t="s">
        <v>40</v>
      </c>
      <c r="T16" s="21">
        <f t="shared" si="1"/>
        <v>12.523809523809524</v>
      </c>
      <c r="U16" s="21">
        <f t="shared" si="8"/>
        <v>-1</v>
      </c>
      <c r="V16" s="21">
        <f t="shared" si="9"/>
        <v>0</v>
      </c>
      <c r="W16" s="21">
        <f t="shared" si="10"/>
        <v>-1</v>
      </c>
      <c r="X16" s="21">
        <f t="shared" si="11"/>
        <v>0</v>
      </c>
      <c r="Y16" s="21">
        <f t="shared" si="12"/>
        <v>0</v>
      </c>
      <c r="Z16" s="91">
        <f t="shared" si="13"/>
        <v>0</v>
      </c>
    </row>
    <row r="17" spans="2:26" x14ac:dyDescent="0.2">
      <c r="B17" s="98" t="s">
        <v>26</v>
      </c>
      <c r="C17" s="175">
        <f>35.54*10^9</f>
        <v>35540000000</v>
      </c>
      <c r="D17" s="175">
        <f>37.67*10^9</f>
        <v>37670000000</v>
      </c>
      <c r="E17" s="175">
        <f>54.27*10^9</f>
        <v>54270000000</v>
      </c>
      <c r="F17" s="175">
        <f>60.23*10^9</f>
        <v>60230000000</v>
      </c>
      <c r="G17" s="175">
        <f>54.82*10^9</f>
        <v>54820000000</v>
      </c>
      <c r="H17" s="175">
        <f>50.73*10^9</f>
        <v>50730000000</v>
      </c>
      <c r="I17" s="189">
        <f>47.52*10^9</f>
        <v>47520000000</v>
      </c>
      <c r="J17" s="138">
        <f>138.46*10^9</f>
        <v>138460000000</v>
      </c>
      <c r="K17" s="138">
        <f>J17*(1+IS!$P$5*BS!M$73)</f>
        <v>205653655478.78799</v>
      </c>
      <c r="L17" s="138">
        <f>K17*(1+IS!$P$5*BS!N$73)</f>
        <v>306032687150.01685</v>
      </c>
      <c r="M17" s="138">
        <f>L17*(1+IS!$P$5*BS!O$73)</f>
        <v>456269724718.52106</v>
      </c>
      <c r="N17" s="139">
        <f>M17*(1+IS!$P$5*BS!P$73)</f>
        <v>681555346878.18579</v>
      </c>
      <c r="O17" s="139">
        <f>N17*(1+IS!$P$5*BS!Q$73)</f>
        <v>1068626812503.6964</v>
      </c>
      <c r="P17" s="2"/>
      <c r="Q17" s="2"/>
      <c r="R17" s="98" t="s">
        <v>26</v>
      </c>
      <c r="T17" s="21">
        <f t="shared" si="1"/>
        <v>5.9932470455824421E-2</v>
      </c>
      <c r="U17" s="21">
        <f t="shared" si="8"/>
        <v>0.4406689673480223</v>
      </c>
      <c r="V17" s="21">
        <f t="shared" si="9"/>
        <v>0.10982126405011977</v>
      </c>
      <c r="W17" s="21">
        <f t="shared" si="10"/>
        <v>-8.982234766727544E-2</v>
      </c>
      <c r="X17" s="21">
        <f t="shared" si="11"/>
        <v>-7.4607807369573148E-2</v>
      </c>
      <c r="Y17" s="21">
        <f t="shared" si="12"/>
        <v>-6.3276167947959788E-2</v>
      </c>
      <c r="Z17" s="91">
        <f t="shared" si="13"/>
        <v>1.9137205387205387</v>
      </c>
    </row>
    <row r="18" spans="2:26" x14ac:dyDescent="0.2">
      <c r="B18" s="98" t="s">
        <v>27</v>
      </c>
      <c r="C18" s="175">
        <f>35*10^6</f>
        <v>35000000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38">
        <f>J18*(1+IS!$P$5*BS!M$73)</f>
        <v>0</v>
      </c>
      <c r="L18" s="138">
        <f>K18*(1+IS!$P$5*BS!N$73)</f>
        <v>0</v>
      </c>
      <c r="M18" s="138">
        <f>L18*(1+IS!$P$5*BS!O$73)</f>
        <v>0</v>
      </c>
      <c r="N18" s="139">
        <f>M18*(1+IS!$P$5*BS!P$73)</f>
        <v>0</v>
      </c>
      <c r="O18" s="139">
        <f>N18*(1+IS!$P$5*BS!Q$73)</f>
        <v>0</v>
      </c>
      <c r="R18" s="98" t="s">
        <v>27</v>
      </c>
      <c r="T18" s="21">
        <f t="shared" si="1"/>
        <v>-1</v>
      </c>
      <c r="U18" s="21">
        <f t="shared" si="8"/>
        <v>0</v>
      </c>
      <c r="V18" s="21">
        <f t="shared" si="9"/>
        <v>0</v>
      </c>
      <c r="W18" s="21">
        <f t="shared" si="10"/>
        <v>0</v>
      </c>
      <c r="X18" s="21">
        <f t="shared" si="11"/>
        <v>0</v>
      </c>
      <c r="Y18" s="21">
        <f t="shared" si="12"/>
        <v>0</v>
      </c>
      <c r="Z18" s="91">
        <f t="shared" si="13"/>
        <v>0</v>
      </c>
    </row>
    <row r="19" spans="2:26" x14ac:dyDescent="0.2">
      <c r="B19" s="98" t="s">
        <v>10</v>
      </c>
      <c r="C19" s="175">
        <f>402*10^6</f>
        <v>402000000</v>
      </c>
      <c r="D19" s="175">
        <f>423*10^6</f>
        <v>423000000</v>
      </c>
      <c r="E19" s="175">
        <f>743*10^6</f>
        <v>743000000</v>
      </c>
      <c r="F19" s="175">
        <f>471*10^6</f>
        <v>471000000</v>
      </c>
      <c r="G19" s="175">
        <f>1.22*10^9</f>
        <v>1220000000</v>
      </c>
      <c r="H19" s="175">
        <f>1.28*10^9</f>
        <v>1280000000</v>
      </c>
      <c r="I19" s="189">
        <f>1.88*10^9</f>
        <v>1880000000</v>
      </c>
      <c r="J19" s="138">
        <f>5.07*10^9</f>
        <v>5070000000</v>
      </c>
      <c r="K19" s="138">
        <f>J19*(1+IS!$P$5*BS!M$73)</f>
        <v>7530435022.9485416</v>
      </c>
      <c r="L19" s="138">
        <f>K19*(1+IS!$P$5*BS!N$73)</f>
        <v>11206021405.825405</v>
      </c>
      <c r="M19" s="138">
        <f>L19*(1+IS!$P$5*BS!O$73)</f>
        <v>16707262056.354919</v>
      </c>
      <c r="N19" s="139">
        <f>M19*(1+IS!$P$5*BS!P$73)</f>
        <v>24956562246.658981</v>
      </c>
      <c r="O19" s="139">
        <f>N19*(1+IS!$P$5*BS!Q$73)</f>
        <v>39129986562.138824</v>
      </c>
      <c r="R19" s="98" t="s">
        <v>10</v>
      </c>
      <c r="T19" s="21">
        <f t="shared" si="1"/>
        <v>5.2238805970149252E-2</v>
      </c>
      <c r="U19" s="21">
        <f t="shared" si="8"/>
        <v>0.75650118203309691</v>
      </c>
      <c r="V19" s="21">
        <f t="shared" si="9"/>
        <v>-0.36608344549125166</v>
      </c>
      <c r="W19" s="21">
        <f t="shared" si="10"/>
        <v>1.5902335456475585</v>
      </c>
      <c r="X19" s="21">
        <f t="shared" si="11"/>
        <v>4.9180327868852458E-2</v>
      </c>
      <c r="Y19" s="21">
        <f t="shared" si="12"/>
        <v>0.46875</v>
      </c>
      <c r="Z19" s="91">
        <f t="shared" si="13"/>
        <v>1.696808510638298</v>
      </c>
    </row>
    <row r="20" spans="2:26" x14ac:dyDescent="0.2">
      <c r="B20" s="163" t="s">
        <v>28</v>
      </c>
      <c r="C20" s="192">
        <f>SUM(C14:C19)</f>
        <v>38598000000</v>
      </c>
      <c r="D20" s="192">
        <f t="shared" ref="D20:H20" si="14">SUM(D14:D19)</f>
        <v>41007000000</v>
      </c>
      <c r="E20" s="192">
        <f t="shared" si="14"/>
        <v>57573000000</v>
      </c>
      <c r="F20" s="192">
        <f t="shared" si="14"/>
        <v>64041000000</v>
      </c>
      <c r="G20" s="192">
        <f t="shared" si="14"/>
        <v>58980000000</v>
      </c>
      <c r="H20" s="192">
        <f t="shared" si="14"/>
        <v>54750000000</v>
      </c>
      <c r="I20" s="193">
        <f>SUM(I14:I19)</f>
        <v>52020000000</v>
      </c>
      <c r="J20" s="193">
        <f t="shared" ref="J20:M20" si="15">SUM(J14:J19)</f>
        <v>146050000000</v>
      </c>
      <c r="K20" s="193">
        <f t="shared" si="15"/>
        <v>216927028619.65179</v>
      </c>
      <c r="L20" s="193">
        <f t="shared" si="15"/>
        <v>322808565349.27026</v>
      </c>
      <c r="M20" s="193">
        <f t="shared" si="15"/>
        <v>481281188033.65594</v>
      </c>
      <c r="N20" s="194">
        <f>SUM(N14:N19)</f>
        <v>718916354265.19592</v>
      </c>
      <c r="O20" s="194">
        <f>SUM(O14:O19)</f>
        <v>1127206023155.8923</v>
      </c>
      <c r="R20" s="163" t="s">
        <v>28</v>
      </c>
      <c r="T20" s="21">
        <f t="shared" si="1"/>
        <v>6.2412560236281674E-2</v>
      </c>
      <c r="U20" s="21">
        <f t="shared" si="8"/>
        <v>0.40397980832540786</v>
      </c>
      <c r="V20" s="21">
        <f t="shared" si="9"/>
        <v>0.11234432807044969</v>
      </c>
      <c r="W20" s="21">
        <f t="shared" si="10"/>
        <v>-7.9027498009087926E-2</v>
      </c>
      <c r="X20" s="21">
        <f t="shared" si="11"/>
        <v>-7.1719226856561541E-2</v>
      </c>
      <c r="Y20" s="21">
        <f t="shared" si="12"/>
        <v>-4.9863013698630138E-2</v>
      </c>
      <c r="Z20" s="91">
        <f t="shared" si="13"/>
        <v>1.8075740099961553</v>
      </c>
    </row>
    <row r="21" spans="2:26" x14ac:dyDescent="0.2">
      <c r="B21" s="98"/>
      <c r="C21" s="138"/>
      <c r="D21" s="138"/>
      <c r="E21" s="138"/>
      <c r="F21" s="138"/>
      <c r="G21" s="138"/>
      <c r="H21" s="138"/>
      <c r="I21" s="134"/>
      <c r="J21" s="138"/>
      <c r="K21" s="138"/>
      <c r="L21" s="138"/>
      <c r="M21" s="138"/>
      <c r="N21" s="139"/>
      <c r="O21" s="139"/>
      <c r="R21" s="98"/>
      <c r="T21" s="21"/>
      <c r="U21" s="21"/>
      <c r="V21" s="21"/>
      <c r="W21" s="21"/>
      <c r="X21" s="21"/>
      <c r="Y21" s="21"/>
      <c r="Z21" s="91"/>
    </row>
    <row r="22" spans="2:26" x14ac:dyDescent="0.2">
      <c r="B22" s="144" t="s">
        <v>29</v>
      </c>
      <c r="C22" s="192">
        <f>C12+C20</f>
        <v>54422000000</v>
      </c>
      <c r="D22" s="192">
        <f t="shared" ref="D22:N22" si="16">D12+D20</f>
        <v>50108000000</v>
      </c>
      <c r="E22" s="192">
        <f t="shared" si="16"/>
        <v>67486000000</v>
      </c>
      <c r="F22" s="192">
        <f t="shared" si="16"/>
        <v>75938000000</v>
      </c>
      <c r="G22" s="192">
        <f t="shared" si="16"/>
        <v>75565000000</v>
      </c>
      <c r="H22" s="192">
        <f t="shared" si="16"/>
        <v>73265000000</v>
      </c>
      <c r="I22" s="193">
        <f t="shared" si="16"/>
        <v>72866000000</v>
      </c>
      <c r="J22" s="193">
        <f>J12+J20</f>
        <v>165650000000</v>
      </c>
      <c r="K22" s="193">
        <f t="shared" si="16"/>
        <v>246038769536.77042</v>
      </c>
      <c r="L22" s="193">
        <f t="shared" si="16"/>
        <v>366129673742.59924</v>
      </c>
      <c r="M22" s="193">
        <f t="shared" si="16"/>
        <v>545869420046.38898</v>
      </c>
      <c r="N22" s="194">
        <f t="shared" si="16"/>
        <v>815395372023.48315</v>
      </c>
      <c r="O22" s="194">
        <f t="shared" ref="O22" si="17">O12+O20</f>
        <v>1278477766078.5591</v>
      </c>
      <c r="R22" s="144" t="s">
        <v>29</v>
      </c>
      <c r="T22" s="21">
        <f t="shared" si="1"/>
        <v>-7.9269413104994302E-2</v>
      </c>
      <c r="U22" s="21">
        <f t="shared" ref="U22" si="18">IF(AND(ISNUMBER(D22), D22&lt;&gt;0), (E22-D22)/D22, 0)</f>
        <v>0.34681088848088132</v>
      </c>
      <c r="V22" s="21">
        <f t="shared" ref="V22" si="19">IF(AND(ISNUMBER(E22), E22&lt;&gt;0), (F22-E22)/E22, 0)</f>
        <v>0.12524079068251193</v>
      </c>
      <c r="W22" s="21">
        <f t="shared" ref="W22" si="20">IF(AND(ISNUMBER(F22), F22&lt;&gt;0), (G22-F22)/F22, 0)</f>
        <v>-4.9119018146382577E-3</v>
      </c>
      <c r="X22" s="21">
        <f t="shared" ref="X22" si="21">IF(AND(ISNUMBER(G22), G22&lt;&gt;0), (H22-G22)/G22, 0)</f>
        <v>-3.0437371799113346E-2</v>
      </c>
      <c r="Y22" s="21">
        <f t="shared" ref="Y22" si="22">IF(AND(ISNUMBER(H22), H22&lt;&gt;0), (I22-H22)/H22, 0)</f>
        <v>-5.445983757592302E-3</v>
      </c>
      <c r="Z22" s="91">
        <f t="shared" ref="Z22" si="23">IF(AND(ISNUMBER(I22), I22&lt;&gt;0), (J22-I22)/I22, 0)</f>
        <v>1.2733510828095409</v>
      </c>
    </row>
    <row r="23" spans="2:26" x14ac:dyDescent="0.2">
      <c r="B23" s="152"/>
      <c r="C23" s="195"/>
      <c r="D23" s="195"/>
      <c r="E23" s="195"/>
      <c r="F23" s="195"/>
      <c r="G23" s="195"/>
      <c r="H23" s="195"/>
      <c r="I23" s="196"/>
      <c r="J23" s="195"/>
      <c r="K23" s="195"/>
      <c r="L23" s="195"/>
      <c r="M23" s="195"/>
      <c r="N23" s="197"/>
      <c r="O23" s="197"/>
      <c r="R23" s="152"/>
      <c r="T23" s="21"/>
      <c r="U23" s="21"/>
      <c r="V23" s="21"/>
      <c r="W23" s="21"/>
      <c r="X23" s="21"/>
      <c r="Y23" s="21"/>
      <c r="Z23" s="91"/>
    </row>
    <row r="24" spans="2:26" x14ac:dyDescent="0.2">
      <c r="B24" s="98"/>
      <c r="C24" s="138"/>
      <c r="D24" s="138"/>
      <c r="E24" s="138"/>
      <c r="F24" s="138"/>
      <c r="G24" s="138"/>
      <c r="H24" s="138"/>
      <c r="I24" s="134"/>
      <c r="J24" s="138"/>
      <c r="K24" s="138"/>
      <c r="L24" s="138"/>
      <c r="M24" s="138"/>
      <c r="N24" s="139"/>
      <c r="O24" s="139"/>
      <c r="R24" s="98"/>
      <c r="T24" s="21"/>
      <c r="U24" s="21"/>
      <c r="V24" s="21"/>
      <c r="W24" s="21"/>
      <c r="X24" s="21"/>
      <c r="Y24" s="21"/>
      <c r="Z24" s="91"/>
    </row>
    <row r="25" spans="2:26" x14ac:dyDescent="0.2">
      <c r="B25" s="98" t="s">
        <v>0</v>
      </c>
      <c r="C25" s="138">
        <v>2017</v>
      </c>
      <c r="D25" s="138">
        <v>2018</v>
      </c>
      <c r="E25" s="138">
        <v>2019</v>
      </c>
      <c r="F25" s="138">
        <v>2020</v>
      </c>
      <c r="G25" s="138">
        <v>2021</v>
      </c>
      <c r="H25" s="138">
        <v>2022</v>
      </c>
      <c r="I25" s="134">
        <v>2023</v>
      </c>
      <c r="J25" s="138">
        <v>2024</v>
      </c>
      <c r="K25" s="138">
        <v>2025</v>
      </c>
      <c r="L25" s="138">
        <v>2026</v>
      </c>
      <c r="M25" s="138">
        <v>2027</v>
      </c>
      <c r="N25" s="139">
        <v>2028</v>
      </c>
      <c r="O25" s="139">
        <v>2028</v>
      </c>
      <c r="R25" s="98" t="s">
        <v>0</v>
      </c>
      <c r="T25" s="21"/>
      <c r="U25" s="21"/>
      <c r="V25" s="21"/>
      <c r="W25" s="21"/>
      <c r="X25" s="21"/>
      <c r="Y25" s="21"/>
      <c r="Z25" s="91"/>
    </row>
    <row r="26" spans="2:26" x14ac:dyDescent="0.2">
      <c r="B26" s="98" t="s">
        <v>30</v>
      </c>
      <c r="C26" s="138"/>
      <c r="D26" s="138"/>
      <c r="E26" s="138"/>
      <c r="F26" s="138"/>
      <c r="G26" s="138"/>
      <c r="H26" s="138"/>
      <c r="I26" s="134"/>
      <c r="J26" s="138"/>
      <c r="K26" s="138"/>
      <c r="L26" s="138"/>
      <c r="M26" s="138"/>
      <c r="N26" s="139"/>
      <c r="O26" s="139"/>
      <c r="R26" s="98" t="s">
        <v>30</v>
      </c>
      <c r="T26" s="21"/>
      <c r="U26" s="21"/>
      <c r="V26" s="21"/>
      <c r="W26" s="21"/>
      <c r="X26" s="21"/>
      <c r="Y26" s="21"/>
      <c r="Z26" s="91"/>
    </row>
    <row r="27" spans="2:26" x14ac:dyDescent="0.2">
      <c r="B27" s="162" t="s">
        <v>31</v>
      </c>
      <c r="C27" s="138"/>
      <c r="D27" s="138"/>
      <c r="E27" s="138"/>
      <c r="F27" s="138"/>
      <c r="G27" s="138"/>
      <c r="H27" s="138"/>
      <c r="I27" s="134"/>
      <c r="J27" s="138"/>
      <c r="K27" s="138"/>
      <c r="L27" s="138"/>
      <c r="M27" s="138"/>
      <c r="N27" s="139"/>
      <c r="O27" s="139"/>
      <c r="R27" s="162" t="s">
        <v>31</v>
      </c>
      <c r="T27" s="21"/>
      <c r="U27" s="21"/>
      <c r="V27" s="21"/>
      <c r="W27" s="21"/>
      <c r="X27" s="21"/>
      <c r="Y27" s="21"/>
      <c r="Z27" s="91"/>
    </row>
    <row r="28" spans="2:26" x14ac:dyDescent="0.2">
      <c r="B28" s="98" t="s">
        <v>32</v>
      </c>
      <c r="C28" s="175">
        <f>117*10^6</f>
        <v>117000000</v>
      </c>
      <c r="D28" s="175">
        <v>0</v>
      </c>
      <c r="E28" s="175">
        <f>2.79*10^9</f>
        <v>2790000000</v>
      </c>
      <c r="F28" s="175">
        <f>927*10^6</f>
        <v>927000000</v>
      </c>
      <c r="G28" s="175">
        <f>373*10^6</f>
        <v>373000000</v>
      </c>
      <c r="H28" s="175">
        <f>514*10^6</f>
        <v>514000000</v>
      </c>
      <c r="I28" s="189">
        <f>1.67*10^9</f>
        <v>1670000000</v>
      </c>
      <c r="J28" s="138">
        <f>1.27*10^9</f>
        <v>1270000000</v>
      </c>
      <c r="K28" s="138">
        <f>J28*(1+IS!$P$5*M$77)</f>
        <v>1636048505.4788203</v>
      </c>
      <c r="L28" s="138">
        <f>K28*(1+IS!$P$5*N$77)</f>
        <v>2112377874.6518497</v>
      </c>
      <c r="M28" s="138">
        <f>L28*(1+IS!$P$5*O$77)</f>
        <v>2733617374.6290693</v>
      </c>
      <c r="N28" s="139">
        <f>M28*(1+IS!$P$5*P$77)</f>
        <v>3545702292.5798512</v>
      </c>
      <c r="O28" s="139">
        <f>N28*(1+IS!$P$5*Q$77)</f>
        <v>4757260241.8192034</v>
      </c>
      <c r="R28" s="98" t="s">
        <v>32</v>
      </c>
      <c r="T28" s="21">
        <f t="shared" si="1"/>
        <v>-1</v>
      </c>
      <c r="U28" s="21">
        <f t="shared" ref="U28:U34" si="24">IF(AND(ISNUMBER(D28), D28&lt;&gt;0), (E28-D28)/D28, 0)</f>
        <v>0</v>
      </c>
      <c r="V28" s="21">
        <f t="shared" ref="V28:V34" si="25">IF(AND(ISNUMBER(E28), E28&lt;&gt;0), (F28-E28)/E28, 0)</f>
        <v>-0.66774193548387095</v>
      </c>
      <c r="W28" s="21">
        <f t="shared" ref="W28:W34" si="26">IF(AND(ISNUMBER(F28), F28&lt;&gt;0), (G28-F28)/F28, 0)</f>
        <v>-0.59762675296655876</v>
      </c>
      <c r="X28" s="21">
        <f t="shared" ref="X28:X34" si="27">IF(AND(ISNUMBER(G28), G28&lt;&gt;0), (H28-G28)/G28, 0)</f>
        <v>0.37801608579088469</v>
      </c>
      <c r="Y28" s="21">
        <f t="shared" ref="Y28:Y34" si="28">IF(AND(ISNUMBER(H28), H28&lt;&gt;0), (I28-H28)/H28, 0)</f>
        <v>2.2490272373540856</v>
      </c>
      <c r="Z28" s="91">
        <f t="shared" ref="Z28:Z34" si="29">IF(AND(ISNUMBER(I28), I28&lt;&gt;0), (J28-I28)/I28, 0)</f>
        <v>-0.23952095808383234</v>
      </c>
    </row>
    <row r="29" spans="2:26" x14ac:dyDescent="0.2">
      <c r="B29" s="98" t="s">
        <v>33</v>
      </c>
      <c r="C29" s="175">
        <f>1.1*10^9</f>
        <v>1100000000</v>
      </c>
      <c r="D29" s="175">
        <f>811*10^6</f>
        <v>811000000</v>
      </c>
      <c r="E29" s="175">
        <f>855*10^6</f>
        <v>855000000</v>
      </c>
      <c r="F29" s="175">
        <f>836*10^6</f>
        <v>836000000</v>
      </c>
      <c r="G29" s="175">
        <f>1.09*10^9</f>
        <v>1090000000</v>
      </c>
      <c r="H29" s="175">
        <f>998*10^6</f>
        <v>998000000</v>
      </c>
      <c r="I29" s="189">
        <f>1.21*10^9</f>
        <v>1210000000</v>
      </c>
      <c r="J29" s="138">
        <f>1.66*10^9</f>
        <v>1660000000</v>
      </c>
      <c r="K29" s="138">
        <f>J29*(1+IS!$P$5*M$77)</f>
        <v>2138457101.6494818</v>
      </c>
      <c r="L29" s="138">
        <f>K29*(1+IS!$P$5*N$77)</f>
        <v>2761060844.0331264</v>
      </c>
      <c r="M29" s="138">
        <f>L29*(1+IS!$P$5*O$77)</f>
        <v>3573074678.6490192</v>
      </c>
      <c r="N29" s="139">
        <f>M29*(1+IS!$P$5*P$77)</f>
        <v>4634540004.4744501</v>
      </c>
      <c r="O29" s="139">
        <f>N29*(1+IS!$P$5*Q$77)</f>
        <v>6218151182.2203751</v>
      </c>
      <c r="P29" s="4"/>
      <c r="R29" s="98" t="s">
        <v>33</v>
      </c>
      <c r="T29" s="21">
        <f t="shared" si="1"/>
        <v>-0.26272727272727275</v>
      </c>
      <c r="U29" s="21">
        <f t="shared" si="24"/>
        <v>5.4254007398273733E-2</v>
      </c>
      <c r="V29" s="21">
        <f t="shared" si="25"/>
        <v>-2.2222222222222223E-2</v>
      </c>
      <c r="W29" s="21">
        <f t="shared" si="26"/>
        <v>0.30382775119617222</v>
      </c>
      <c r="X29" s="21">
        <f t="shared" si="27"/>
        <v>-8.4403669724770647E-2</v>
      </c>
      <c r="Y29" s="21">
        <f t="shared" si="28"/>
        <v>0.21242484969939879</v>
      </c>
      <c r="Z29" s="91">
        <f t="shared" si="29"/>
        <v>0.37190082644628097</v>
      </c>
    </row>
    <row r="30" spans="2:26" x14ac:dyDescent="0.2">
      <c r="B30" s="98" t="s">
        <v>34</v>
      </c>
      <c r="C30" s="175">
        <f>123*10^6</f>
        <v>123000000</v>
      </c>
      <c r="D30" s="175">
        <f>162*10^6</f>
        <v>162000000</v>
      </c>
      <c r="E30" s="175">
        <f>229*10^6</f>
        <v>229000000</v>
      </c>
      <c r="F30" s="175">
        <f>440*10^6</f>
        <v>440000000</v>
      </c>
      <c r="G30" s="175">
        <f>541*10^6</f>
        <v>541000000</v>
      </c>
      <c r="H30" s="175">
        <f>680*10^6</f>
        <v>680000000</v>
      </c>
      <c r="I30" s="189">
        <f>473*10^6</f>
        <v>473000000</v>
      </c>
      <c r="J30" s="138">
        <v>0</v>
      </c>
      <c r="K30" s="138">
        <f>J30*(1+IS!$P$5*M$77)</f>
        <v>0</v>
      </c>
      <c r="L30" s="138">
        <f>K30*(1+IS!$P$5*N$77)</f>
        <v>0</v>
      </c>
      <c r="M30" s="138">
        <f>L30*(1+IS!$P$5*O$77)</f>
        <v>0</v>
      </c>
      <c r="N30" s="139">
        <f>M30*(1+IS!$P$5*P$77)</f>
        <v>0</v>
      </c>
      <c r="O30" s="139">
        <f>N30*(1+IS!$P$5*Q$77)</f>
        <v>0</v>
      </c>
      <c r="R30" s="98" t="s">
        <v>34</v>
      </c>
      <c r="T30" s="21">
        <f t="shared" si="1"/>
        <v>0.31707317073170732</v>
      </c>
      <c r="U30" s="21">
        <f t="shared" si="24"/>
        <v>0.41358024691358025</v>
      </c>
      <c r="V30" s="21">
        <f t="shared" si="25"/>
        <v>0.92139737991266379</v>
      </c>
      <c r="W30" s="21">
        <f t="shared" si="26"/>
        <v>0.22954545454545455</v>
      </c>
      <c r="X30" s="21">
        <f t="shared" si="27"/>
        <v>0.25693160813308685</v>
      </c>
      <c r="Y30" s="21">
        <f t="shared" si="28"/>
        <v>-0.30441176470588233</v>
      </c>
      <c r="Z30" s="91">
        <f t="shared" si="29"/>
        <v>-1</v>
      </c>
    </row>
    <row r="31" spans="2:26" x14ac:dyDescent="0.2">
      <c r="B31" s="98" t="s">
        <v>35</v>
      </c>
      <c r="C31" s="175">
        <f>626*10^6</f>
        <v>626000000</v>
      </c>
      <c r="D31" s="175">
        <f>715*10^6</f>
        <v>715000000</v>
      </c>
      <c r="E31" s="175">
        <f>641*10^6</f>
        <v>641000000</v>
      </c>
      <c r="F31" s="175">
        <f>877*10^6</f>
        <v>877000000</v>
      </c>
      <c r="G31" s="175">
        <f>1.07*10^9</f>
        <v>1070000000.0000001</v>
      </c>
      <c r="H31" s="175">
        <f>1.2*10^9</f>
        <v>1200000000</v>
      </c>
      <c r="I31" s="189">
        <f>935*10^6</f>
        <v>935000000</v>
      </c>
      <c r="J31" s="138">
        <f>1.97*10^9</f>
        <v>1970000000</v>
      </c>
      <c r="K31" s="138">
        <f>J31*(1+IS!$P$5*M$77)</f>
        <v>2537807524.2466741</v>
      </c>
      <c r="L31" s="138">
        <f>K31*(1+IS!$P$5*N$77)</f>
        <v>3276680640.2079873</v>
      </c>
      <c r="M31" s="138">
        <f>L31*(1+IS!$P$5*O$77)</f>
        <v>4240335612.6135955</v>
      </c>
      <c r="N31" s="139">
        <f>M31*(1+IS!$P$5*P$77)</f>
        <v>5500026390.85221</v>
      </c>
      <c r="O31" s="139">
        <f>N31*(1+IS!$P$5*Q$77)</f>
        <v>7379372186.1290016</v>
      </c>
      <c r="R31" s="98" t="s">
        <v>35</v>
      </c>
      <c r="T31" s="21">
        <f t="shared" si="1"/>
        <v>0.14217252396166133</v>
      </c>
      <c r="U31" s="21">
        <f t="shared" si="24"/>
        <v>-0.10349650349650349</v>
      </c>
      <c r="V31" s="21">
        <f t="shared" si="25"/>
        <v>0.36817472698907955</v>
      </c>
      <c r="W31" s="21">
        <f t="shared" si="26"/>
        <v>0.22006841505131142</v>
      </c>
      <c r="X31" s="21">
        <f t="shared" si="27"/>
        <v>0.12149532710280361</v>
      </c>
      <c r="Y31" s="21">
        <f t="shared" si="28"/>
        <v>-0.22083333333333333</v>
      </c>
      <c r="Z31" s="91">
        <f t="shared" si="29"/>
        <v>1.106951871657754</v>
      </c>
    </row>
    <row r="32" spans="2:26" x14ac:dyDescent="0.2">
      <c r="B32" s="98" t="s">
        <v>42</v>
      </c>
      <c r="C32" s="175">
        <v>0</v>
      </c>
      <c r="D32" s="175">
        <f>164*10^6</f>
        <v>164000000</v>
      </c>
      <c r="E32" s="175">
        <f>1.5*10^9</f>
        <v>1500000000</v>
      </c>
      <c r="F32" s="175">
        <f>2.62*10^9</f>
        <v>2620000000</v>
      </c>
      <c r="G32" s="175">
        <f>2.62*10^9</f>
        <v>2620000000</v>
      </c>
      <c r="H32" s="175">
        <f>2.93*10^9</f>
        <v>2930000000</v>
      </c>
      <c r="I32" s="189">
        <f>2.49*10^9</f>
        <v>2490000000</v>
      </c>
      <c r="J32" s="138">
        <v>0</v>
      </c>
      <c r="K32" s="138">
        <f>J32*(1+IS!$P$5*M$77)</f>
        <v>0</v>
      </c>
      <c r="L32" s="138">
        <f>K32*(1+IS!$P$5*N$77)</f>
        <v>0</v>
      </c>
      <c r="M32" s="138">
        <f>L32*(1+IS!$P$5*O$77)</f>
        <v>0</v>
      </c>
      <c r="N32" s="139">
        <f>M32*(1+IS!$P$5*P$77)</f>
        <v>0</v>
      </c>
      <c r="O32" s="139">
        <f>N32*(1+IS!$P$5*Q$77)</f>
        <v>0</v>
      </c>
      <c r="R32" s="98" t="s">
        <v>42</v>
      </c>
      <c r="T32" s="21">
        <f t="shared" si="1"/>
        <v>0</v>
      </c>
      <c r="U32" s="21">
        <f t="shared" si="24"/>
        <v>8.1463414634146343</v>
      </c>
      <c r="V32" s="21">
        <f t="shared" si="25"/>
        <v>0.7466666666666667</v>
      </c>
      <c r="W32" s="21">
        <f t="shared" si="26"/>
        <v>0</v>
      </c>
      <c r="X32" s="21">
        <f t="shared" si="27"/>
        <v>0.1183206106870229</v>
      </c>
      <c r="Y32" s="21">
        <f t="shared" si="28"/>
        <v>-0.15017064846416384</v>
      </c>
      <c r="Z32" s="91">
        <f t="shared" si="29"/>
        <v>-1</v>
      </c>
    </row>
    <row r="33" spans="2:26" x14ac:dyDescent="0.2">
      <c r="B33" s="98" t="s">
        <v>10</v>
      </c>
      <c r="C33" s="175">
        <f>558*10^6</f>
        <v>558000000</v>
      </c>
      <c r="D33" s="175">
        <f>486*10^6</f>
        <v>486000000</v>
      </c>
      <c r="E33" s="175">
        <f>886*10^6</f>
        <v>886000000</v>
      </c>
      <c r="F33" s="175">
        <f>671*10^6</f>
        <v>671000000</v>
      </c>
      <c r="G33" s="175">
        <f>596*10^6</f>
        <v>596000000</v>
      </c>
      <c r="H33" s="175">
        <f>727*10^6</f>
        <v>727000000</v>
      </c>
      <c r="I33" s="189">
        <f>632*10^6</f>
        <v>632000000</v>
      </c>
      <c r="J33" s="138">
        <f>11.79*10^9</f>
        <v>11790000000</v>
      </c>
      <c r="K33" s="138">
        <f>J33*(1+IS!$P$5*M$77)</f>
        <v>15188198330.389994</v>
      </c>
      <c r="L33" s="138">
        <f>K33*(1+IS!$P$5*N$77)</f>
        <v>19610185151.295517</v>
      </c>
      <c r="M33" s="138">
        <f>L33*(1+IS!$P$5*O$77)</f>
        <v>25377440036.910805</v>
      </c>
      <c r="N33" s="139">
        <f>M33*(1+IS!$P$5*P$77)</f>
        <v>32916401598.044441</v>
      </c>
      <c r="O33" s="139">
        <f>N33*(1+IS!$P$5*Q$77)</f>
        <v>44163856890.589294</v>
      </c>
      <c r="P33" s="4"/>
      <c r="R33" s="98" t="s">
        <v>10</v>
      </c>
      <c r="T33" s="21">
        <f t="shared" si="1"/>
        <v>-0.12903225806451613</v>
      </c>
      <c r="U33" s="21">
        <f t="shared" si="24"/>
        <v>0.82304526748971196</v>
      </c>
      <c r="V33" s="21">
        <f t="shared" si="25"/>
        <v>-0.24266365688487584</v>
      </c>
      <c r="W33" s="21">
        <f t="shared" si="26"/>
        <v>-0.11177347242921014</v>
      </c>
      <c r="X33" s="21">
        <f t="shared" si="27"/>
        <v>0.21979865771812079</v>
      </c>
      <c r="Y33" s="21">
        <f t="shared" si="28"/>
        <v>-0.13067400275103164</v>
      </c>
      <c r="Z33" s="91">
        <f t="shared" si="29"/>
        <v>17.655063291139239</v>
      </c>
    </row>
    <row r="34" spans="2:26" x14ac:dyDescent="0.2">
      <c r="B34" s="163" t="s">
        <v>28</v>
      </c>
      <c r="C34" s="198">
        <f>SUM(C28:C33)</f>
        <v>2524000000</v>
      </c>
      <c r="D34" s="198">
        <f>SUM(D28:D33)</f>
        <v>2338000000</v>
      </c>
      <c r="E34" s="198">
        <f>SUM(E28:E33)</f>
        <v>6901000000</v>
      </c>
      <c r="F34" s="198">
        <f t="shared" ref="F34:H34" si="30">SUM(F28:F33)</f>
        <v>6371000000</v>
      </c>
      <c r="G34" s="198">
        <f t="shared" si="30"/>
        <v>6290000000</v>
      </c>
      <c r="H34" s="198">
        <f t="shared" si="30"/>
        <v>7049000000</v>
      </c>
      <c r="I34" s="199">
        <f>SUM(I28:I33)</f>
        <v>7410000000</v>
      </c>
      <c r="J34" s="199">
        <f t="shared" ref="J34:N34" si="31">SUM(J28:J33)</f>
        <v>16690000000</v>
      </c>
      <c r="K34" s="199">
        <f t="shared" si="31"/>
        <v>21500511461.764969</v>
      </c>
      <c r="L34" s="199">
        <f t="shared" si="31"/>
        <v>27760304510.18848</v>
      </c>
      <c r="M34" s="199">
        <f t="shared" si="31"/>
        <v>35924467702.80249</v>
      </c>
      <c r="N34" s="200">
        <f t="shared" si="31"/>
        <v>46596670285.950951</v>
      </c>
      <c r="O34" s="200">
        <f t="shared" ref="O34" si="32">SUM(O28:O33)</f>
        <v>62518640500.757874</v>
      </c>
      <c r="R34" s="163" t="s">
        <v>28</v>
      </c>
      <c r="T34" s="21">
        <f t="shared" si="1"/>
        <v>-7.3692551505546752E-2</v>
      </c>
      <c r="U34" s="21">
        <f t="shared" si="24"/>
        <v>1.9516680923866552</v>
      </c>
      <c r="V34" s="21">
        <f t="shared" si="25"/>
        <v>-7.680046370091291E-2</v>
      </c>
      <c r="W34" s="21">
        <f t="shared" si="26"/>
        <v>-1.2713859676659865E-2</v>
      </c>
      <c r="X34" s="21">
        <f t="shared" si="27"/>
        <v>0.12066772655007948</v>
      </c>
      <c r="Y34" s="21">
        <f t="shared" si="28"/>
        <v>5.1212938005390833E-2</v>
      </c>
      <c r="Z34" s="91">
        <f t="shared" si="29"/>
        <v>1.252361673414305</v>
      </c>
    </row>
    <row r="35" spans="2:26" x14ac:dyDescent="0.2">
      <c r="B35" s="162" t="s">
        <v>36</v>
      </c>
      <c r="C35" s="138"/>
      <c r="D35" s="138"/>
      <c r="E35" s="138"/>
      <c r="F35" s="138"/>
      <c r="G35" s="138"/>
      <c r="H35" s="138"/>
      <c r="I35" s="134"/>
      <c r="J35" s="138"/>
      <c r="K35" s="138"/>
      <c r="L35" s="138"/>
      <c r="M35" s="138"/>
      <c r="N35" s="139"/>
      <c r="O35" s="139"/>
      <c r="R35" s="162" t="s">
        <v>36</v>
      </c>
      <c r="T35" s="21"/>
      <c r="U35" s="21"/>
      <c r="V35" s="21"/>
      <c r="W35" s="21"/>
      <c r="X35" s="21"/>
      <c r="Y35" s="21"/>
      <c r="Z35" s="91"/>
    </row>
    <row r="36" spans="2:26" x14ac:dyDescent="0.2">
      <c r="B36" s="98" t="s">
        <v>37</v>
      </c>
      <c r="C36" s="175">
        <f>17.43*10^9</f>
        <v>17430000000</v>
      </c>
      <c r="D36" s="175">
        <f>17.49*10^9</f>
        <v>17490000000</v>
      </c>
      <c r="E36" s="175">
        <f>30.01*10^9</f>
        <v>30010000000</v>
      </c>
      <c r="F36" s="175">
        <f>40.76*10^9</f>
        <v>40760000000</v>
      </c>
      <c r="G36" s="175">
        <f>39.9*10^9</f>
        <v>39900000000</v>
      </c>
      <c r="H36" s="175">
        <f>39.46*10^9</f>
        <v>39460000000</v>
      </c>
      <c r="I36" s="189">
        <f>37.98*10^9</f>
        <v>37980000000</v>
      </c>
      <c r="J36" s="138">
        <f>66.3*10^9</f>
        <v>66300000000</v>
      </c>
      <c r="K36" s="138">
        <f>J36*(1+IS!$P$5*M$77)</f>
        <v>85409461349.012436</v>
      </c>
      <c r="L36" s="138">
        <f>K36*(1+IS!$P$5*N$77)</f>
        <v>110276104794.81703</v>
      </c>
      <c r="M36" s="138">
        <f>L36*(1+IS!$P$5*O$77)</f>
        <v>142707741683.39154</v>
      </c>
      <c r="N36" s="139">
        <f>M36*(1+IS!$P$5*P$77)</f>
        <v>185102411022.08194</v>
      </c>
      <c r="O36" s="139">
        <f>N36*(1+IS!$P$5*Q$77)</f>
        <v>248351459868.19931</v>
      </c>
      <c r="R36" s="98" t="s">
        <v>37</v>
      </c>
      <c r="T36" s="21">
        <f t="shared" si="1"/>
        <v>3.4423407917383822E-3</v>
      </c>
      <c r="U36" s="21">
        <f t="shared" ref="U36:U41" si="33">IF(AND(ISNUMBER(D36), D36&lt;&gt;0), (E36-D36)/D36, 0)</f>
        <v>0.7158376214979989</v>
      </c>
      <c r="V36" s="21">
        <f t="shared" ref="V36:V41" si="34">IF(AND(ISNUMBER(E36), E36&lt;&gt;0), (F36-E36)/E36, 0)</f>
        <v>0.3582139286904365</v>
      </c>
      <c r="W36" s="21">
        <f t="shared" ref="W36:W41" si="35">IF(AND(ISNUMBER(F36), F36&lt;&gt;0), (G36-F36)/F36, 0)</f>
        <v>-2.1099116781157997E-2</v>
      </c>
      <c r="X36" s="21">
        <f t="shared" ref="X36:X41" si="36">IF(AND(ISNUMBER(G36), G36&lt;&gt;0), (H36-G36)/G36, 0)</f>
        <v>-1.1027568922305764E-2</v>
      </c>
      <c r="Y36" s="21">
        <f t="shared" ref="Y36:Y41" si="37">IF(AND(ISNUMBER(H36), H36&lt;&gt;0), (I36-H36)/H36, 0)</f>
        <v>-3.7506335529650277E-2</v>
      </c>
      <c r="Z36" s="91">
        <f t="shared" ref="Z36:Z41" si="38">IF(AND(ISNUMBER(I36), I36&lt;&gt;0), (J36-I36)/I36, 0)</f>
        <v>0.74565560821484989</v>
      </c>
    </row>
    <row r="37" spans="2:26" x14ac:dyDescent="0.2">
      <c r="B37" s="98" t="s">
        <v>38</v>
      </c>
      <c r="C37" s="175">
        <f>112*10^6</f>
        <v>112000000</v>
      </c>
      <c r="D37" s="175">
        <v>0</v>
      </c>
      <c r="E37" s="175">
        <v>0</v>
      </c>
      <c r="F37" s="175">
        <f>569*10^6</f>
        <v>569000000</v>
      </c>
      <c r="G37" s="175">
        <v>0</v>
      </c>
      <c r="H37" s="175">
        <v>0</v>
      </c>
      <c r="I37" s="189">
        <v>0</v>
      </c>
      <c r="J37" s="138">
        <v>0</v>
      </c>
      <c r="K37" s="138">
        <f>J37*(1+IS!$P$5*M$77)</f>
        <v>0</v>
      </c>
      <c r="L37" s="138">
        <f>K37*(1+IS!$P$5*N$77)</f>
        <v>0</v>
      </c>
      <c r="M37" s="138">
        <f>L37*(1+IS!$P$5*O$77)</f>
        <v>0</v>
      </c>
      <c r="N37" s="139">
        <f>M37*(1+IS!$P$5*P$77)</f>
        <v>0</v>
      </c>
      <c r="O37" s="139">
        <f>N37*(1+IS!$P$5*Q$77)</f>
        <v>0</v>
      </c>
      <c r="R37" s="98" t="s">
        <v>38</v>
      </c>
      <c r="T37" s="21">
        <f t="shared" si="1"/>
        <v>-1</v>
      </c>
      <c r="U37" s="21">
        <f t="shared" si="33"/>
        <v>0</v>
      </c>
      <c r="V37" s="21">
        <f t="shared" si="34"/>
        <v>0</v>
      </c>
      <c r="W37" s="21">
        <f t="shared" si="35"/>
        <v>-1</v>
      </c>
      <c r="X37" s="21">
        <f t="shared" si="36"/>
        <v>0</v>
      </c>
      <c r="Y37" s="21">
        <f t="shared" si="37"/>
        <v>0</v>
      </c>
      <c r="Z37" s="91">
        <f t="shared" si="38"/>
        <v>0</v>
      </c>
    </row>
    <row r="38" spans="2:26" x14ac:dyDescent="0.2">
      <c r="B38" s="98" t="s">
        <v>39</v>
      </c>
      <c r="C38" s="175">
        <f>10.02*10^9</f>
        <v>10020000000</v>
      </c>
      <c r="D38" s="175">
        <f>169*10^6</f>
        <v>169000000</v>
      </c>
      <c r="E38" s="175">
        <f>4.8*10^9</f>
        <v>4800000000</v>
      </c>
      <c r="F38" s="175">
        <f>3.19*10^9</f>
        <v>3190000000</v>
      </c>
      <c r="G38" s="175">
        <f>3.41*10^9</f>
        <v>3410000000</v>
      </c>
      <c r="H38" s="175">
        <f>3.23*10^9</f>
        <v>3230000000</v>
      </c>
      <c r="I38" s="189">
        <f>2.79*10^9</f>
        <v>2790000000</v>
      </c>
      <c r="J38" s="138">
        <v>0</v>
      </c>
      <c r="K38" s="138">
        <f>J38*(1+IS!$P$5*M$77)</f>
        <v>0</v>
      </c>
      <c r="L38" s="138">
        <f>K38*(1+IS!$P$5*N$77)</f>
        <v>0</v>
      </c>
      <c r="M38" s="138">
        <f>L38*(1+IS!$P$5*O$77)</f>
        <v>0</v>
      </c>
      <c r="N38" s="139">
        <f>M38*(1+IS!$P$5*P$77)</f>
        <v>0</v>
      </c>
      <c r="O38" s="139">
        <f>N38*(1+IS!$P$5*Q$77)</f>
        <v>0</v>
      </c>
      <c r="R38" s="98" t="s">
        <v>39</v>
      </c>
      <c r="T38" s="21">
        <f t="shared" si="1"/>
        <v>-0.98313373253493019</v>
      </c>
      <c r="U38" s="21">
        <f t="shared" si="33"/>
        <v>27.402366863905325</v>
      </c>
      <c r="V38" s="21">
        <f t="shared" si="34"/>
        <v>-0.33541666666666664</v>
      </c>
      <c r="W38" s="21">
        <f t="shared" si="35"/>
        <v>6.8965517241379309E-2</v>
      </c>
      <c r="X38" s="21">
        <f t="shared" si="36"/>
        <v>-5.2785923753665691E-2</v>
      </c>
      <c r="Y38" s="21">
        <f t="shared" si="37"/>
        <v>-0.13622291021671826</v>
      </c>
      <c r="Z38" s="91">
        <f t="shared" si="38"/>
        <v>-1</v>
      </c>
    </row>
    <row r="39" spans="2:26" x14ac:dyDescent="0.2">
      <c r="B39" s="98" t="s">
        <v>41</v>
      </c>
      <c r="C39" s="175">
        <v>0</v>
      </c>
      <c r="D39" s="175">
        <v>0</v>
      </c>
      <c r="E39" s="175">
        <v>0</v>
      </c>
      <c r="F39" s="175">
        <f>823*10^6</f>
        <v>823000000</v>
      </c>
      <c r="G39" s="175">
        <f>566*10^6</f>
        <v>566000000</v>
      </c>
      <c r="H39" s="175">
        <f>410*10^6</f>
        <v>410000000</v>
      </c>
      <c r="I39" s="189">
        <f>299*10^6</f>
        <v>299000000</v>
      </c>
      <c r="J39" s="138">
        <v>0</v>
      </c>
      <c r="K39" s="138">
        <f>J39*(1+IS!$P$5*M$77)</f>
        <v>0</v>
      </c>
      <c r="L39" s="138">
        <f>K39*(1+IS!$P$5*N$77)</f>
        <v>0</v>
      </c>
      <c r="M39" s="138">
        <f>L39*(1+IS!$P$5*O$77)</f>
        <v>0</v>
      </c>
      <c r="N39" s="139">
        <f>M39*(1+IS!$P$5*P$77)</f>
        <v>0</v>
      </c>
      <c r="O39" s="139">
        <f>N39*(1+IS!$P$5*Q$77)</f>
        <v>0</v>
      </c>
      <c r="R39" s="98" t="s">
        <v>41</v>
      </c>
      <c r="T39" s="21">
        <f t="shared" si="1"/>
        <v>0</v>
      </c>
      <c r="U39" s="21">
        <f t="shared" si="33"/>
        <v>0</v>
      </c>
      <c r="V39" s="21">
        <f t="shared" si="34"/>
        <v>0</v>
      </c>
      <c r="W39" s="21">
        <f t="shared" si="35"/>
        <v>-0.31227217496962334</v>
      </c>
      <c r="X39" s="21">
        <f t="shared" si="36"/>
        <v>-0.2756183745583039</v>
      </c>
      <c r="Y39" s="21">
        <f t="shared" si="37"/>
        <v>-0.27073170731707319</v>
      </c>
      <c r="Z39" s="91">
        <f t="shared" si="38"/>
        <v>-1</v>
      </c>
    </row>
    <row r="40" spans="2:26" x14ac:dyDescent="0.2">
      <c r="B40" s="98" t="s">
        <v>10</v>
      </c>
      <c r="C40" s="175">
        <f>1.14*10^9</f>
        <v>1140000000</v>
      </c>
      <c r="D40" s="175">
        <f>3.47*10^9</f>
        <v>3470000000</v>
      </c>
      <c r="E40" s="175">
        <f>813*10^6</f>
        <v>813000000</v>
      </c>
      <c r="F40" s="175">
        <f>322*10^6</f>
        <v>322000000</v>
      </c>
      <c r="G40" s="175">
        <f>427*10^6</f>
        <v>427000000</v>
      </c>
      <c r="H40" s="175">
        <f>385*10^6</f>
        <v>385000000</v>
      </c>
      <c r="I40" s="189">
        <f>397*10^6</f>
        <v>397000000</v>
      </c>
      <c r="J40" s="138">
        <f>14.97*10^9</f>
        <v>14970000000</v>
      </c>
      <c r="K40" s="138">
        <f>J40*(1+IS!$P$5*M$77)</f>
        <v>19284760729.935387</v>
      </c>
      <c r="L40" s="138">
        <f>K40*(1+IS!$P$5*N$77)</f>
        <v>24899446286.250542</v>
      </c>
      <c r="M40" s="138">
        <f>L40*(1+IS!$P$5*O$77)</f>
        <v>32222245746.611938</v>
      </c>
      <c r="N40" s="139">
        <f>M40*(1+IS!$P$5*P$77)</f>
        <v>41794616787.338867</v>
      </c>
      <c r="O40" s="139">
        <f>N40*(1+IS!$P$5*Q$77)</f>
        <v>56075736866.168083</v>
      </c>
      <c r="R40" s="98" t="s">
        <v>10</v>
      </c>
      <c r="T40" s="21">
        <f t="shared" si="1"/>
        <v>2.0438596491228069</v>
      </c>
      <c r="U40" s="21">
        <f t="shared" si="33"/>
        <v>-0.76570605187319885</v>
      </c>
      <c r="V40" s="21">
        <f t="shared" si="34"/>
        <v>-0.60393603936039364</v>
      </c>
      <c r="W40" s="21">
        <f t="shared" si="35"/>
        <v>0.32608695652173914</v>
      </c>
      <c r="X40" s="21">
        <f t="shared" si="36"/>
        <v>-9.8360655737704916E-2</v>
      </c>
      <c r="Y40" s="21">
        <f t="shared" si="37"/>
        <v>3.1168831168831169E-2</v>
      </c>
      <c r="Z40" s="91">
        <f t="shared" si="38"/>
        <v>36.70780856423174</v>
      </c>
    </row>
    <row r="41" spans="2:26" x14ac:dyDescent="0.2">
      <c r="B41" s="144" t="s">
        <v>28</v>
      </c>
      <c r="C41" s="192">
        <f>SUM(C36:C40)</f>
        <v>28702000000</v>
      </c>
      <c r="D41" s="192">
        <f t="shared" ref="D41:H41" si="39">SUM(D36:D40)</f>
        <v>21129000000</v>
      </c>
      <c r="E41" s="192">
        <f t="shared" si="39"/>
        <v>35623000000</v>
      </c>
      <c r="F41" s="192">
        <f t="shared" si="39"/>
        <v>45664000000</v>
      </c>
      <c r="G41" s="192">
        <f t="shared" si="39"/>
        <v>44303000000</v>
      </c>
      <c r="H41" s="192">
        <f t="shared" si="39"/>
        <v>43485000000</v>
      </c>
      <c r="I41" s="193">
        <f>SUM(I36:I40)</f>
        <v>41466000000</v>
      </c>
      <c r="J41" s="193">
        <f t="shared" ref="J41:N41" si="40">SUM(J36:J40)</f>
        <v>81270000000</v>
      </c>
      <c r="K41" s="193">
        <f t="shared" si="40"/>
        <v>104694222078.94781</v>
      </c>
      <c r="L41" s="193">
        <f t="shared" si="40"/>
        <v>135175551081.06757</v>
      </c>
      <c r="M41" s="193">
        <f t="shared" si="40"/>
        <v>174929987430.00348</v>
      </c>
      <c r="N41" s="194">
        <f t="shared" si="40"/>
        <v>226897027809.42081</v>
      </c>
      <c r="O41" s="194">
        <f t="shared" ref="O41" si="41">SUM(O36:O40)</f>
        <v>304427196734.36737</v>
      </c>
      <c r="R41" s="144" t="s">
        <v>28</v>
      </c>
      <c r="T41" s="21">
        <f t="shared" si="1"/>
        <v>-0.26384920911434745</v>
      </c>
      <c r="U41" s="21">
        <f t="shared" si="33"/>
        <v>0.68597661981163327</v>
      </c>
      <c r="V41" s="21">
        <f t="shared" si="34"/>
        <v>0.28186845577295566</v>
      </c>
      <c r="W41" s="21">
        <f t="shared" si="35"/>
        <v>-2.9804660126138752E-2</v>
      </c>
      <c r="X41" s="21">
        <f t="shared" si="36"/>
        <v>-1.8463760919125115E-2</v>
      </c>
      <c r="Y41" s="21">
        <f t="shared" si="37"/>
        <v>-4.6429803380476024E-2</v>
      </c>
      <c r="Z41" s="91">
        <f t="shared" si="38"/>
        <v>0.95991896975835622</v>
      </c>
    </row>
    <row r="42" spans="2:26" x14ac:dyDescent="0.2">
      <c r="B42" s="98"/>
      <c r="C42" s="138"/>
      <c r="D42" s="138"/>
      <c r="E42" s="138"/>
      <c r="F42" s="138"/>
      <c r="G42" s="138"/>
      <c r="H42" s="138"/>
      <c r="I42" s="134"/>
      <c r="J42" s="138"/>
      <c r="K42" s="138"/>
      <c r="L42" s="138"/>
      <c r="M42" s="138"/>
      <c r="N42" s="139"/>
      <c r="O42" s="139"/>
      <c r="R42" s="98"/>
      <c r="T42" s="21"/>
      <c r="U42" s="21"/>
      <c r="V42" s="21"/>
      <c r="W42" s="21"/>
      <c r="X42" s="21"/>
      <c r="Y42" s="21"/>
      <c r="Z42" s="91"/>
    </row>
    <row r="43" spans="2:26" x14ac:dyDescent="0.2">
      <c r="B43" s="144" t="s">
        <v>44</v>
      </c>
      <c r="C43" s="192">
        <f>C41+C34</f>
        <v>31226000000</v>
      </c>
      <c r="D43" s="192">
        <f t="shared" ref="D43:N43" si="42">D41+D34</f>
        <v>23467000000</v>
      </c>
      <c r="E43" s="192">
        <f t="shared" si="42"/>
        <v>42524000000</v>
      </c>
      <c r="F43" s="192">
        <f t="shared" si="42"/>
        <v>52035000000</v>
      </c>
      <c r="G43" s="192">
        <f t="shared" si="42"/>
        <v>50593000000</v>
      </c>
      <c r="H43" s="192">
        <f t="shared" si="42"/>
        <v>50534000000</v>
      </c>
      <c r="I43" s="193">
        <f t="shared" si="42"/>
        <v>48876000000</v>
      </c>
      <c r="J43" s="193">
        <f>J41+J34</f>
        <v>97960000000</v>
      </c>
      <c r="K43" s="193">
        <f t="shared" si="42"/>
        <v>126194733540.71278</v>
      </c>
      <c r="L43" s="193">
        <f t="shared" si="42"/>
        <v>162935855591.25604</v>
      </c>
      <c r="M43" s="193">
        <f t="shared" si="42"/>
        <v>210854455132.80597</v>
      </c>
      <c r="N43" s="194">
        <f t="shared" si="42"/>
        <v>273493698095.37177</v>
      </c>
      <c r="O43" s="194">
        <f t="shared" ref="O43" si="43">O41+O34</f>
        <v>366945837235.12524</v>
      </c>
      <c r="R43" s="144" t="s">
        <v>44</v>
      </c>
      <c r="T43" s="21">
        <f t="shared" si="1"/>
        <v>-0.24847883174277846</v>
      </c>
      <c r="U43" s="21">
        <f t="shared" ref="U43:U44" si="44">IF(AND(ISNUMBER(D43), D43&lt;&gt;0), (E43-D43)/D43, 0)</f>
        <v>0.81207653300379257</v>
      </c>
      <c r="V43" s="21">
        <f t="shared" ref="V43:V44" si="45">IF(AND(ISNUMBER(E43), E43&lt;&gt;0), (F43-E43)/E43, 0)</f>
        <v>0.2236619320854106</v>
      </c>
      <c r="W43" s="21">
        <f t="shared" ref="W43:W44" si="46">IF(AND(ISNUMBER(F43), F43&lt;&gt;0), (G43-F43)/F43, 0)</f>
        <v>-2.7712116844431634E-2</v>
      </c>
      <c r="X43" s="21">
        <f t="shared" ref="X43:X44" si="47">IF(AND(ISNUMBER(G43), G43&lt;&gt;0), (H43-G43)/G43, 0)</f>
        <v>-1.1661692328978318E-3</v>
      </c>
      <c r="Y43" s="21">
        <f t="shared" ref="Y43:Y44" si="48">IF(AND(ISNUMBER(H43), H43&lt;&gt;0), (I43-H43)/H43, 0)</f>
        <v>-3.2809593540982306E-2</v>
      </c>
      <c r="Z43" s="91">
        <f t="shared" ref="Z43:Z44" si="49">IF(AND(ISNUMBER(I43), I43&lt;&gt;0), (J43-I43)/I43, 0)</f>
        <v>1.0042556674032246</v>
      </c>
    </row>
    <row r="44" spans="2:26" x14ac:dyDescent="0.2">
      <c r="B44" s="144" t="s">
        <v>43</v>
      </c>
      <c r="C44" s="198">
        <f>C22-C43</f>
        <v>23196000000</v>
      </c>
      <c r="D44" s="198">
        <f t="shared" ref="D44:M44" si="50">D22-D43</f>
        <v>26641000000</v>
      </c>
      <c r="E44" s="198">
        <f t="shared" si="50"/>
        <v>24962000000</v>
      </c>
      <c r="F44" s="198">
        <f t="shared" si="50"/>
        <v>23903000000</v>
      </c>
      <c r="G44" s="198">
        <f t="shared" si="50"/>
        <v>24972000000</v>
      </c>
      <c r="H44" s="198">
        <f t="shared" si="50"/>
        <v>22731000000</v>
      </c>
      <c r="I44" s="199">
        <f t="shared" si="50"/>
        <v>23990000000</v>
      </c>
      <c r="J44" s="198">
        <f t="shared" si="50"/>
        <v>67690000000</v>
      </c>
      <c r="K44" s="198">
        <f t="shared" si="50"/>
        <v>119844035996.05763</v>
      </c>
      <c r="L44" s="198">
        <f t="shared" si="50"/>
        <v>203193818151.3432</v>
      </c>
      <c r="M44" s="198">
        <f t="shared" si="50"/>
        <v>335014964913.58301</v>
      </c>
      <c r="N44" s="200">
        <f>N22-N43</f>
        <v>541901673928.11139</v>
      </c>
      <c r="O44" s="200">
        <f>O22-O43</f>
        <v>911531928843.43384</v>
      </c>
      <c r="R44" s="144" t="s">
        <v>43</v>
      </c>
      <c r="T44" s="21">
        <f t="shared" si="1"/>
        <v>0.14851698568718744</v>
      </c>
      <c r="U44" s="21">
        <f t="shared" si="44"/>
        <v>-6.3023159791299119E-2</v>
      </c>
      <c r="V44" s="21">
        <f t="shared" si="45"/>
        <v>-4.2424485217530644E-2</v>
      </c>
      <c r="W44" s="21">
        <f t="shared" si="46"/>
        <v>4.4722419779943942E-2</v>
      </c>
      <c r="X44" s="21">
        <f t="shared" si="47"/>
        <v>-8.974050937049495E-2</v>
      </c>
      <c r="Y44" s="21">
        <f t="shared" si="48"/>
        <v>5.5386916545686504E-2</v>
      </c>
      <c r="Z44" s="91">
        <f t="shared" si="49"/>
        <v>1.8215923301375574</v>
      </c>
    </row>
    <row r="45" spans="2:26" x14ac:dyDescent="0.2">
      <c r="B45" s="98"/>
      <c r="C45" s="138"/>
      <c r="D45" s="138"/>
      <c r="E45" s="138"/>
      <c r="F45" s="138"/>
      <c r="G45" s="138"/>
      <c r="H45" s="138"/>
      <c r="I45" s="134"/>
      <c r="J45" s="138"/>
      <c r="K45" s="138"/>
      <c r="L45" s="138"/>
      <c r="M45" s="138"/>
      <c r="N45" s="139"/>
      <c r="O45" s="139"/>
      <c r="R45" s="98"/>
      <c r="T45" s="21"/>
      <c r="U45" s="21"/>
      <c r="V45" s="21"/>
      <c r="W45" s="21"/>
      <c r="X45" s="21"/>
      <c r="Y45" s="21"/>
      <c r="Z45" s="91"/>
    </row>
    <row r="46" spans="2:26" x14ac:dyDescent="0.2">
      <c r="B46" s="144" t="s">
        <v>45</v>
      </c>
      <c r="C46" s="192">
        <f>C43+C44</f>
        <v>54422000000</v>
      </c>
      <c r="D46" s="192">
        <f t="shared" ref="D46:N46" si="51">D43+D44</f>
        <v>50108000000</v>
      </c>
      <c r="E46" s="192">
        <f t="shared" si="51"/>
        <v>67486000000</v>
      </c>
      <c r="F46" s="192">
        <f t="shared" si="51"/>
        <v>75938000000</v>
      </c>
      <c r="G46" s="192">
        <f t="shared" si="51"/>
        <v>75565000000</v>
      </c>
      <c r="H46" s="192">
        <f t="shared" si="51"/>
        <v>73265000000</v>
      </c>
      <c r="I46" s="193">
        <f t="shared" si="51"/>
        <v>72866000000</v>
      </c>
      <c r="J46" s="193">
        <f>J43+J44</f>
        <v>165650000000</v>
      </c>
      <c r="K46" s="193">
        <f t="shared" si="51"/>
        <v>246038769536.77042</v>
      </c>
      <c r="L46" s="193">
        <f t="shared" si="51"/>
        <v>366129673742.59924</v>
      </c>
      <c r="M46" s="193">
        <f t="shared" si="51"/>
        <v>545869420046.38898</v>
      </c>
      <c r="N46" s="194">
        <f t="shared" si="51"/>
        <v>815395372023.48315</v>
      </c>
      <c r="O46" s="194">
        <f t="shared" ref="O46" si="52">O43+O44</f>
        <v>1278477766078.5591</v>
      </c>
      <c r="R46" s="144" t="s">
        <v>45</v>
      </c>
      <c r="T46" s="21">
        <f t="shared" si="1"/>
        <v>-7.9269413104994302E-2</v>
      </c>
      <c r="U46" s="21">
        <f t="shared" ref="U46" si="53">IF(AND(ISNUMBER(D46), D46&lt;&gt;0), (E46-D46)/D46, 0)</f>
        <v>0.34681088848088132</v>
      </c>
      <c r="V46" s="21">
        <f t="shared" ref="V46" si="54">IF(AND(ISNUMBER(E46), E46&lt;&gt;0), (F46-E46)/E46, 0)</f>
        <v>0.12524079068251193</v>
      </c>
      <c r="W46" s="21">
        <f t="shared" ref="W46" si="55">IF(AND(ISNUMBER(F46), F46&lt;&gt;0), (G46-F46)/F46, 0)</f>
        <v>-4.9119018146382577E-3</v>
      </c>
      <c r="X46" s="21">
        <f t="shared" ref="X46" si="56">IF(AND(ISNUMBER(G46), G46&lt;&gt;0), (H46-G46)/G46, 0)</f>
        <v>-3.0437371799113346E-2</v>
      </c>
      <c r="Y46" s="21">
        <f t="shared" ref="Y46" si="57">IF(AND(ISNUMBER(H46), H46&lt;&gt;0), (I46-H46)/H46, 0)</f>
        <v>-5.445983757592302E-3</v>
      </c>
      <c r="Z46" s="91">
        <f t="shared" ref="Z46" si="58">IF(AND(ISNUMBER(I46), I46&lt;&gt;0), (J46-I46)/I46, 0)</f>
        <v>1.2733510828095409</v>
      </c>
    </row>
    <row r="47" spans="2:26" ht="17" thickBot="1" x14ac:dyDescent="0.25">
      <c r="B47" s="152"/>
      <c r="C47" s="195"/>
      <c r="D47" s="195"/>
      <c r="E47" s="195"/>
      <c r="F47" s="195"/>
      <c r="G47" s="195"/>
      <c r="H47" s="195"/>
      <c r="I47" s="196"/>
      <c r="J47" s="195"/>
      <c r="K47" s="195"/>
      <c r="L47" s="195"/>
      <c r="M47" s="195"/>
      <c r="N47" s="197"/>
      <c r="O47" s="197"/>
      <c r="R47" s="100"/>
      <c r="S47" s="28"/>
      <c r="T47" s="28"/>
      <c r="U47" s="28"/>
      <c r="V47" s="28"/>
      <c r="W47" s="28"/>
      <c r="X47" s="28"/>
      <c r="Y47" s="28"/>
      <c r="Z47" s="35"/>
    </row>
    <row r="48" spans="2:26" x14ac:dyDescent="0.2">
      <c r="B48" s="98"/>
      <c r="C48" s="138"/>
      <c r="D48" s="138"/>
      <c r="E48" s="138"/>
      <c r="F48" s="138"/>
      <c r="G48" s="138"/>
      <c r="H48" s="138"/>
      <c r="I48" s="134"/>
      <c r="J48" s="138"/>
      <c r="K48" s="138"/>
      <c r="L48" s="138"/>
      <c r="M48" s="138"/>
      <c r="N48" s="139"/>
      <c r="O48" s="139"/>
    </row>
    <row r="49" spans="2:19" x14ac:dyDescent="0.2">
      <c r="B49" s="98" t="s">
        <v>46</v>
      </c>
      <c r="C49" s="138">
        <f>(C28+C36)</f>
        <v>17547000000</v>
      </c>
      <c r="D49" s="138">
        <f>(D28+D36)</f>
        <v>17490000000</v>
      </c>
      <c r="E49" s="138">
        <f>(E28+E36)</f>
        <v>32800000000</v>
      </c>
      <c r="F49" s="138">
        <f t="shared" ref="F49:H49" si="59">(F28+F36)</f>
        <v>41687000000</v>
      </c>
      <c r="G49" s="138">
        <f t="shared" si="59"/>
        <v>40273000000</v>
      </c>
      <c r="H49" s="138">
        <f t="shared" si="59"/>
        <v>39974000000</v>
      </c>
      <c r="I49" s="134">
        <f>(I28+I36)</f>
        <v>39650000000</v>
      </c>
      <c r="J49" s="134">
        <f>(J28+J36)</f>
        <v>67570000000</v>
      </c>
      <c r="K49" s="134">
        <f t="shared" ref="K49:M49" si="60">(K28+K36)</f>
        <v>87045509854.491257</v>
      </c>
      <c r="L49" s="134">
        <f t="shared" si="60"/>
        <v>112388482669.46889</v>
      </c>
      <c r="M49" s="134">
        <f t="shared" si="60"/>
        <v>145441359058.0206</v>
      </c>
      <c r="N49" s="139">
        <f>(N28+N36)</f>
        <v>188648113314.6618</v>
      </c>
      <c r="O49" s="139">
        <f>(O28+O36)</f>
        <v>253108720110.01852</v>
      </c>
    </row>
    <row r="50" spans="2:19" ht="17" thickBot="1" x14ac:dyDescent="0.25">
      <c r="B50" s="98" t="s">
        <v>103</v>
      </c>
      <c r="C50" s="138">
        <f>C49/C44</f>
        <v>0.75646663217796173</v>
      </c>
      <c r="D50" s="138">
        <f t="shared" ref="D50:N50" si="61">D49/D44</f>
        <v>0.65650688787958411</v>
      </c>
      <c r="E50" s="138">
        <f t="shared" si="61"/>
        <v>1.3139972758593061</v>
      </c>
      <c r="F50" s="138">
        <f t="shared" si="61"/>
        <v>1.7440070284064761</v>
      </c>
      <c r="G50" s="138">
        <f t="shared" si="61"/>
        <v>1.6127262534038123</v>
      </c>
      <c r="H50" s="138">
        <f t="shared" si="61"/>
        <v>1.7585675949144339</v>
      </c>
      <c r="I50" s="134">
        <f>I49/I44</f>
        <v>1.6527719883284702</v>
      </c>
      <c r="J50" s="138">
        <f>J49/J44</f>
        <v>0.99822721229132816</v>
      </c>
      <c r="K50" s="138">
        <f t="shared" si="61"/>
        <v>0.72632325114079677</v>
      </c>
      <c r="L50" s="138">
        <f t="shared" si="61"/>
        <v>0.5531097534953523</v>
      </c>
      <c r="M50" s="138">
        <f t="shared" si="61"/>
        <v>0.43413391725810563</v>
      </c>
      <c r="N50" s="139">
        <f t="shared" si="61"/>
        <v>0.34812240373276249</v>
      </c>
      <c r="O50" s="139">
        <f t="shared" ref="O50" si="62">O49/O44</f>
        <v>0.27767400362065964</v>
      </c>
    </row>
    <row r="51" spans="2:19" x14ac:dyDescent="0.2">
      <c r="B51" s="98" t="s">
        <v>110</v>
      </c>
      <c r="C51" s="138">
        <f>C44/IS!B22</f>
        <v>5.7274074074074077</v>
      </c>
      <c r="D51" s="138">
        <f>D44/IS!C22</f>
        <v>6.3734449760765557</v>
      </c>
      <c r="E51" s="138">
        <f>E44/IS!D22</f>
        <v>6.271859296482412</v>
      </c>
      <c r="F51" s="138">
        <f>F44/IS!E22</f>
        <v>5.9460199004975127</v>
      </c>
      <c r="G51" s="138">
        <f>G44/IS!F22</f>
        <v>6.0907317073170741</v>
      </c>
      <c r="H51" s="138">
        <f>H44/IS!G22</f>
        <v>5.5577017114914424</v>
      </c>
      <c r="I51" s="134">
        <f>I44/IS!H22</f>
        <v>5.7807228915662643</v>
      </c>
      <c r="J51" s="134">
        <f>J44/IS!I22</f>
        <v>14.651515151515152</v>
      </c>
      <c r="K51" s="134">
        <f>K44/IS!J22</f>
        <v>25.940267531614207</v>
      </c>
      <c r="L51" s="134">
        <f>L44/IS!K22</f>
        <v>43.981345920204156</v>
      </c>
      <c r="M51" s="134">
        <f>M44/IS!L22</f>
        <v>72.514061669606718</v>
      </c>
      <c r="N51" s="139">
        <f>N44/IS!M22</f>
        <v>117.29473461647433</v>
      </c>
      <c r="O51" s="139">
        <f>O44/IS!N22</f>
        <v>197.30128329944455</v>
      </c>
      <c r="R51" s="260" t="s">
        <v>208</v>
      </c>
      <c r="S51" s="261"/>
    </row>
    <row r="52" spans="2:19" ht="17" thickBot="1" x14ac:dyDescent="0.25">
      <c r="B52" s="98"/>
      <c r="C52" s="138"/>
      <c r="D52" s="138"/>
      <c r="E52" s="138"/>
      <c r="F52" s="138"/>
      <c r="G52" s="138"/>
      <c r="H52" s="138" t="s">
        <v>134</v>
      </c>
      <c r="I52" s="134">
        <f>AVERAGE(C51:I51)</f>
        <v>5.963983984405524</v>
      </c>
      <c r="J52" s="138"/>
      <c r="K52" s="138"/>
      <c r="L52" s="138"/>
      <c r="M52" s="138"/>
      <c r="N52" s="139"/>
      <c r="O52" s="139"/>
      <c r="R52" s="264"/>
      <c r="S52" s="271"/>
    </row>
    <row r="53" spans="2:19" x14ac:dyDescent="0.2">
      <c r="B53" s="132"/>
      <c r="C53" s="138"/>
      <c r="D53" s="138"/>
      <c r="E53" s="138"/>
      <c r="F53" s="138"/>
      <c r="G53" s="138"/>
      <c r="H53" s="138"/>
      <c r="I53" s="134"/>
      <c r="J53" s="138"/>
      <c r="K53" s="138"/>
      <c r="L53" s="138"/>
      <c r="M53" s="138"/>
      <c r="N53" s="139"/>
      <c r="O53" s="139"/>
      <c r="P53" s="1"/>
      <c r="R53" s="50" t="s">
        <v>0</v>
      </c>
      <c r="S53" s="156"/>
    </row>
    <row r="54" spans="2:19" x14ac:dyDescent="0.2">
      <c r="B54" s="132" t="s">
        <v>102</v>
      </c>
      <c r="C54" s="138">
        <f>C12-C34</f>
        <v>13300000000</v>
      </c>
      <c r="D54" s="138">
        <f t="shared" ref="D54:G54" si="63">D12-D34</f>
        <v>6763000000</v>
      </c>
      <c r="E54" s="138">
        <f t="shared" si="63"/>
        <v>3012000000</v>
      </c>
      <c r="F54" s="138">
        <f t="shared" si="63"/>
        <v>5526000000</v>
      </c>
      <c r="G54" s="138">
        <f t="shared" si="63"/>
        <v>10295000000</v>
      </c>
      <c r="H54" s="138">
        <f t="shared" ref="H54:N54" si="64">H12-H34</f>
        <v>11466000000</v>
      </c>
      <c r="I54" s="134">
        <f t="shared" si="64"/>
        <v>13436000000</v>
      </c>
      <c r="J54" s="138">
        <f>J12-J34</f>
        <v>2910000000</v>
      </c>
      <c r="K54" s="138">
        <f>K12-K34</f>
        <v>7611229455.3536568</v>
      </c>
      <c r="L54" s="138">
        <f t="shared" si="64"/>
        <v>15560803883.140499</v>
      </c>
      <c r="M54" s="138">
        <f t="shared" si="64"/>
        <v>28663764309.930527</v>
      </c>
      <c r="N54" s="139">
        <f t="shared" si="64"/>
        <v>49882347472.33622</v>
      </c>
      <c r="O54" s="139">
        <f>O12-O34</f>
        <v>88753102421.908966</v>
      </c>
      <c r="R54" s="51"/>
      <c r="S54" s="158"/>
    </row>
    <row r="55" spans="2:19" x14ac:dyDescent="0.2">
      <c r="B55" s="98" t="s">
        <v>199</v>
      </c>
      <c r="C55" s="138"/>
      <c r="D55" s="138">
        <f>D54-C54</f>
        <v>-6537000000</v>
      </c>
      <c r="E55" s="138">
        <f>E54-D54</f>
        <v>-3751000000</v>
      </c>
      <c r="F55" s="138">
        <f t="shared" ref="F55:O55" si="65">F54-E54</f>
        <v>2514000000</v>
      </c>
      <c r="G55" s="138">
        <f t="shared" si="65"/>
        <v>4769000000</v>
      </c>
      <c r="H55" s="138">
        <f t="shared" si="65"/>
        <v>1171000000</v>
      </c>
      <c r="I55" s="134">
        <f t="shared" si="65"/>
        <v>1970000000</v>
      </c>
      <c r="J55" s="138">
        <f t="shared" si="65"/>
        <v>-10526000000</v>
      </c>
      <c r="K55" s="138">
        <f t="shared" si="65"/>
        <v>4701229455.3536568</v>
      </c>
      <c r="L55" s="138">
        <f t="shared" si="65"/>
        <v>7949574427.7868423</v>
      </c>
      <c r="M55" s="138">
        <f t="shared" si="65"/>
        <v>13102960426.790028</v>
      </c>
      <c r="N55" s="139">
        <f t="shared" si="65"/>
        <v>21218583162.405693</v>
      </c>
      <c r="O55" s="139">
        <f t="shared" si="65"/>
        <v>38870754949.572746</v>
      </c>
      <c r="R55" s="51" t="s">
        <v>18</v>
      </c>
      <c r="S55" s="158"/>
    </row>
    <row r="56" spans="2:19" x14ac:dyDescent="0.2">
      <c r="B56" s="132"/>
      <c r="C56" s="138"/>
      <c r="D56" s="138"/>
      <c r="E56" s="138"/>
      <c r="F56" s="138"/>
      <c r="G56" s="138"/>
      <c r="H56" s="138"/>
      <c r="I56" s="134"/>
      <c r="J56" s="138"/>
      <c r="K56" s="138"/>
      <c r="L56" s="138"/>
      <c r="M56" s="138"/>
      <c r="N56" s="139"/>
      <c r="O56" s="139"/>
      <c r="R56" s="51"/>
      <c r="S56" s="158"/>
    </row>
    <row r="57" spans="2:19" ht="16" customHeight="1" x14ac:dyDescent="0.2">
      <c r="B57" s="98" t="s">
        <v>165</v>
      </c>
      <c r="C57" s="138"/>
      <c r="D57" s="138">
        <f>C49-D49</f>
        <v>57000000</v>
      </c>
      <c r="E57" s="138">
        <f t="shared" ref="E57:O57" si="66">D49-E49</f>
        <v>-15310000000</v>
      </c>
      <c r="F57" s="138">
        <f t="shared" si="66"/>
        <v>-8887000000</v>
      </c>
      <c r="G57" s="138">
        <f t="shared" si="66"/>
        <v>1414000000</v>
      </c>
      <c r="H57" s="138">
        <f t="shared" si="66"/>
        <v>299000000</v>
      </c>
      <c r="I57" s="134">
        <f t="shared" si="66"/>
        <v>324000000</v>
      </c>
      <c r="J57" s="138">
        <f t="shared" si="66"/>
        <v>-27920000000</v>
      </c>
      <c r="K57" s="138">
        <f t="shared" si="66"/>
        <v>-19475509854.491257</v>
      </c>
      <c r="L57" s="138">
        <f t="shared" si="66"/>
        <v>-25342972814.977631</v>
      </c>
      <c r="M57" s="138">
        <f t="shared" si="66"/>
        <v>-33052876388.551712</v>
      </c>
      <c r="N57" s="139">
        <f t="shared" si="66"/>
        <v>-43206754256.641205</v>
      </c>
      <c r="O57" s="139">
        <f t="shared" si="66"/>
        <v>-64460606795.35672</v>
      </c>
      <c r="R57" s="52" t="s">
        <v>19</v>
      </c>
      <c r="S57" s="158"/>
    </row>
    <row r="58" spans="2:19" ht="17" customHeight="1" x14ac:dyDescent="0.2">
      <c r="B58" s="98" t="s">
        <v>184</v>
      </c>
      <c r="C58" s="138"/>
      <c r="D58" s="138"/>
      <c r="E58" s="138"/>
      <c r="F58" s="138"/>
      <c r="G58" s="138"/>
      <c r="H58" s="138"/>
      <c r="I58" s="134"/>
      <c r="J58" s="138"/>
      <c r="K58" s="138"/>
      <c r="L58" s="138"/>
      <c r="M58" s="138"/>
      <c r="N58" s="139"/>
      <c r="O58" s="139"/>
      <c r="R58" s="51" t="s">
        <v>20</v>
      </c>
      <c r="S58" s="211" cm="1">
        <f t="array" ref="S58">GEOMEAN(1+T8:Z8)-1</f>
        <v>-2.5461313636757743E-2</v>
      </c>
    </row>
    <row r="59" spans="2:19" x14ac:dyDescent="0.2">
      <c r="B59" s="132" t="s">
        <v>134</v>
      </c>
      <c r="C59" s="138"/>
      <c r="D59" s="201"/>
      <c r="E59" s="201"/>
      <c r="F59" s="201"/>
      <c r="G59" s="201"/>
      <c r="H59" s="201"/>
      <c r="I59" s="202"/>
      <c r="J59" s="138"/>
      <c r="K59" s="138"/>
      <c r="L59" s="138"/>
      <c r="M59" s="138"/>
      <c r="N59" s="139"/>
      <c r="O59" s="139"/>
      <c r="R59" s="51" t="s">
        <v>21</v>
      </c>
      <c r="S59" s="211" cm="1">
        <f t="array" ref="S59">GEOMEAN(1+T9:Z9)-1</f>
        <v>8.7947720135588492E-2</v>
      </c>
    </row>
    <row r="60" spans="2:19" x14ac:dyDescent="0.2">
      <c r="B60" s="132"/>
      <c r="C60" s="138"/>
      <c r="D60" s="138"/>
      <c r="E60" s="138"/>
      <c r="F60" s="138"/>
      <c r="G60" s="138"/>
      <c r="H60" s="138"/>
      <c r="I60" s="134"/>
      <c r="J60" s="138"/>
      <c r="K60" s="138"/>
      <c r="L60" s="138"/>
      <c r="M60" s="138"/>
      <c r="N60" s="139"/>
      <c r="O60" s="139"/>
      <c r="R60" s="51" t="s">
        <v>22</v>
      </c>
      <c r="S60" s="211" cm="1">
        <f t="array" ref="S60">GEOMEAN(1+T10:Z10)-1</f>
        <v>2.8065218886107468E-2</v>
      </c>
    </row>
    <row r="61" spans="2:19" x14ac:dyDescent="0.2">
      <c r="B61" s="132"/>
      <c r="C61" s="138"/>
      <c r="D61" s="138"/>
      <c r="E61" s="138"/>
      <c r="F61" s="138"/>
      <c r="G61" s="138"/>
      <c r="H61" s="138"/>
      <c r="I61" s="134"/>
      <c r="J61" s="138"/>
      <c r="K61" s="138"/>
      <c r="L61" s="138"/>
      <c r="M61" s="138"/>
      <c r="N61" s="139"/>
      <c r="O61" s="139"/>
      <c r="R61" s="51" t="s">
        <v>10</v>
      </c>
      <c r="S61" s="211" cm="1">
        <f t="array" ref="S61">GEOMEAN(1+T11:Z11)-1</f>
        <v>0.27974152836861377</v>
      </c>
    </row>
    <row r="62" spans="2:19" ht="17" thickBot="1" x14ac:dyDescent="0.25">
      <c r="B62" s="133" t="s">
        <v>113</v>
      </c>
      <c r="C62" s="203">
        <f>(C51*IS!B23)+(BS!C49-BS!C8)</f>
        <v>30459385185.185188</v>
      </c>
      <c r="D62" s="203">
        <f>(D51*IS!C23)+(BS!D49-BS!D8)</f>
        <v>40669547846.889954</v>
      </c>
      <c r="E62" s="203">
        <f>(E51*IS!D23)+(BS!E49-BS!E8)</f>
        <v>54029090452.261307</v>
      </c>
      <c r="F62" s="203">
        <f>(F51*IS!E23)+(BS!F49-BS!F8)</f>
        <v>59099743781.094528</v>
      </c>
      <c r="G62" s="203">
        <f>(G51*IS!F23)+(BS!G49-BS!G8)</f>
        <v>54242239024.390244</v>
      </c>
      <c r="H62" s="203">
        <f>(H51*IS!G23)+(BS!H49-BS!H8)</f>
        <v>51063078239.608803</v>
      </c>
      <c r="I62" s="204">
        <f>(I51*IS!H23)+(BS!I49-BS!I8)</f>
        <v>50143686746.987946</v>
      </c>
      <c r="J62" s="203">
        <f>(J51*IS!I23)+(BS!J49-BS!J8)</f>
        <v>128254242424.24243</v>
      </c>
      <c r="K62" s="203">
        <f>(K51*IS!J23)+(BS!K49-BS!K8)</f>
        <v>197152500003.81842</v>
      </c>
      <c r="L62" s="203">
        <f>(L51*IS!K23)+(BS!L49-BS!L8)</f>
        <v>301953379255.92102</v>
      </c>
      <c r="M62" s="203">
        <f>(M51*IS!L23)+(BS!M49-BS!M8)</f>
        <v>461247350914.29919</v>
      </c>
      <c r="N62" s="205">
        <f>(N51*IS!M23)+(BS!N49-BS!N8)</f>
        <v>703292515391.61401</v>
      </c>
      <c r="O62" s="205">
        <f>(O51*IS!N23)+(BS!O49-BS!O8)</f>
        <v>1124046058550.3975</v>
      </c>
      <c r="R62" s="210" t="s">
        <v>28</v>
      </c>
      <c r="S62" s="211" cm="1">
        <f t="array" ref="S62">GEOMEAN(1+T12:Z12)-1</f>
        <v>3.1043797237640058E-2</v>
      </c>
    </row>
    <row r="63" spans="2:19" ht="17" thickBot="1" x14ac:dyDescent="0.25">
      <c r="R63" s="52" t="s">
        <v>23</v>
      </c>
      <c r="S63" s="211"/>
    </row>
    <row r="64" spans="2:19" ht="22" x14ac:dyDescent="0.3">
      <c r="B64" s="265" t="s">
        <v>55</v>
      </c>
      <c r="C64" s="266"/>
      <c r="D64" s="34"/>
      <c r="R64" s="51" t="s">
        <v>24</v>
      </c>
      <c r="S64" s="211" cm="1">
        <f t="array" ref="S64">GEOMEAN(1+T14:Z14)-1</f>
        <v>0</v>
      </c>
    </row>
    <row r="65" spans="2:19" ht="23" thickBot="1" x14ac:dyDescent="0.35">
      <c r="B65" s="267"/>
      <c r="C65" s="268"/>
      <c r="D65" s="34"/>
      <c r="R65" s="51" t="s">
        <v>25</v>
      </c>
      <c r="S65" s="211" cm="1">
        <f t="array" ref="S65">GEOMEAN(1+T15:Z15)-1</f>
        <v>-4.454697342182512E-3</v>
      </c>
    </row>
    <row r="66" spans="2:19" ht="17" thickBot="1" x14ac:dyDescent="0.25">
      <c r="B66" s="131">
        <v>2017</v>
      </c>
      <c r="C66" s="21">
        <v>3.0851473922902493</v>
      </c>
      <c r="R66" s="51" t="s">
        <v>40</v>
      </c>
      <c r="S66" s="211" t="e" cm="1">
        <f t="array" ref="S66">GEOMEAN(1+T16:Z16)-1</f>
        <v>#NUM!</v>
      </c>
    </row>
    <row r="67" spans="2:19" x14ac:dyDescent="0.2">
      <c r="B67" s="38">
        <v>2018</v>
      </c>
      <c r="C67" s="256">
        <v>2.4032613908872902</v>
      </c>
      <c r="R67" s="51" t="s">
        <v>26</v>
      </c>
      <c r="S67" s="211" cm="1">
        <f t="array" ref="S67">GEOMEAN(1+T17:Z17)-1</f>
        <v>0.21442979808254981</v>
      </c>
    </row>
    <row r="68" spans="2:19" x14ac:dyDescent="0.2">
      <c r="B68" s="39">
        <v>2019</v>
      </c>
      <c r="C68" s="91">
        <v>2.9861061946902656</v>
      </c>
      <c r="R68" s="51" t="s">
        <v>27</v>
      </c>
      <c r="S68" s="211" t="e" cm="1">
        <f t="array" ref="S68">GEOMEAN(1+T18:Z18)-1</f>
        <v>#NUM!</v>
      </c>
    </row>
    <row r="69" spans="2:19" x14ac:dyDescent="0.2">
      <c r="B69" s="39">
        <v>2020</v>
      </c>
      <c r="C69" s="91">
        <v>3.1786521557136878</v>
      </c>
      <c r="R69" s="51" t="s">
        <v>10</v>
      </c>
      <c r="S69" s="211" cm="1">
        <f t="array" ref="S69">GEOMEAN(1+T19:Z19)-1</f>
        <v>0.4363310799757798</v>
      </c>
    </row>
    <row r="70" spans="2:19" x14ac:dyDescent="0.2">
      <c r="B70" s="39">
        <v>2021</v>
      </c>
      <c r="C70" s="91">
        <v>2.752823315118397</v>
      </c>
      <c r="R70" s="210" t="s">
        <v>28</v>
      </c>
      <c r="S70" s="211" cm="1">
        <f t="array" ref="S70">GEOMEAN(1+T20:Z20)-1</f>
        <v>0.20937891950862109</v>
      </c>
    </row>
    <row r="71" spans="2:19" ht="17" thickBot="1" x14ac:dyDescent="0.25">
      <c r="B71" s="39">
        <v>2022</v>
      </c>
      <c r="C71" s="91">
        <v>2.2067771084337346</v>
      </c>
      <c r="R71" s="51"/>
      <c r="S71" s="211"/>
    </row>
    <row r="72" spans="2:19" ht="16" customHeight="1" x14ac:dyDescent="0.2">
      <c r="B72" s="39">
        <v>2023</v>
      </c>
      <c r="C72" s="91">
        <v>2.0342266890005583</v>
      </c>
      <c r="E72" s="16">
        <v>2017</v>
      </c>
      <c r="F72" s="23">
        <v>2018</v>
      </c>
      <c r="G72" s="23">
        <v>2019</v>
      </c>
      <c r="H72" s="23">
        <v>2020</v>
      </c>
      <c r="I72" s="23">
        <v>2021</v>
      </c>
      <c r="J72" s="23">
        <v>2022</v>
      </c>
      <c r="K72" s="45">
        <v>2023</v>
      </c>
      <c r="L72" s="23">
        <v>2024</v>
      </c>
      <c r="M72" s="23">
        <v>2025</v>
      </c>
      <c r="N72" s="23">
        <v>2026</v>
      </c>
      <c r="O72" s="23">
        <v>2027</v>
      </c>
      <c r="P72" s="24">
        <v>2028</v>
      </c>
      <c r="Q72">
        <v>2029</v>
      </c>
      <c r="R72" s="48" t="s">
        <v>29</v>
      </c>
      <c r="S72" s="211" cm="1">
        <f t="array" ref="S72">GEOMEAN(1+T22:Z22)-1</f>
        <v>0.17235614232275109</v>
      </c>
    </row>
    <row r="73" spans="2:19" ht="16" customHeight="1" x14ac:dyDescent="0.2">
      <c r="B73" s="39">
        <v>2024</v>
      </c>
      <c r="C73" s="91">
        <v>2.4108760802568212</v>
      </c>
      <c r="E73" s="126">
        <f>C22/IS!B6</f>
        <v>3.0851473922902493</v>
      </c>
      <c r="F73" s="21">
        <f>D22/IS!C6</f>
        <v>2.4032613908872902</v>
      </c>
      <c r="G73" s="21">
        <f>E22/IS!D6</f>
        <v>2.9861061946902656</v>
      </c>
      <c r="H73" s="21">
        <f>F22/IS!E6</f>
        <v>3.1786521557136878</v>
      </c>
      <c r="I73" s="21">
        <f>G22/IS!F6</f>
        <v>2.752823315118397</v>
      </c>
      <c r="J73" s="21">
        <f>H22/IS!G6</f>
        <v>2.2067771084337346</v>
      </c>
      <c r="K73" s="33">
        <f>I22/IS!H6</f>
        <v>2.0342266890005583</v>
      </c>
      <c r="L73" s="33">
        <f>J22/IS!I6</f>
        <v>3.2121388404110918</v>
      </c>
      <c r="M73" s="21">
        <f>L73*(1+$H$81)</f>
        <v>3.2307022651936759</v>
      </c>
      <c r="N73" s="21">
        <f t="shared" ref="N73:O73" si="67">M73*(1+$H$81)</f>
        <v>3.2493729707498442</v>
      </c>
      <c r="O73" s="21">
        <f t="shared" si="67"/>
        <v>3.2681515770710323</v>
      </c>
      <c r="P73" s="21">
        <f>O73*(1+$H$81)</f>
        <v>3.2870387077316976</v>
      </c>
      <c r="Q73" s="91">
        <f>P73*(1+IS!$P$5)</f>
        <v>3.7807940676750875</v>
      </c>
      <c r="R73" s="53"/>
      <c r="S73" s="211"/>
    </row>
    <row r="74" spans="2:19" x14ac:dyDescent="0.2">
      <c r="B74" s="39">
        <v>2025</v>
      </c>
      <c r="C74" s="91">
        <v>2.8572643873875059</v>
      </c>
      <c r="E74" s="105" t="s">
        <v>213</v>
      </c>
      <c r="F74">
        <f>(F73-E73)/E73</f>
        <v>-0.22102217972048435</v>
      </c>
      <c r="G74">
        <f t="shared" ref="G74:L74" si="68">(G73-F73)/F73</f>
        <v>0.2425224347268308</v>
      </c>
      <c r="H74">
        <f t="shared" si="68"/>
        <v>6.4480614040383785E-2</v>
      </c>
      <c r="I74">
        <f t="shared" si="68"/>
        <v>-0.13396522165215699</v>
      </c>
      <c r="J74">
        <f t="shared" si="68"/>
        <v>-0.19835861011703806</v>
      </c>
      <c r="K74">
        <f t="shared" si="68"/>
        <v>-7.8191140724513164E-2</v>
      </c>
      <c r="L74">
        <f t="shared" si="68"/>
        <v>0.57904665088690632</v>
      </c>
      <c r="P74" s="25"/>
      <c r="R74" s="51"/>
      <c r="S74" s="211"/>
    </row>
    <row r="75" spans="2:19" x14ac:dyDescent="0.2">
      <c r="B75" s="39">
        <v>2026</v>
      </c>
      <c r="C75" s="91">
        <v>3.3863041930231539</v>
      </c>
      <c r="E75" s="105" t="s">
        <v>214</v>
      </c>
      <c r="F75">
        <f>(F77-E77)/E77</f>
        <v>-0.36418065189173193</v>
      </c>
      <c r="G75">
        <f t="shared" ref="G75:L75" si="69">(G77-F77)/F77</f>
        <v>0.67176087226234837</v>
      </c>
      <c r="H75">
        <f t="shared" si="69"/>
        <v>0.15758726099331441</v>
      </c>
      <c r="I75">
        <f t="shared" si="69"/>
        <v>-0.15380846890395161</v>
      </c>
      <c r="J75">
        <f t="shared" si="69"/>
        <v>-0.17415696823623647</v>
      </c>
      <c r="K75">
        <f t="shared" si="69"/>
        <v>-0.10355328044557806</v>
      </c>
      <c r="L75">
        <f t="shared" si="69"/>
        <v>0.39213569917361829</v>
      </c>
      <c r="P75" s="25"/>
      <c r="R75" s="51" t="s">
        <v>0</v>
      </c>
      <c r="S75" s="211"/>
    </row>
    <row r="76" spans="2:19" x14ac:dyDescent="0.2">
      <c r="B76" s="39">
        <v>2027</v>
      </c>
      <c r="C76" s="91">
        <v>4.0132989226701961</v>
      </c>
      <c r="E76" s="105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 s="3">
        <v>2023</v>
      </c>
      <c r="L76">
        <v>2024</v>
      </c>
      <c r="M76">
        <v>2025</v>
      </c>
      <c r="N76">
        <v>2026</v>
      </c>
      <c r="O76">
        <v>2027</v>
      </c>
      <c r="P76" s="25">
        <v>2028</v>
      </c>
      <c r="Q76">
        <v>2029</v>
      </c>
      <c r="R76" s="51" t="s">
        <v>30</v>
      </c>
      <c r="S76" s="211"/>
    </row>
    <row r="77" spans="2:19" ht="17" thickBot="1" x14ac:dyDescent="0.25">
      <c r="B77" s="41">
        <v>2028</v>
      </c>
      <c r="C77" s="130">
        <v>4.7563855237489667</v>
      </c>
      <c r="E77" s="127">
        <f>C43/IS!B6</f>
        <v>1.7701814058956915</v>
      </c>
      <c r="F77" s="128">
        <f>D43/IS!C6</f>
        <v>1.125515587529976</v>
      </c>
      <c r="G77" s="128">
        <f>E43/IS!D6</f>
        <v>1.8815929203539823</v>
      </c>
      <c r="H77" s="128">
        <f>F43/IS!E6</f>
        <v>2.1781079949769779</v>
      </c>
      <c r="I77" s="128">
        <f>G43/IS!F6</f>
        <v>1.843096539162113</v>
      </c>
      <c r="J77" s="128">
        <f>H43/IS!G6</f>
        <v>1.5221084337349395</v>
      </c>
      <c r="K77" s="129">
        <f>I43/IS!H6</f>
        <v>1.3644891122278058</v>
      </c>
      <c r="L77" s="129">
        <f>J43/IS!I6</f>
        <v>1.8995540042660461</v>
      </c>
      <c r="M77" s="128">
        <f>L77*(1+$H$82)</f>
        <v>1.9187920581327602</v>
      </c>
      <c r="N77" s="128">
        <f t="shared" ref="N77:P77" si="70">M77*(1+$H$82)</f>
        <v>1.9382249486378365</v>
      </c>
      <c r="O77" s="128">
        <f t="shared" si="70"/>
        <v>1.9578546490222226</v>
      </c>
      <c r="P77" s="128">
        <f t="shared" si="70"/>
        <v>1.9776831525111978</v>
      </c>
      <c r="Q77" s="130">
        <f>P77*(1+IS!$P$5)</f>
        <v>2.2747565196502166</v>
      </c>
      <c r="R77" s="52" t="s">
        <v>31</v>
      </c>
      <c r="S77" s="211"/>
    </row>
    <row r="78" spans="2:19" ht="17" thickBot="1" x14ac:dyDescent="0.25">
      <c r="R78" s="51" t="s">
        <v>32</v>
      </c>
      <c r="S78" s="211" t="e" cm="1">
        <f t="array" ref="S78">GEOMEAN(1+T28:Z28)-1</f>
        <v>#NUM!</v>
      </c>
    </row>
    <row r="79" spans="2:19" ht="22" x14ac:dyDescent="0.3">
      <c r="B79" s="265" t="s">
        <v>114</v>
      </c>
      <c r="C79" s="266"/>
      <c r="D79" s="34"/>
      <c r="G79" s="272" t="s">
        <v>215</v>
      </c>
      <c r="H79" s="273"/>
      <c r="R79" s="51" t="s">
        <v>33</v>
      </c>
      <c r="S79" s="211" cm="1">
        <f t="array" ref="S79">GEOMEAN(1+T29:Z29)-1</f>
        <v>6.0549080682706924E-2</v>
      </c>
    </row>
    <row r="80" spans="2:19" ht="23" thickBot="1" x14ac:dyDescent="0.35">
      <c r="B80" s="267"/>
      <c r="C80" s="268"/>
      <c r="D80" s="34"/>
      <c r="F80" s="21"/>
      <c r="G80" s="274"/>
      <c r="H80" s="275"/>
      <c r="I80" s="21"/>
      <c r="J80" s="21"/>
      <c r="K80" s="21"/>
      <c r="L80" s="21"/>
      <c r="M80" s="21"/>
      <c r="N80" s="21"/>
      <c r="O80" s="21"/>
      <c r="P80" s="21"/>
      <c r="Q80" s="21"/>
      <c r="R80" s="51" t="s">
        <v>34</v>
      </c>
      <c r="S80" s="211" t="e" cm="1">
        <f t="array" ref="S80">GEOMEAN(1+T30:Z30)-1</f>
        <v>#NUM!</v>
      </c>
    </row>
    <row r="81" spans="2:19" x14ac:dyDescent="0.2">
      <c r="B81" s="38">
        <v>2017</v>
      </c>
      <c r="C81" s="256">
        <v>1.7701814058956915</v>
      </c>
      <c r="G81" s="131" t="s">
        <v>18</v>
      </c>
      <c r="H81" s="17" cm="1">
        <f t="array" ref="H81">GEOMEAN(1+F74:L74)-1</f>
        <v>5.7791476971800204E-3</v>
      </c>
      <c r="R81" s="51" t="s">
        <v>35</v>
      </c>
      <c r="S81" s="211" cm="1">
        <f t="array" ref="S81">GEOMEAN(1+T31:Z31)-1</f>
        <v>0.17795151014699351</v>
      </c>
    </row>
    <row r="82" spans="2:19" ht="17" thickBot="1" x14ac:dyDescent="0.25">
      <c r="B82" s="39">
        <v>2018</v>
      </c>
      <c r="C82" s="91">
        <v>1.125515587529976</v>
      </c>
      <c r="G82" s="133" t="s">
        <v>30</v>
      </c>
      <c r="H82" s="124" cm="1">
        <f t="array" ref="H82">GEOMEAN(1+F75:L75)-1</f>
        <v>1.0127668823054714E-2</v>
      </c>
      <c r="R82" s="51" t="s">
        <v>42</v>
      </c>
      <c r="S82" s="211" t="e" cm="1">
        <f t="array" ref="S82">GEOMEAN(1+T32:Z32)-1</f>
        <v>#NUM!</v>
      </c>
    </row>
    <row r="83" spans="2:19" x14ac:dyDescent="0.2">
      <c r="B83" s="39">
        <v>2019</v>
      </c>
      <c r="C83" s="91">
        <v>1.8815929203539823</v>
      </c>
      <c r="R83" s="51" t="s">
        <v>10</v>
      </c>
      <c r="S83" s="211" cm="1">
        <f t="array" ref="S83">GEOMEAN(1+T33:Z33)-1</f>
        <v>0.54621013334657276</v>
      </c>
    </row>
    <row r="84" spans="2:19" x14ac:dyDescent="0.2">
      <c r="B84" s="39">
        <v>2020</v>
      </c>
      <c r="C84" s="91">
        <v>2.1781079949769779</v>
      </c>
      <c r="R84" s="210" t="s">
        <v>28</v>
      </c>
      <c r="S84" s="211" cm="1">
        <f t="array" ref="S84">GEOMEAN(1+T34:Z34)-1</f>
        <v>0.30977073871788963</v>
      </c>
    </row>
    <row r="85" spans="2:19" x14ac:dyDescent="0.2">
      <c r="B85" s="39">
        <v>2021</v>
      </c>
      <c r="C85" s="91">
        <v>1.843096539162113</v>
      </c>
      <c r="R85" s="52" t="s">
        <v>36</v>
      </c>
      <c r="S85" s="211" cm="1">
        <f t="array" ref="S85">GEOMEAN(1+T35:Z35)-1</f>
        <v>0</v>
      </c>
    </row>
    <row r="86" spans="2:19" x14ac:dyDescent="0.2">
      <c r="B86" s="39">
        <v>2022</v>
      </c>
      <c r="C86" s="91">
        <v>1.5221084337349395</v>
      </c>
      <c r="R86" s="51" t="s">
        <v>37</v>
      </c>
      <c r="S86" s="211" cm="1">
        <f t="array" ref="S86">GEOMEAN(1+T36:Z36)-1</f>
        <v>0.21028602947066788</v>
      </c>
    </row>
    <row r="87" spans="2:19" x14ac:dyDescent="0.2">
      <c r="B87" s="39">
        <v>2023</v>
      </c>
      <c r="C87" s="91">
        <v>1.3644891122278058</v>
      </c>
      <c r="R87" s="51" t="s">
        <v>38</v>
      </c>
      <c r="S87" s="211" t="e" cm="1">
        <f t="array" ref="S87">GEOMEAN(1+T37:Z37)-1</f>
        <v>#NUM!</v>
      </c>
    </row>
    <row r="88" spans="2:19" x14ac:dyDescent="0.2">
      <c r="B88" s="39">
        <v>2024</v>
      </c>
      <c r="C88" s="91">
        <v>1.6171325350455961</v>
      </c>
      <c r="R88" s="51" t="s">
        <v>39</v>
      </c>
      <c r="S88" s="211" t="e" cm="1">
        <f t="array" ref="S88">GEOMEAN(1+T38:Z38)-1</f>
        <v>#NUM!</v>
      </c>
    </row>
    <row r="89" spans="2:19" x14ac:dyDescent="0.2">
      <c r="B89" s="39">
        <v>2025</v>
      </c>
      <c r="C89" s="91">
        <v>1.9165544176701308</v>
      </c>
      <c r="R89" s="51" t="s">
        <v>41</v>
      </c>
      <c r="S89" s="211" t="e" cm="1">
        <f t="array" ref="S89">GEOMEAN(1+T39:Z39)-1</f>
        <v>#NUM!</v>
      </c>
    </row>
    <row r="90" spans="2:19" x14ac:dyDescent="0.2">
      <c r="B90" s="39">
        <v>2026</v>
      </c>
      <c r="C90" s="91">
        <v>2.2714160752367318</v>
      </c>
      <c r="R90" s="51" t="s">
        <v>10</v>
      </c>
      <c r="S90" s="211" cm="1">
        <f t="array" ref="S90">GEOMEAN(1+T40:Z40)-1</f>
        <v>0.44463976204426592</v>
      </c>
    </row>
    <row r="91" spans="2:19" x14ac:dyDescent="0.2">
      <c r="B91" s="39">
        <v>2027</v>
      </c>
      <c r="C91" s="91">
        <v>2.6919825178331256</v>
      </c>
      <c r="R91" s="48" t="s">
        <v>28</v>
      </c>
      <c r="S91" s="211" cm="1">
        <f t="array" ref="S91">GEOMEAN(1+T41:Z41)-1</f>
        <v>0.16030994404846166</v>
      </c>
    </row>
    <row r="92" spans="2:19" ht="17" thickBot="1" x14ac:dyDescent="0.25">
      <c r="B92" s="41">
        <v>2028</v>
      </c>
      <c r="C92" s="130">
        <v>3.1904193843322606</v>
      </c>
      <c r="R92" s="51"/>
      <c r="S92" s="211"/>
    </row>
    <row r="93" spans="2:19" x14ac:dyDescent="0.2">
      <c r="R93" s="48" t="s">
        <v>44</v>
      </c>
      <c r="S93" s="211" cm="1">
        <f t="array" ref="S93">GEOMEAN(1+T43:Z43)-1</f>
        <v>0.17742486487840559</v>
      </c>
    </row>
    <row r="94" spans="2:19" x14ac:dyDescent="0.2">
      <c r="R94" s="48" t="s">
        <v>43</v>
      </c>
      <c r="S94" s="211" cm="1">
        <f t="array" ref="S94">GEOMEAN(1+T44:Z44)-1</f>
        <v>0.16531808831432482</v>
      </c>
    </row>
    <row r="95" spans="2:19" x14ac:dyDescent="0.2">
      <c r="R95" s="51"/>
      <c r="S95" s="211"/>
    </row>
    <row r="96" spans="2:19" x14ac:dyDescent="0.2">
      <c r="R96" s="48" t="s">
        <v>45</v>
      </c>
      <c r="S96" s="211" cm="1">
        <f t="array" ref="S96">GEOMEAN(1+T46:Z46)-1</f>
        <v>0.17235614232275109</v>
      </c>
    </row>
    <row r="97" spans="18:19" ht="17" thickBot="1" x14ac:dyDescent="0.25">
      <c r="R97" s="58"/>
      <c r="S97" s="180"/>
    </row>
  </sheetData>
  <mergeCells count="5">
    <mergeCell ref="B64:C65"/>
    <mergeCell ref="B79:C80"/>
    <mergeCell ref="R1:R2"/>
    <mergeCell ref="R51:S52"/>
    <mergeCell ref="G79:H8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B1E-CB06-8A4C-859A-85C256A927C0}">
  <dimension ref="B2:V99"/>
  <sheetViews>
    <sheetView topLeftCell="G1" zoomScale="50" zoomScaleNormal="100" workbookViewId="0">
      <selection activeCell="X29" sqref="X29"/>
    </sheetView>
  </sheetViews>
  <sheetFormatPr baseColWidth="10" defaultRowHeight="16" x14ac:dyDescent="0.2"/>
  <cols>
    <col min="2" max="2" width="31.33203125" customWidth="1"/>
    <col min="3" max="3" width="19.5" bestFit="1" customWidth="1"/>
    <col min="4" max="4" width="24.83203125" customWidth="1"/>
    <col min="5" max="9" width="20.1640625" bestFit="1" customWidth="1"/>
    <col min="10" max="10" width="22.1640625" customWidth="1"/>
    <col min="11" max="11" width="19.1640625" bestFit="1" customWidth="1"/>
    <col min="12" max="12" width="19.6640625" customWidth="1"/>
    <col min="13" max="13" width="19.33203125" customWidth="1"/>
    <col min="14" max="14" width="21.5" customWidth="1"/>
    <col min="16" max="16" width="32.83203125" customWidth="1"/>
    <col min="17" max="17" width="15.5" customWidth="1"/>
  </cols>
  <sheetData>
    <row r="2" spans="2:22" ht="17" thickBot="1" x14ac:dyDescent="0.25"/>
    <row r="3" spans="2:22" x14ac:dyDescent="0.2">
      <c r="B3" s="38" t="s">
        <v>0</v>
      </c>
      <c r="C3" s="257">
        <v>2017</v>
      </c>
      <c r="D3" s="257">
        <v>2018</v>
      </c>
      <c r="E3" s="257">
        <v>2019</v>
      </c>
      <c r="F3" s="257">
        <v>2020</v>
      </c>
      <c r="G3" s="257">
        <v>2021</v>
      </c>
      <c r="H3" s="257">
        <v>2022</v>
      </c>
      <c r="I3" s="148">
        <v>2023</v>
      </c>
      <c r="J3" s="63">
        <v>2024</v>
      </c>
      <c r="K3" s="257">
        <v>2025</v>
      </c>
      <c r="L3" s="257">
        <v>2026</v>
      </c>
      <c r="M3" s="257">
        <v>2027</v>
      </c>
      <c r="N3" s="258">
        <v>2028</v>
      </c>
      <c r="P3" s="131" t="s">
        <v>0</v>
      </c>
      <c r="Q3" s="23">
        <v>2019</v>
      </c>
      <c r="R3" s="23">
        <v>2020</v>
      </c>
      <c r="S3" s="23">
        <v>2021</v>
      </c>
      <c r="T3" s="23">
        <v>2022</v>
      </c>
      <c r="U3" s="45">
        <v>2023</v>
      </c>
      <c r="V3" s="170">
        <v>2024</v>
      </c>
    </row>
    <row r="4" spans="2:22" ht="17" thickBot="1" x14ac:dyDescent="0.25">
      <c r="B4" s="247"/>
      <c r="I4" s="3"/>
      <c r="J4" s="248"/>
      <c r="N4" s="25"/>
      <c r="P4" s="132"/>
      <c r="V4" s="25"/>
    </row>
    <row r="5" spans="2:22" x14ac:dyDescent="0.2">
      <c r="B5" s="142" t="s">
        <v>186</v>
      </c>
      <c r="C5" s="224">
        <f>1.49*10^9</f>
        <v>1490000000</v>
      </c>
      <c r="D5" s="224">
        <f>1.89*10^9</f>
        <v>1890000000</v>
      </c>
      <c r="E5" s="224">
        <f>2.33*10^9</f>
        <v>2330000000</v>
      </c>
      <c r="F5" s="224">
        <f>2.82*10^9</f>
        <v>2820000000</v>
      </c>
      <c r="G5" s="224">
        <f>3.2*10^9</f>
        <v>3200000000</v>
      </c>
      <c r="H5" s="224">
        <f>3.6*10^9</f>
        <v>3600000000</v>
      </c>
      <c r="I5" s="225">
        <f>4.02*10^9</f>
        <v>4019999999.9999995</v>
      </c>
      <c r="J5" s="225">
        <f>4.02*10^9</f>
        <v>4019999999.9999995</v>
      </c>
      <c r="K5" s="226"/>
      <c r="L5" s="226" cm="1">
        <f t="array" ref="L5">K5*(GEOMEAN(1+F7:K7))</f>
        <v>0</v>
      </c>
      <c r="M5" s="226" cm="1">
        <f t="array" ref="M5">L5*(GEOMEAN(1+G7:L7))</f>
        <v>0</v>
      </c>
      <c r="N5" s="227" cm="1">
        <f t="array" ref="N5">M5*(GEOMEAN(1+H7:M7))</f>
        <v>0</v>
      </c>
      <c r="P5" s="140" t="s">
        <v>47</v>
      </c>
      <c r="V5" s="25"/>
    </row>
    <row r="6" spans="2:22" x14ac:dyDescent="0.2">
      <c r="B6" s="132"/>
      <c r="C6" s="138"/>
      <c r="I6" s="3"/>
      <c r="P6" s="140" t="s">
        <v>48</v>
      </c>
      <c r="V6" s="25"/>
    </row>
    <row r="7" spans="2:22" x14ac:dyDescent="0.2">
      <c r="B7" s="143" t="s">
        <v>194</v>
      </c>
      <c r="C7" s="138">
        <f>(IS!B12-IS!B33)/IS!B23</f>
        <v>0.38479809976247031</v>
      </c>
      <c r="D7" s="138">
        <f>(IS!C12-IS!C33)/IS!C23</f>
        <v>1.1032482598607889</v>
      </c>
      <c r="E7" s="138">
        <f>(IS!D12-IS!D33)/IS!D23</f>
        <v>0.93031026252983284</v>
      </c>
      <c r="F7" s="138">
        <f>(IS!E12-IS!E33)/IS!E23</f>
        <v>0.92565320665083139</v>
      </c>
      <c r="G7" s="138">
        <f>(IS!F12-IS!F33)/IS!F23</f>
        <v>1.9223776223776223</v>
      </c>
      <c r="H7" s="138">
        <f>(IS!G12-IS!G33)/IS!G23</f>
        <v>3.2756501182033104</v>
      </c>
      <c r="I7" s="134">
        <f>(IS!H12-IS!H33)/IS!H23</f>
        <v>3.7489461358313823</v>
      </c>
      <c r="J7" s="138">
        <f>(IS!I12-IS!I33)/IS!I23</f>
        <v>3.1887029288702928</v>
      </c>
      <c r="K7" s="138"/>
      <c r="L7" s="138"/>
      <c r="M7" s="138"/>
      <c r="N7" s="139"/>
      <c r="P7" s="140" t="s">
        <v>49</v>
      </c>
      <c r="V7" s="25"/>
    </row>
    <row r="8" spans="2:22" x14ac:dyDescent="0.2">
      <c r="B8" s="132"/>
      <c r="C8" s="138"/>
      <c r="D8" s="138"/>
      <c r="E8" s="138"/>
      <c r="F8" s="138"/>
      <c r="G8" s="138"/>
      <c r="H8" s="138"/>
      <c r="I8" s="134"/>
      <c r="J8" s="138"/>
      <c r="K8" s="138"/>
      <c r="L8" s="138"/>
      <c r="M8" s="138"/>
      <c r="N8" s="139"/>
      <c r="P8" s="132"/>
      <c r="V8" s="25"/>
    </row>
    <row r="9" spans="2:22" x14ac:dyDescent="0.2">
      <c r="B9" s="144" t="s">
        <v>172</v>
      </c>
      <c r="C9" s="138"/>
      <c r="D9" s="192">
        <f>SUM(D11:D20)</f>
        <v>13283000000</v>
      </c>
      <c r="E9" s="192">
        <f t="shared" ref="E9:H9" si="0">SUM(E11:E20)</f>
        <v>5551000000</v>
      </c>
      <c r="F9" s="192">
        <f t="shared" si="0"/>
        <v>7929000000</v>
      </c>
      <c r="G9" s="192">
        <f t="shared" si="0"/>
        <v>9338000000</v>
      </c>
      <c r="H9" s="192">
        <f t="shared" si="0"/>
        <v>13663000000.000004</v>
      </c>
      <c r="I9" s="193">
        <f>SUM(I11:I20)</f>
        <v>16884000000</v>
      </c>
      <c r="J9" s="193">
        <f t="shared" ref="J9:N9" si="1">SUM(J11:J20)</f>
        <v>17458000000</v>
      </c>
      <c r="K9" s="193">
        <f t="shared" si="1"/>
        <v>904507965.47047615</v>
      </c>
      <c r="L9" s="193">
        <f t="shared" si="1"/>
        <v>-164486028.98082161</v>
      </c>
      <c r="M9" s="193">
        <f t="shared" si="1"/>
        <v>-2124373523.1736093</v>
      </c>
      <c r="N9" s="194">
        <f t="shared" si="1"/>
        <v>-5523464661.7910404</v>
      </c>
      <c r="P9" s="140" t="s">
        <v>50</v>
      </c>
      <c r="V9" s="25"/>
    </row>
    <row r="10" spans="2:22" x14ac:dyDescent="0.2">
      <c r="B10" s="132"/>
      <c r="C10" s="138"/>
      <c r="D10" s="138"/>
      <c r="E10" s="138"/>
      <c r="F10" s="138"/>
      <c r="G10" s="138"/>
      <c r="H10" s="138"/>
      <c r="I10" s="134"/>
      <c r="J10" s="138"/>
      <c r="K10" s="138"/>
      <c r="L10" s="138"/>
      <c r="M10" s="138"/>
      <c r="N10" s="139"/>
      <c r="P10" s="140" t="s">
        <v>51</v>
      </c>
      <c r="V10" s="25"/>
    </row>
    <row r="11" spans="2:22" ht="17" thickBot="1" x14ac:dyDescent="0.25">
      <c r="B11" s="143" t="s">
        <v>9</v>
      </c>
      <c r="C11" s="138"/>
      <c r="D11" s="175">
        <f>IS!C19</f>
        <v>12257000000</v>
      </c>
      <c r="E11" s="175">
        <f>IS!D19</f>
        <v>2728000000</v>
      </c>
      <c r="F11" s="175">
        <f>IS!E19</f>
        <v>2967000000</v>
      </c>
      <c r="G11" s="175">
        <f>IS!F19</f>
        <v>6741000000</v>
      </c>
      <c r="H11" s="175">
        <f>IS!G19</f>
        <v>11491000000.000004</v>
      </c>
      <c r="I11" s="189">
        <f>IS!H19</f>
        <v>14090000000</v>
      </c>
      <c r="J11" s="189">
        <f>IS!I19</f>
        <v>5887000000</v>
      </c>
      <c r="K11" s="189">
        <f>IS!J19</f>
        <v>1919590178.448843</v>
      </c>
      <c r="L11" s="189">
        <f>IS!K19</f>
        <v>2207937236.0220909</v>
      </c>
      <c r="M11" s="189">
        <f>IS!L19</f>
        <v>2539597718.7965107</v>
      </c>
      <c r="N11" s="176">
        <f>IS!M19</f>
        <v>2921077858.5972118</v>
      </c>
      <c r="P11" s="141" t="s">
        <v>52</v>
      </c>
      <c r="V11" s="25"/>
    </row>
    <row r="12" spans="2:22" ht="17" thickBot="1" x14ac:dyDescent="0.25">
      <c r="B12" s="132" t="s">
        <v>185</v>
      </c>
      <c r="C12" s="138"/>
      <c r="D12" s="175">
        <f>D5</f>
        <v>1890000000</v>
      </c>
      <c r="E12" s="175">
        <f t="shared" ref="E12:H12" si="2">E5</f>
        <v>2330000000</v>
      </c>
      <c r="F12" s="175">
        <f t="shared" si="2"/>
        <v>2820000000</v>
      </c>
      <c r="G12" s="175">
        <f t="shared" si="2"/>
        <v>3200000000</v>
      </c>
      <c r="H12" s="175">
        <f t="shared" si="2"/>
        <v>3600000000</v>
      </c>
      <c r="I12" s="189">
        <f>I5</f>
        <v>4019999999.9999995</v>
      </c>
      <c r="J12" s="189">
        <f t="shared" ref="J12:N12" si="3">J5</f>
        <v>4019999999.9999995</v>
      </c>
      <c r="K12" s="189">
        <f t="shared" si="3"/>
        <v>0</v>
      </c>
      <c r="L12" s="189">
        <f t="shared" si="3"/>
        <v>0</v>
      </c>
      <c r="M12" s="189">
        <f t="shared" si="3"/>
        <v>0</v>
      </c>
      <c r="N12" s="176">
        <f t="shared" si="3"/>
        <v>0</v>
      </c>
      <c r="P12" s="174"/>
      <c r="V12" s="25"/>
    </row>
    <row r="13" spans="2:22" x14ac:dyDescent="0.2">
      <c r="B13" s="132" t="s">
        <v>173</v>
      </c>
      <c r="C13" s="138"/>
      <c r="D13" s="175">
        <f>BS!C9-BS!D9</f>
        <v>-940000000</v>
      </c>
      <c r="E13" s="175">
        <f>BS!D9-BS!E9</f>
        <v>130000000</v>
      </c>
      <c r="F13" s="175">
        <f>BS!E9-BS!F9</f>
        <v>960000000</v>
      </c>
      <c r="G13" s="175">
        <f>BS!F9-BS!G9</f>
        <v>230000000.00000024</v>
      </c>
      <c r="H13" s="175">
        <f>BS!G9-BS!H9</f>
        <v>-890000000.00000024</v>
      </c>
      <c r="I13" s="189">
        <f>BS!H9-BS!I9</f>
        <v>-190000000</v>
      </c>
      <c r="J13" s="189">
        <f>BS!I9-BS!J9</f>
        <v>-1270000000</v>
      </c>
      <c r="K13" s="189">
        <f>BS!J9-BS!K9</f>
        <v>-2144994635.391037</v>
      </c>
      <c r="L13" s="189">
        <f>BS!K9-BS!L9</f>
        <v>-3204357359.4311104</v>
      </c>
      <c r="M13" s="189">
        <f>BS!L9-BS!M9</f>
        <v>-4795953387.6411133</v>
      </c>
      <c r="N13" s="176">
        <f>BS!M9-BS!N9</f>
        <v>-7191697601.8035393</v>
      </c>
      <c r="P13" s="142" t="s">
        <v>186</v>
      </c>
      <c r="Q13" s="259">
        <f>IF(AND(ISNUMBER(D5), D5&lt;&gt;0), (E5-D5)/D5, 0)</f>
        <v>0.23280423280423279</v>
      </c>
      <c r="R13" s="259">
        <f t="shared" ref="R13:V13" si="4">IF(AND(ISNUMBER(E5), E5&lt;&gt;0), (F5-E5)/E5, 0)</f>
        <v>0.21030042918454936</v>
      </c>
      <c r="S13" s="259">
        <f t="shared" si="4"/>
        <v>0.13475177304964539</v>
      </c>
      <c r="T13" s="259">
        <f t="shared" si="4"/>
        <v>0.125</v>
      </c>
      <c r="U13" s="259">
        <f t="shared" si="4"/>
        <v>0.11666666666666653</v>
      </c>
      <c r="V13" s="171">
        <f t="shared" si="4"/>
        <v>0</v>
      </c>
    </row>
    <row r="14" spans="2:22" x14ac:dyDescent="0.2">
      <c r="B14" s="132" t="s">
        <v>174</v>
      </c>
      <c r="C14" s="138"/>
      <c r="D14" s="175">
        <f>BS!C10-BS!D10</f>
        <v>330000000</v>
      </c>
      <c r="E14" s="175">
        <f>BS!D10-BS!E10</f>
        <v>246000000</v>
      </c>
      <c r="F14" s="175">
        <f>BS!E10-BS!F10</f>
        <v>-126000000</v>
      </c>
      <c r="G14" s="175">
        <f>BS!F10-BS!G10</f>
        <v>-300000000</v>
      </c>
      <c r="H14" s="175">
        <f>BS!G10-BS!H10</f>
        <v>-630000000</v>
      </c>
      <c r="I14" s="189">
        <f>BS!H10-BS!I10</f>
        <v>30000000</v>
      </c>
      <c r="J14" s="189">
        <f>BS!I10-BS!J10</f>
        <v>140000000</v>
      </c>
      <c r="K14" s="189">
        <f>BS!J10-BS!K10</f>
        <v>-854115510.92493773</v>
      </c>
      <c r="L14" s="189">
        <f>BS!K10-BS!L10</f>
        <v>-1275943201.9454198</v>
      </c>
      <c r="M14" s="189">
        <f>BS!L10-BS!M10</f>
        <v>-1909700896.4362812</v>
      </c>
      <c r="N14" s="176">
        <f>BS!M10-BS!N10</f>
        <v>-2863662393.4783325</v>
      </c>
      <c r="P14" s="132"/>
      <c r="Q14" s="259"/>
      <c r="V14" s="25"/>
    </row>
    <row r="15" spans="2:22" x14ac:dyDescent="0.2">
      <c r="B15" s="132" t="s">
        <v>175</v>
      </c>
      <c r="C15" s="138"/>
      <c r="D15" s="175">
        <f>(BS!D29-BS!C29)</f>
        <v>-289000000</v>
      </c>
      <c r="E15" s="175">
        <f>(BS!E29-BS!D29)</f>
        <v>44000000</v>
      </c>
      <c r="F15" s="175">
        <f>(BS!F29-BS!E29)</f>
        <v>-19000000</v>
      </c>
      <c r="G15" s="175">
        <f>(BS!G29-BS!F29)</f>
        <v>254000000</v>
      </c>
      <c r="H15" s="175">
        <f>(BS!H29-BS!G29)</f>
        <v>-92000000</v>
      </c>
      <c r="I15" s="189">
        <f>(BS!I29-BS!H29)</f>
        <v>212000000</v>
      </c>
      <c r="J15" s="189">
        <f>(BS!J29-BS!I29)</f>
        <v>450000000</v>
      </c>
      <c r="K15" s="189">
        <f>(BS!K29-BS!J29)</f>
        <v>478457101.64948177</v>
      </c>
      <c r="L15" s="189">
        <f>(BS!L29-BS!K29)</f>
        <v>622603742.38364458</v>
      </c>
      <c r="M15" s="189">
        <f>(BS!M29-BS!L29)</f>
        <v>812013834.61589289</v>
      </c>
      <c r="N15" s="176">
        <f>(BS!N29-BS!M29)</f>
        <v>1061465325.8254309</v>
      </c>
      <c r="P15" s="143" t="s">
        <v>194</v>
      </c>
      <c r="Q15" s="259">
        <f>IF(AND(ISNUMBER(D7), D7&lt;&gt;0), (E7-D7)/D7, 0)</f>
        <v>-0.15675347392143441</v>
      </c>
      <c r="R15" s="259">
        <f t="shared" ref="R15" si="5">IF(AND(ISNUMBER(E7), E7&lt;&gt;0), (F7-E7)/E7, 0)</f>
        <v>-5.0059169145756982E-3</v>
      </c>
      <c r="S15" s="259">
        <f t="shared" ref="S15" si="6">IF(AND(ISNUMBER(F7), F7&lt;&gt;0), (G7-F7)/F7, 0)</f>
        <v>1.0767795201975339</v>
      </c>
      <c r="T15" s="259">
        <f t="shared" ref="T15" si="7">IF(AND(ISNUMBER(G7), G7&lt;&gt;0), (H7-G7)/G7, 0)</f>
        <v>0.70395768244115464</v>
      </c>
      <c r="U15" s="259">
        <f t="shared" ref="U15" si="8">IF(AND(ISNUMBER(H7), H7&lt;&gt;0), (I7-H7)/H7, 0)</f>
        <v>0.14448918552011716</v>
      </c>
      <c r="V15" s="171">
        <f t="shared" ref="V15" si="9">IF(AND(ISNUMBER(I7), I7&lt;&gt;0), (J7-I7)/I7, 0)</f>
        <v>-0.14944018576485829</v>
      </c>
    </row>
    <row r="16" spans="2:22" x14ac:dyDescent="0.2">
      <c r="B16" s="132" t="s">
        <v>176</v>
      </c>
      <c r="C16" s="138"/>
      <c r="D16" s="175">
        <f>BS!D33-BS!C33</f>
        <v>-72000000</v>
      </c>
      <c r="E16" s="175">
        <f>BS!E33-BS!D33</f>
        <v>400000000</v>
      </c>
      <c r="F16" s="175">
        <f>BS!F33-BS!E33</f>
        <v>-215000000</v>
      </c>
      <c r="G16" s="175">
        <f>BS!G33-BS!F33</f>
        <v>-75000000</v>
      </c>
      <c r="H16" s="175">
        <f>BS!H33-BS!G33</f>
        <v>131000000</v>
      </c>
      <c r="I16" s="189">
        <f>BS!I33-BS!H33</f>
        <v>-95000000</v>
      </c>
      <c r="J16" s="189">
        <f>BS!J33-BS!I33</f>
        <v>11158000000</v>
      </c>
      <c r="K16" s="189">
        <f>BS!K33-BS!J33</f>
        <v>3398198330.3899937</v>
      </c>
      <c r="L16" s="189">
        <f>BS!L33-BS!K33</f>
        <v>4421986820.9055233</v>
      </c>
      <c r="M16" s="189">
        <f>BS!M33-BS!L33</f>
        <v>5767254885.6152878</v>
      </c>
      <c r="N16" s="176">
        <f>BS!N33-BS!M33</f>
        <v>7538961561.1336365</v>
      </c>
      <c r="P16" s="132"/>
      <c r="Q16" s="259"/>
      <c r="V16" s="25"/>
    </row>
    <row r="17" spans="2:22" x14ac:dyDescent="0.2">
      <c r="B17" s="132" t="s">
        <v>187</v>
      </c>
      <c r="C17" s="138"/>
      <c r="D17" s="175">
        <f>BS!D31-BS!C31</f>
        <v>89000000</v>
      </c>
      <c r="E17" s="175">
        <f>BS!E31-BS!D31</f>
        <v>-74000000</v>
      </c>
      <c r="F17" s="175">
        <f>BS!F31-BS!E31</f>
        <v>236000000</v>
      </c>
      <c r="G17" s="175">
        <f>BS!G31-BS!F31</f>
        <v>193000000.00000012</v>
      </c>
      <c r="H17" s="175">
        <f>BS!H31-BS!G31</f>
        <v>129999999.99999988</v>
      </c>
      <c r="I17" s="189">
        <f>BS!I31-BS!H31</f>
        <v>-265000000</v>
      </c>
      <c r="J17" s="189">
        <f>BS!J31-BS!I31</f>
        <v>1035000000</v>
      </c>
      <c r="K17" s="189">
        <f>BS!K31-BS!J31</f>
        <v>567807524.24667406</v>
      </c>
      <c r="L17" s="189">
        <f>BS!L31-BS!K31</f>
        <v>738873115.96131325</v>
      </c>
      <c r="M17" s="189">
        <f>BS!M31-BS!L31</f>
        <v>963654972.40560818</v>
      </c>
      <c r="N17" s="176">
        <f>BS!N31-BS!M31</f>
        <v>1259690778.2386146</v>
      </c>
      <c r="P17" s="144" t="s">
        <v>172</v>
      </c>
      <c r="Q17" s="259">
        <f>IF(AND(ISNUMBER(D9), D9&lt;&gt;0), (E9-D9)/D9, 0)</f>
        <v>-0.58209741775201385</v>
      </c>
      <c r="R17" s="259">
        <f t="shared" ref="R17:V17" si="10">IF(AND(ISNUMBER(E9), E9&lt;&gt;0), (F9-E9)/E9, 0)</f>
        <v>0.42839128085029726</v>
      </c>
      <c r="S17" s="259">
        <f t="shared" si="10"/>
        <v>0.17770210619245808</v>
      </c>
      <c r="T17" s="259">
        <f t="shared" si="10"/>
        <v>0.46316127650460526</v>
      </c>
      <c r="U17" s="259">
        <f t="shared" si="10"/>
        <v>0.23574617580326396</v>
      </c>
      <c r="V17" s="171">
        <f t="shared" si="10"/>
        <v>3.3996683250414592E-2</v>
      </c>
    </row>
    <row r="18" spans="2:22" x14ac:dyDescent="0.2">
      <c r="B18" s="132" t="s">
        <v>188</v>
      </c>
      <c r="C18" s="138"/>
      <c r="D18" s="175">
        <f>BS!D39-BS!C39</f>
        <v>0</v>
      </c>
      <c r="E18" s="175">
        <f>BS!E39-BS!D39</f>
        <v>0</v>
      </c>
      <c r="F18" s="175">
        <f>BS!F39-BS!E39</f>
        <v>823000000</v>
      </c>
      <c r="G18" s="175">
        <f>BS!G39-BS!F39</f>
        <v>-257000000</v>
      </c>
      <c r="H18" s="175">
        <f>BS!H39-BS!G39</f>
        <v>-156000000</v>
      </c>
      <c r="I18" s="189">
        <f>BS!I39-BS!H39</f>
        <v>-111000000</v>
      </c>
      <c r="J18" s="189">
        <f>BS!J39-BS!I39</f>
        <v>-299000000</v>
      </c>
      <c r="K18" s="189">
        <f>BS!K39-BS!J39</f>
        <v>0</v>
      </c>
      <c r="L18" s="189">
        <f>BS!L39-BS!K39</f>
        <v>0</v>
      </c>
      <c r="M18" s="189">
        <f>BS!M39-BS!L39</f>
        <v>0</v>
      </c>
      <c r="N18" s="176">
        <f>BS!N39-BS!M39</f>
        <v>0</v>
      </c>
      <c r="P18" s="132"/>
      <c r="Q18" s="259"/>
      <c r="R18" s="259"/>
      <c r="S18" s="259"/>
      <c r="T18" s="259"/>
      <c r="U18" s="259"/>
      <c r="V18" s="171"/>
    </row>
    <row r="19" spans="2:22" x14ac:dyDescent="0.2">
      <c r="B19" s="132" t="s">
        <v>189</v>
      </c>
      <c r="C19" s="138"/>
      <c r="D19" s="175">
        <f>BS!D30-BS!C30</f>
        <v>39000000</v>
      </c>
      <c r="E19" s="175">
        <f>BS!E30-BS!D30</f>
        <v>67000000</v>
      </c>
      <c r="F19" s="175">
        <f>BS!F30-BS!E30</f>
        <v>211000000</v>
      </c>
      <c r="G19" s="175">
        <f>BS!G30-BS!F30</f>
        <v>101000000</v>
      </c>
      <c r="H19" s="175">
        <f>BS!H30-BS!G30</f>
        <v>139000000</v>
      </c>
      <c r="I19" s="189">
        <f>BS!I30-BS!H30</f>
        <v>-207000000</v>
      </c>
      <c r="J19" s="189">
        <f>BS!J30-BS!I30</f>
        <v>-473000000</v>
      </c>
      <c r="K19" s="189">
        <f>BS!K30-BS!J30</f>
        <v>0</v>
      </c>
      <c r="L19" s="189">
        <f>BS!L30-BS!K30</f>
        <v>0</v>
      </c>
      <c r="M19" s="189">
        <f>BS!M30-BS!L30</f>
        <v>0</v>
      </c>
      <c r="N19" s="176">
        <f>BS!N30-BS!M30</f>
        <v>0</v>
      </c>
      <c r="P19" s="143" t="s">
        <v>9</v>
      </c>
      <c r="Q19" s="259">
        <f t="shared" ref="Q19:Q54" si="11">IF(AND(ISNUMBER(D11), D11&lt;&gt;0), (E11-D11)/D11, 0)</f>
        <v>-0.77743330341845474</v>
      </c>
      <c r="R19" s="259">
        <f t="shared" ref="R19:R28" si="12">IF(AND(ISNUMBER(E11), E11&lt;&gt;0), (F11-E11)/E11, 0)</f>
        <v>8.7609970674486809E-2</v>
      </c>
      <c r="S19" s="259">
        <f t="shared" ref="S19:S28" si="13">IF(AND(ISNUMBER(F11), F11&lt;&gt;0), (G11-F11)/F11, 0)</f>
        <v>1.2719919110212337</v>
      </c>
      <c r="T19" s="259">
        <f t="shared" ref="T19:T28" si="14">IF(AND(ISNUMBER(G11), G11&lt;&gt;0), (H11-G11)/G11, 0)</f>
        <v>0.70464322800771451</v>
      </c>
      <c r="U19" s="259">
        <f t="shared" ref="U19:U28" si="15">IF(AND(ISNUMBER(H11), H11&lt;&gt;0), (I11-H11)/H11, 0)</f>
        <v>0.22617700809329</v>
      </c>
      <c r="V19" s="171">
        <f t="shared" ref="V19:V28" si="16">IF(AND(ISNUMBER(I11), I11&lt;&gt;0), (J11-I11)/I11, 0)</f>
        <v>-0.58218594748048258</v>
      </c>
    </row>
    <row r="20" spans="2:22" x14ac:dyDescent="0.2">
      <c r="B20" s="132" t="s">
        <v>191</v>
      </c>
      <c r="C20" s="138"/>
      <c r="D20" s="175">
        <f>BS!C19-BS!D19</f>
        <v>-21000000</v>
      </c>
      <c r="E20" s="175">
        <f>BS!D19-BS!E19</f>
        <v>-320000000</v>
      </c>
      <c r="F20" s="175">
        <f>BS!E19-BS!F19</f>
        <v>272000000</v>
      </c>
      <c r="G20" s="175">
        <f>BS!F19-BS!G19</f>
        <v>-749000000</v>
      </c>
      <c r="H20" s="175">
        <f>BS!G19-BS!H19</f>
        <v>-60000000</v>
      </c>
      <c r="I20" s="189">
        <f>BS!H19-BS!I19</f>
        <v>-600000000</v>
      </c>
      <c r="J20" s="189">
        <f>BS!I19-BS!J19</f>
        <v>-3190000000</v>
      </c>
      <c r="K20" s="189">
        <f>BS!J19-BS!K19</f>
        <v>-2460435022.9485416</v>
      </c>
      <c r="L20" s="189">
        <f>BS!K19-BS!L19</f>
        <v>-3675586382.8768635</v>
      </c>
      <c r="M20" s="189">
        <f>BS!L19-BS!M19</f>
        <v>-5501240650.5295143</v>
      </c>
      <c r="N20" s="176">
        <f>BS!M19-BS!N19</f>
        <v>-8249300190.3040619</v>
      </c>
      <c r="P20" s="132" t="s">
        <v>185</v>
      </c>
      <c r="Q20" s="259">
        <f t="shared" si="11"/>
        <v>0.23280423280423279</v>
      </c>
      <c r="R20" s="259">
        <f t="shared" si="12"/>
        <v>0.21030042918454936</v>
      </c>
      <c r="S20" s="259">
        <f t="shared" si="13"/>
        <v>0.13475177304964539</v>
      </c>
      <c r="T20" s="259">
        <f t="shared" si="14"/>
        <v>0.125</v>
      </c>
      <c r="U20" s="259">
        <f t="shared" si="15"/>
        <v>0.11666666666666653</v>
      </c>
      <c r="V20" s="171">
        <f t="shared" si="16"/>
        <v>0</v>
      </c>
    </row>
    <row r="21" spans="2:22" x14ac:dyDescent="0.2">
      <c r="B21" s="132"/>
      <c r="C21" s="138"/>
      <c r="D21" s="138"/>
      <c r="E21" s="138"/>
      <c r="F21" s="138"/>
      <c r="G21" s="138"/>
      <c r="H21" s="138"/>
      <c r="I21" s="134"/>
      <c r="J21" s="138"/>
      <c r="K21" s="138"/>
      <c r="L21" s="138"/>
      <c r="M21" s="138"/>
      <c r="N21" s="139"/>
      <c r="P21" s="132" t="s">
        <v>173</v>
      </c>
      <c r="Q21" s="259">
        <f>IF(AND(ISNUMBER(D13), D13&lt;&gt;0), (E13-D13)/D13, 0)</f>
        <v>-1.1382978723404256</v>
      </c>
      <c r="R21" s="259">
        <f t="shared" si="12"/>
        <v>6.384615384615385</v>
      </c>
      <c r="S21" s="259">
        <f t="shared" si="13"/>
        <v>-0.76041666666666641</v>
      </c>
      <c r="T21" s="259">
        <f t="shared" si="14"/>
        <v>-4.8695652173913011</v>
      </c>
      <c r="U21" s="259">
        <f t="shared" si="15"/>
        <v>-0.7865168539325843</v>
      </c>
      <c r="V21" s="171">
        <f t="shared" si="16"/>
        <v>5.6842105263157894</v>
      </c>
    </row>
    <row r="22" spans="2:22" x14ac:dyDescent="0.2">
      <c r="B22" s="144" t="s">
        <v>177</v>
      </c>
      <c r="C22" s="138"/>
      <c r="D22" s="198">
        <f>SUM(D24:D27)</f>
        <v>44000000</v>
      </c>
      <c r="E22" s="198">
        <f t="shared" ref="E22:G22" si="17">SUM(E24:E27)</f>
        <v>-390000000</v>
      </c>
      <c r="F22" s="198">
        <f t="shared" si="17"/>
        <v>812000000</v>
      </c>
      <c r="G22" s="198">
        <f t="shared" si="17"/>
        <v>-909000000</v>
      </c>
      <c r="H22" s="198">
        <f>SUM(H24:H27)</f>
        <v>-260000000</v>
      </c>
      <c r="I22" s="199">
        <f>SUM(I24:I27)</f>
        <v>-720000000</v>
      </c>
      <c r="J22" s="199">
        <f t="shared" ref="J22:N22" si="18">SUM(J24:J27)</f>
        <v>-3290000000</v>
      </c>
      <c r="K22" s="199">
        <f t="shared" si="18"/>
        <v>-1237496905.0332899</v>
      </c>
      <c r="L22" s="199">
        <f t="shared" si="18"/>
        <v>-1848667707.3641033</v>
      </c>
      <c r="M22" s="199">
        <f t="shared" si="18"/>
        <v>-2766896185.1775665</v>
      </c>
      <c r="N22" s="200">
        <f t="shared" si="18"/>
        <v>-4149056308.7328138</v>
      </c>
      <c r="P22" s="132" t="s">
        <v>174</v>
      </c>
      <c r="Q22" s="259">
        <f t="shared" si="11"/>
        <v>-0.25454545454545452</v>
      </c>
      <c r="R22" s="259">
        <f t="shared" si="12"/>
        <v>-1.5121951219512195</v>
      </c>
      <c r="S22" s="259">
        <f t="shared" si="13"/>
        <v>1.3809523809523809</v>
      </c>
      <c r="T22" s="259">
        <f t="shared" si="14"/>
        <v>1.1000000000000001</v>
      </c>
      <c r="U22" s="259">
        <f t="shared" si="15"/>
        <v>-1.0476190476190477</v>
      </c>
      <c r="V22" s="171">
        <f t="shared" si="16"/>
        <v>3.6666666666666665</v>
      </c>
    </row>
    <row r="23" spans="2:22" x14ac:dyDescent="0.2">
      <c r="B23" s="132"/>
      <c r="C23" s="138"/>
      <c r="D23" s="175"/>
      <c r="E23" s="175"/>
      <c r="F23" s="175"/>
      <c r="G23" s="175"/>
      <c r="H23" s="175"/>
      <c r="I23" s="189"/>
      <c r="J23" s="138"/>
      <c r="K23" s="138"/>
      <c r="L23" s="138"/>
      <c r="M23" s="138"/>
      <c r="N23" s="139"/>
      <c r="P23" s="132" t="s">
        <v>175</v>
      </c>
      <c r="Q23" s="259">
        <f>IF(AND(ISNUMBER(D15), D15&lt;&gt;0), (E15-D15)/D15, 0)</f>
        <v>-1.1522491349480968</v>
      </c>
      <c r="R23" s="259">
        <f t="shared" si="12"/>
        <v>-1.4318181818181819</v>
      </c>
      <c r="S23" s="259">
        <f t="shared" si="13"/>
        <v>-14.368421052631579</v>
      </c>
      <c r="T23" s="259">
        <f t="shared" si="14"/>
        <v>-1.3622047244094488</v>
      </c>
      <c r="U23" s="259">
        <f t="shared" si="15"/>
        <v>-3.3043478260869565</v>
      </c>
      <c r="V23" s="171">
        <f t="shared" si="16"/>
        <v>1.1226415094339623</v>
      </c>
    </row>
    <row r="24" spans="2:22" x14ac:dyDescent="0.2">
      <c r="B24" s="132" t="s">
        <v>178</v>
      </c>
      <c r="C24" s="138"/>
      <c r="D24" s="175">
        <f>(BS!D15-BS!C15)</f>
        <v>30000000</v>
      </c>
      <c r="E24" s="175">
        <f>(BS!E15-BS!D15)</f>
        <v>-70000000</v>
      </c>
      <c r="F24" s="175">
        <f>(BS!F15-BS!E15)</f>
        <v>540000000</v>
      </c>
      <c r="G24" s="175">
        <f>(BS!G15-BS!F15)</f>
        <v>-160000000</v>
      </c>
      <c r="H24" s="175">
        <f>(BS!H15-BS!G15)</f>
        <v>-200000000</v>
      </c>
      <c r="I24" s="189">
        <f>(BS!I15-BS!H15)</f>
        <v>-120000000</v>
      </c>
      <c r="J24" s="189">
        <f>(BS!J15-BS!I15)</f>
        <v>-100000000</v>
      </c>
      <c r="K24" s="189">
        <f>(BS!K15-BS!J15)</f>
        <v>1222938117.9152517</v>
      </c>
      <c r="L24" s="189">
        <f>(BS!L15-BS!K15)</f>
        <v>1826918675.5127602</v>
      </c>
      <c r="M24" s="189">
        <f>(BS!M15-BS!L15)</f>
        <v>2734344465.3519478</v>
      </c>
      <c r="N24" s="176">
        <f>(BS!N15-BS!M15)</f>
        <v>4100243881.5712481</v>
      </c>
      <c r="P24" s="132" t="s">
        <v>176</v>
      </c>
      <c r="Q24" s="259">
        <f t="shared" si="11"/>
        <v>-6.5555555555555554</v>
      </c>
      <c r="R24" s="259">
        <f t="shared" si="12"/>
        <v>-1.5375000000000001</v>
      </c>
      <c r="S24" s="259">
        <f t="shared" si="13"/>
        <v>-0.65116279069767447</v>
      </c>
      <c r="T24" s="259">
        <f t="shared" si="14"/>
        <v>-2.7466666666666666</v>
      </c>
      <c r="U24" s="259">
        <f t="shared" si="15"/>
        <v>-1.7251908396946565</v>
      </c>
      <c r="V24" s="171">
        <f t="shared" si="16"/>
        <v>-118.45263157894736</v>
      </c>
    </row>
    <row r="25" spans="2:22" x14ac:dyDescent="0.2">
      <c r="B25" s="132" t="s">
        <v>192</v>
      </c>
      <c r="C25" s="138"/>
      <c r="D25" s="175">
        <f>BS!C14-BS!D14</f>
        <v>0</v>
      </c>
      <c r="E25" s="175">
        <f>BS!D14-BS!E14</f>
        <v>0</v>
      </c>
      <c r="F25" s="175">
        <f>BS!E14-BS!F14</f>
        <v>0</v>
      </c>
      <c r="G25" s="175">
        <f>BS!F14-BS!G14</f>
        <v>0</v>
      </c>
      <c r="H25" s="175">
        <f>BS!G14-BS!H14</f>
        <v>0</v>
      </c>
      <c r="I25" s="189">
        <f>BS!H14-BS!I14</f>
        <v>0</v>
      </c>
      <c r="J25" s="189">
        <f>BS!I14-BS!J14</f>
        <v>0</v>
      </c>
      <c r="K25" s="189">
        <f>BS!J14-BS!K14</f>
        <v>0</v>
      </c>
      <c r="L25" s="189">
        <f>BS!K14-BS!L14</f>
        <v>0</v>
      </c>
      <c r="M25" s="189">
        <f>BS!L14-BS!M14</f>
        <v>0</v>
      </c>
      <c r="N25" s="176">
        <f>BS!M14-BS!N14</f>
        <v>0</v>
      </c>
      <c r="P25" s="132" t="s">
        <v>187</v>
      </c>
      <c r="Q25" s="259">
        <f t="shared" si="11"/>
        <v>-1.8314606741573034</v>
      </c>
      <c r="R25" s="259">
        <f t="shared" si="12"/>
        <v>-4.1891891891891895</v>
      </c>
      <c r="S25" s="259">
        <f t="shared" si="13"/>
        <v>-0.18220338983050796</v>
      </c>
      <c r="T25" s="259">
        <f t="shared" si="14"/>
        <v>-0.32642487046632229</v>
      </c>
      <c r="U25" s="259">
        <f t="shared" si="15"/>
        <v>-3.0384615384615405</v>
      </c>
      <c r="V25" s="171">
        <f t="shared" si="16"/>
        <v>-4.9056603773584904</v>
      </c>
    </row>
    <row r="26" spans="2:22" x14ac:dyDescent="0.2">
      <c r="B26" s="132" t="s">
        <v>193</v>
      </c>
      <c r="C26" s="138"/>
      <c r="D26" s="175">
        <f>BS!C18-BS!D18</f>
        <v>35000000</v>
      </c>
      <c r="E26" s="175">
        <f>BS!D18-BS!E18</f>
        <v>0</v>
      </c>
      <c r="F26" s="175">
        <f>BS!E18-BS!F18</f>
        <v>0</v>
      </c>
      <c r="G26" s="175">
        <f>BS!F18-BS!G18</f>
        <v>0</v>
      </c>
      <c r="H26" s="175">
        <f>BS!G18-BS!H18</f>
        <v>0</v>
      </c>
      <c r="I26" s="189">
        <f>BS!H18-BS!I18</f>
        <v>0</v>
      </c>
      <c r="J26" s="189">
        <f>BS!I18-BS!J18</f>
        <v>0</v>
      </c>
      <c r="K26" s="189">
        <f>BS!J18-BS!K18</f>
        <v>0</v>
      </c>
      <c r="L26" s="189">
        <f>BS!K18-BS!L18</f>
        <v>0</v>
      </c>
      <c r="M26" s="189">
        <f>BS!L18-BS!M18</f>
        <v>0</v>
      </c>
      <c r="N26" s="176">
        <f>BS!M18-BS!N18</f>
        <v>0</v>
      </c>
      <c r="P26" s="132" t="s">
        <v>188</v>
      </c>
      <c r="Q26" s="259">
        <f t="shared" si="11"/>
        <v>0</v>
      </c>
      <c r="R26" s="259">
        <f t="shared" si="12"/>
        <v>0</v>
      </c>
      <c r="S26" s="259">
        <f t="shared" si="13"/>
        <v>-1.3122721749696233</v>
      </c>
      <c r="T26" s="259">
        <f t="shared" si="14"/>
        <v>-0.39299610894941633</v>
      </c>
      <c r="U26" s="259">
        <f t="shared" si="15"/>
        <v>-0.28846153846153844</v>
      </c>
      <c r="V26" s="171">
        <f t="shared" si="16"/>
        <v>1.6936936936936937</v>
      </c>
    </row>
    <row r="27" spans="2:22" x14ac:dyDescent="0.2">
      <c r="B27" s="132" t="s">
        <v>196</v>
      </c>
      <c r="C27" s="138"/>
      <c r="D27" s="175">
        <f>BS!C19-BS!D19</f>
        <v>-21000000</v>
      </c>
      <c r="E27" s="175">
        <f>BS!D19-BS!E19</f>
        <v>-320000000</v>
      </c>
      <c r="F27" s="175">
        <f>BS!E19-BS!F19</f>
        <v>272000000</v>
      </c>
      <c r="G27" s="175">
        <f>BS!F19-BS!G19</f>
        <v>-749000000</v>
      </c>
      <c r="H27" s="175">
        <f>BS!G19-BS!H19</f>
        <v>-60000000</v>
      </c>
      <c r="I27" s="189">
        <f>BS!H19-BS!I19</f>
        <v>-600000000</v>
      </c>
      <c r="J27" s="189">
        <f>BS!I19-BS!J19</f>
        <v>-3190000000</v>
      </c>
      <c r="K27" s="189">
        <f>BS!J19-BS!K19</f>
        <v>-2460435022.9485416</v>
      </c>
      <c r="L27" s="189">
        <f>BS!K19-BS!L19</f>
        <v>-3675586382.8768635</v>
      </c>
      <c r="M27" s="189">
        <f>BS!L19-BS!M19</f>
        <v>-5501240650.5295143</v>
      </c>
      <c r="N27" s="176">
        <f>BS!M19-BS!N19</f>
        <v>-8249300190.3040619</v>
      </c>
      <c r="P27" s="132" t="s">
        <v>189</v>
      </c>
      <c r="Q27" s="259">
        <f t="shared" si="11"/>
        <v>0.71794871794871795</v>
      </c>
      <c r="R27" s="259">
        <f t="shared" si="12"/>
        <v>2.1492537313432836</v>
      </c>
      <c r="S27" s="259">
        <f t="shared" si="13"/>
        <v>-0.52132701421800953</v>
      </c>
      <c r="T27" s="259">
        <f t="shared" si="14"/>
        <v>0.37623762376237624</v>
      </c>
      <c r="U27" s="259">
        <f t="shared" si="15"/>
        <v>-2.4892086330935252</v>
      </c>
      <c r="V27" s="171">
        <f t="shared" si="16"/>
        <v>1.2850241545893719</v>
      </c>
    </row>
    <row r="28" spans="2:22" x14ac:dyDescent="0.2">
      <c r="B28" s="132"/>
      <c r="C28" s="138"/>
      <c r="D28" s="138"/>
      <c r="E28" s="138"/>
      <c r="F28" s="138"/>
      <c r="G28" s="138"/>
      <c r="H28" s="138"/>
      <c r="I28" s="134"/>
      <c r="J28" s="138"/>
      <c r="K28" s="138"/>
      <c r="L28" s="138"/>
      <c r="M28" s="138"/>
      <c r="N28" s="139"/>
      <c r="P28" s="132" t="s">
        <v>191</v>
      </c>
      <c r="Q28" s="259">
        <f t="shared" si="11"/>
        <v>14.238095238095237</v>
      </c>
      <c r="R28" s="259">
        <f t="shared" si="12"/>
        <v>-1.85</v>
      </c>
      <c r="S28" s="259">
        <f t="shared" si="13"/>
        <v>-3.7536764705882355</v>
      </c>
      <c r="T28" s="259">
        <f t="shared" si="14"/>
        <v>-0.91989319092122834</v>
      </c>
      <c r="U28" s="259">
        <f t="shared" si="15"/>
        <v>9</v>
      </c>
      <c r="V28" s="171">
        <f t="shared" si="16"/>
        <v>4.3166666666666664</v>
      </c>
    </row>
    <row r="29" spans="2:22" x14ac:dyDescent="0.2">
      <c r="B29" s="132"/>
      <c r="C29" s="138"/>
      <c r="D29" s="138"/>
      <c r="E29" s="138"/>
      <c r="F29" s="138"/>
      <c r="G29" s="138"/>
      <c r="H29" s="138"/>
      <c r="I29" s="134"/>
      <c r="J29" s="138"/>
      <c r="K29" s="138"/>
      <c r="L29" s="138"/>
      <c r="M29" s="138"/>
      <c r="N29" s="139"/>
      <c r="P29" s="132"/>
      <c r="Q29" s="259"/>
      <c r="R29" s="259"/>
      <c r="S29" s="259"/>
      <c r="T29" s="259"/>
      <c r="U29" s="259"/>
      <c r="V29" s="171"/>
    </row>
    <row r="30" spans="2:22" x14ac:dyDescent="0.2">
      <c r="B30" s="132"/>
      <c r="C30" s="138"/>
      <c r="D30" s="138"/>
      <c r="E30" s="138"/>
      <c r="F30" s="138"/>
      <c r="G30" s="138"/>
      <c r="H30" s="138"/>
      <c r="I30" s="134"/>
      <c r="J30" s="138"/>
      <c r="K30" s="138"/>
      <c r="L30" s="138"/>
      <c r="M30" s="138"/>
      <c r="N30" s="139"/>
      <c r="P30" s="144" t="s">
        <v>177</v>
      </c>
      <c r="Q30" s="259">
        <f t="shared" si="11"/>
        <v>-9.8636363636363633</v>
      </c>
      <c r="R30" s="259">
        <f t="shared" ref="R30" si="19">IF(AND(ISNUMBER(E22), E22&lt;&gt;0), (F22-E22)/E22, 0)</f>
        <v>-3.0820512820512822</v>
      </c>
      <c r="S30" s="259">
        <f t="shared" ref="S30" si="20">IF(AND(ISNUMBER(F22), F22&lt;&gt;0), (G22-F22)/F22, 0)</f>
        <v>-2.1194581280788176</v>
      </c>
      <c r="T30" s="259">
        <f t="shared" ref="T30" si="21">IF(AND(ISNUMBER(G22), G22&lt;&gt;0), (H22-G22)/G22, 0)</f>
        <v>-0.71397139713971403</v>
      </c>
      <c r="U30" s="259">
        <f t="shared" ref="U30" si="22">IF(AND(ISNUMBER(H22), H22&lt;&gt;0), (I22-H22)/H22, 0)</f>
        <v>1.7692307692307692</v>
      </c>
      <c r="V30" s="171">
        <f t="shared" ref="V30" si="23">IF(AND(ISNUMBER(I22), I22&lt;&gt;0), (J22-I22)/I22, 0)</f>
        <v>3.5694444444444446</v>
      </c>
    </row>
    <row r="31" spans="2:22" x14ac:dyDescent="0.2">
      <c r="B31" s="132"/>
      <c r="C31" s="138"/>
      <c r="D31" s="138"/>
      <c r="E31" s="138"/>
      <c r="F31" s="138"/>
      <c r="G31" s="138"/>
      <c r="H31" s="138"/>
      <c r="I31" s="134"/>
      <c r="J31" s="138"/>
      <c r="K31" s="138"/>
      <c r="L31" s="138"/>
      <c r="M31" s="138"/>
      <c r="N31" s="139"/>
      <c r="P31" s="132"/>
      <c r="Q31" s="259"/>
      <c r="R31" s="259"/>
      <c r="S31" s="259"/>
      <c r="T31" s="259"/>
      <c r="U31" s="259"/>
      <c r="V31" s="171"/>
    </row>
    <row r="32" spans="2:22" x14ac:dyDescent="0.2">
      <c r="B32" s="132"/>
      <c r="C32" s="138"/>
      <c r="D32" s="138"/>
      <c r="E32" s="138"/>
      <c r="F32" s="138"/>
      <c r="G32" s="138"/>
      <c r="H32" s="138"/>
      <c r="I32" s="134"/>
      <c r="J32" s="138"/>
      <c r="K32" s="138"/>
      <c r="L32" s="138"/>
      <c r="M32" s="138"/>
      <c r="N32" s="139"/>
      <c r="P32" s="132" t="s">
        <v>178</v>
      </c>
      <c r="Q32" s="259">
        <f t="shared" si="11"/>
        <v>-3.3333333333333335</v>
      </c>
      <c r="R32" s="259">
        <f t="shared" ref="R32:R35" si="24">IF(AND(ISNUMBER(E24), E24&lt;&gt;0), (F24-E24)/E24, 0)</f>
        <v>-8.7142857142857135</v>
      </c>
      <c r="S32" s="259">
        <f t="shared" ref="S32:S35" si="25">IF(AND(ISNUMBER(F24), F24&lt;&gt;0), (G24-F24)/F24, 0)</f>
        <v>-1.2962962962962963</v>
      </c>
      <c r="T32" s="259">
        <f t="shared" ref="T32:T35" si="26">IF(AND(ISNUMBER(G24), G24&lt;&gt;0), (H24-G24)/G24, 0)</f>
        <v>0.25</v>
      </c>
      <c r="U32" s="259">
        <f t="shared" ref="U32:U35" si="27">IF(AND(ISNUMBER(H24), H24&lt;&gt;0), (I24-H24)/H24, 0)</f>
        <v>-0.4</v>
      </c>
      <c r="V32" s="171">
        <f t="shared" ref="V32:V35" si="28">IF(AND(ISNUMBER(I24), I24&lt;&gt;0), (J24-I24)/I24, 0)</f>
        <v>-0.16666666666666666</v>
      </c>
    </row>
    <row r="33" spans="2:22" x14ac:dyDescent="0.2">
      <c r="B33" s="144" t="s">
        <v>179</v>
      </c>
      <c r="C33" s="138"/>
      <c r="D33" s="198">
        <f>SUM(D35:D38)</f>
        <v>43000000</v>
      </c>
      <c r="E33" s="198">
        <f t="shared" ref="E33:H33" si="29">SUM(E35:E38)</f>
        <v>15190000000</v>
      </c>
      <c r="F33" s="198">
        <f t="shared" si="29"/>
        <v>8907000000</v>
      </c>
      <c r="G33" s="198">
        <f t="shared" si="29"/>
        <v>-1334000000</v>
      </c>
      <c r="H33" s="198">
        <f t="shared" si="29"/>
        <v>-358999999.99999952</v>
      </c>
      <c r="I33" s="199">
        <f>SUM(I35:I38)</f>
        <v>-284000000.00000095</v>
      </c>
      <c r="J33" s="199">
        <f t="shared" ref="J33:M33" si="30">SUM(J35:J38)</f>
        <v>31340000000</v>
      </c>
      <c r="K33" s="199">
        <f t="shared" si="30"/>
        <v>24176739309.844913</v>
      </c>
      <c r="L33" s="199">
        <f t="shared" si="30"/>
        <v>33292547242.764469</v>
      </c>
      <c r="M33" s="199">
        <f t="shared" si="30"/>
        <v>46155836815.341751</v>
      </c>
      <c r="N33" s="200">
        <f>SUM(N35:N38)</f>
        <v>64425337419.046875</v>
      </c>
      <c r="P33" s="132" t="s">
        <v>192</v>
      </c>
      <c r="Q33" s="259">
        <f t="shared" si="11"/>
        <v>0</v>
      </c>
      <c r="R33" s="259">
        <f t="shared" si="24"/>
        <v>0</v>
      </c>
      <c r="S33" s="259">
        <f t="shared" si="25"/>
        <v>0</v>
      </c>
      <c r="T33" s="259">
        <f t="shared" si="26"/>
        <v>0</v>
      </c>
      <c r="U33" s="259">
        <f t="shared" si="27"/>
        <v>0</v>
      </c>
      <c r="V33" s="171">
        <f t="shared" si="28"/>
        <v>0</v>
      </c>
    </row>
    <row r="34" spans="2:22" x14ac:dyDescent="0.2">
      <c r="B34" s="132"/>
      <c r="C34" s="138"/>
      <c r="D34" s="175"/>
      <c r="E34" s="175"/>
      <c r="F34" s="175"/>
      <c r="G34" s="175"/>
      <c r="H34" s="175"/>
      <c r="I34" s="189"/>
      <c r="J34" s="138"/>
      <c r="K34" s="138"/>
      <c r="L34" s="138"/>
      <c r="M34" s="138"/>
      <c r="N34" s="139"/>
      <c r="P34" s="132" t="s">
        <v>193</v>
      </c>
      <c r="Q34" s="259">
        <f t="shared" si="11"/>
        <v>-1</v>
      </c>
      <c r="R34" s="259">
        <f t="shared" si="24"/>
        <v>0</v>
      </c>
      <c r="S34" s="259">
        <f t="shared" si="25"/>
        <v>0</v>
      </c>
      <c r="T34" s="259">
        <f t="shared" si="26"/>
        <v>0</v>
      </c>
      <c r="U34" s="259">
        <f t="shared" si="27"/>
        <v>0</v>
      </c>
      <c r="V34" s="171">
        <f t="shared" si="28"/>
        <v>0</v>
      </c>
    </row>
    <row r="35" spans="2:22" x14ac:dyDescent="0.2">
      <c r="B35" s="132" t="s">
        <v>180</v>
      </c>
      <c r="C35" s="138"/>
      <c r="D35" s="175">
        <f>(BS!D28-BS!C28)</f>
        <v>-117000000</v>
      </c>
      <c r="E35" s="175">
        <f>(BS!E28-BS!D28)</f>
        <v>2790000000</v>
      </c>
      <c r="F35" s="175">
        <f>(BS!F28-BS!E28)</f>
        <v>-1863000000</v>
      </c>
      <c r="G35" s="175">
        <f>(BS!G28-BS!F28)</f>
        <v>-554000000</v>
      </c>
      <c r="H35" s="175">
        <f>(BS!H28-BS!G28)</f>
        <v>141000000</v>
      </c>
      <c r="I35" s="189">
        <f>(BS!I28-BS!H28)</f>
        <v>1156000000</v>
      </c>
      <c r="J35" s="189">
        <f>(BS!J28-BS!I28)</f>
        <v>-400000000</v>
      </c>
      <c r="K35" s="189">
        <f>(BS!K28-BS!J28)</f>
        <v>366048505.47882032</v>
      </c>
      <c r="L35" s="189">
        <f>(BS!L28-BS!K28)</f>
        <v>476329369.17302942</v>
      </c>
      <c r="M35" s="189">
        <f>(BS!M28-BS!L28)</f>
        <v>621239499.97721958</v>
      </c>
      <c r="N35" s="176">
        <f>(BS!N28-BS!M28)</f>
        <v>812084917.95078182</v>
      </c>
      <c r="P35" s="132" t="s">
        <v>196</v>
      </c>
      <c r="Q35" s="259">
        <f t="shared" si="11"/>
        <v>14.238095238095237</v>
      </c>
      <c r="R35" s="259">
        <f t="shared" si="24"/>
        <v>-1.85</v>
      </c>
      <c r="S35" s="259">
        <f t="shared" si="25"/>
        <v>-3.7536764705882355</v>
      </c>
      <c r="T35" s="259">
        <f t="shared" si="26"/>
        <v>-0.91989319092122834</v>
      </c>
      <c r="U35" s="259">
        <f t="shared" si="27"/>
        <v>9</v>
      </c>
      <c r="V35" s="171">
        <f t="shared" si="28"/>
        <v>4.3166666666666664</v>
      </c>
    </row>
    <row r="36" spans="2:22" x14ac:dyDescent="0.2">
      <c r="B36" s="132" t="s">
        <v>181</v>
      </c>
      <c r="C36" s="138"/>
      <c r="D36" s="175">
        <f>(BS!D36-BS!C36)</f>
        <v>60000000</v>
      </c>
      <c r="E36" s="175">
        <f>(BS!E36-BS!D36)</f>
        <v>12520000000</v>
      </c>
      <c r="F36" s="175">
        <f>(BS!F36-BS!E36)</f>
        <v>10750000000</v>
      </c>
      <c r="G36" s="175">
        <f>(BS!G36-BS!F36)</f>
        <v>-860000000</v>
      </c>
      <c r="H36" s="175">
        <f>(BS!H36-BS!G36)</f>
        <v>-440000000</v>
      </c>
      <c r="I36" s="189">
        <f>(BS!I36-BS!H36)</f>
        <v>-1480000000</v>
      </c>
      <c r="J36" s="189">
        <f>(BS!J36-BS!I36)</f>
        <v>28320000000</v>
      </c>
      <c r="K36" s="189">
        <f>(BS!K36-BS!J36)</f>
        <v>19109461349.012436</v>
      </c>
      <c r="L36" s="189">
        <f>(BS!L36-BS!K36)</f>
        <v>24866643445.804596</v>
      </c>
      <c r="M36" s="189">
        <f>(BS!M36-BS!L36)</f>
        <v>32431636888.574509</v>
      </c>
      <c r="N36" s="176">
        <f>(BS!N36-BS!M36)</f>
        <v>42394669338.690399</v>
      </c>
      <c r="P36" s="132"/>
      <c r="Q36" s="259"/>
      <c r="R36" s="259"/>
      <c r="S36" s="259"/>
      <c r="T36" s="259"/>
      <c r="U36" s="259"/>
      <c r="V36" s="171"/>
    </row>
    <row r="37" spans="2:22" x14ac:dyDescent="0.2">
      <c r="B37" s="132" t="s">
        <v>182</v>
      </c>
      <c r="C37" s="138"/>
      <c r="D37" s="175">
        <f>(IS!C23-IS!B23)</f>
        <v>100000000</v>
      </c>
      <c r="E37" s="175">
        <f>(IS!D23-IS!C23)</f>
        <v>-119999999.99999952</v>
      </c>
      <c r="F37" s="175">
        <f>(IS!E23-IS!D23)</f>
        <v>19999999.999999523</v>
      </c>
      <c r="G37" s="175">
        <f>(IS!F23-IS!E23)</f>
        <v>80000000</v>
      </c>
      <c r="H37" s="175">
        <f>(IS!G23-IS!F23)</f>
        <v>-59999999.999999523</v>
      </c>
      <c r="I37" s="189">
        <f>(IS!H23-IS!G23)</f>
        <v>39999999.999999046</v>
      </c>
      <c r="J37" s="189">
        <f>(IS!I23-IS!H23)</f>
        <v>510000000.00000048</v>
      </c>
      <c r="K37" s="189">
        <f>(IS!J23-IS!I23)</f>
        <v>0</v>
      </c>
      <c r="L37" s="189">
        <f>(IS!K23-IS!J23)</f>
        <v>0</v>
      </c>
      <c r="M37" s="189">
        <f>(IS!L23-IS!K23)</f>
        <v>0</v>
      </c>
      <c r="N37" s="176">
        <f>(IS!M23-IS!L23)</f>
        <v>0</v>
      </c>
      <c r="P37" s="132"/>
      <c r="Q37" s="259"/>
      <c r="R37" s="259"/>
      <c r="S37" s="259"/>
      <c r="T37" s="259"/>
      <c r="U37" s="259"/>
      <c r="V37" s="171"/>
    </row>
    <row r="38" spans="2:22" x14ac:dyDescent="0.2">
      <c r="B38" s="132" t="s">
        <v>183</v>
      </c>
      <c r="C38" s="138"/>
      <c r="D38" s="175">
        <f>(BS!D58-BS!C58)</f>
        <v>0</v>
      </c>
      <c r="E38" s="175">
        <f>(BS!E58-BS!D58)</f>
        <v>0</v>
      </c>
      <c r="F38" s="175">
        <f>(BS!F58-BS!E58)</f>
        <v>0</v>
      </c>
      <c r="G38" s="175">
        <f>(BS!G58-BS!F58)</f>
        <v>0</v>
      </c>
      <c r="H38" s="175">
        <f>(BS!H58-BS!G58)</f>
        <v>0</v>
      </c>
      <c r="I38" s="189">
        <f>(BS!I58-BS!H58)</f>
        <v>0</v>
      </c>
      <c r="J38" s="189">
        <f>(BS!J54-BS!I58)</f>
        <v>2910000000</v>
      </c>
      <c r="K38" s="189">
        <f>(BS!K54-BS!J54)</f>
        <v>4701229455.3536568</v>
      </c>
      <c r="L38" s="189">
        <f>(BS!L54-BS!K54)</f>
        <v>7949574427.7868423</v>
      </c>
      <c r="M38" s="189">
        <f>(BS!M54-BS!L54)</f>
        <v>13102960426.790028</v>
      </c>
      <c r="N38" s="176">
        <f>(BS!N54-BS!M54)</f>
        <v>21218583162.405693</v>
      </c>
      <c r="P38" s="132"/>
      <c r="Q38" s="259"/>
      <c r="R38" s="259"/>
      <c r="S38" s="259"/>
      <c r="T38" s="259"/>
      <c r="U38" s="259"/>
      <c r="V38" s="171"/>
    </row>
    <row r="39" spans="2:22" x14ac:dyDescent="0.2">
      <c r="B39" s="132"/>
      <c r="C39" s="138"/>
      <c r="D39" s="138"/>
      <c r="E39" s="138"/>
      <c r="F39" s="138"/>
      <c r="G39" s="138"/>
      <c r="H39" s="138"/>
      <c r="I39" s="134"/>
      <c r="J39" s="138"/>
      <c r="K39" s="138"/>
      <c r="L39" s="138"/>
      <c r="M39" s="138"/>
      <c r="N39" s="139"/>
      <c r="P39" s="132"/>
      <c r="Q39" s="259"/>
      <c r="R39" s="259"/>
      <c r="S39" s="259"/>
      <c r="T39" s="259"/>
      <c r="U39" s="259"/>
      <c r="V39" s="171"/>
    </row>
    <row r="40" spans="2:22" x14ac:dyDescent="0.2">
      <c r="B40" s="145" t="s">
        <v>190</v>
      </c>
      <c r="C40" s="138"/>
      <c r="D40" s="192">
        <f>D9+D22+D33</f>
        <v>13370000000</v>
      </c>
      <c r="E40" s="192">
        <f t="shared" ref="E40:I40" si="31">E9+E22+E33</f>
        <v>20351000000</v>
      </c>
      <c r="F40" s="192">
        <f t="shared" si="31"/>
        <v>17648000000</v>
      </c>
      <c r="G40" s="192">
        <f t="shared" si="31"/>
        <v>7095000000</v>
      </c>
      <c r="H40" s="192">
        <f t="shared" si="31"/>
        <v>13044000000.000004</v>
      </c>
      <c r="I40" s="193">
        <f t="shared" si="31"/>
        <v>15880000000</v>
      </c>
      <c r="J40" s="193">
        <f t="shared" ref="J40:N40" si="32">J9+J22+J33</f>
        <v>45508000000</v>
      </c>
      <c r="K40" s="193">
        <f t="shared" si="32"/>
        <v>23843750370.282101</v>
      </c>
      <c r="L40" s="193">
        <f t="shared" si="32"/>
        <v>31279393506.419544</v>
      </c>
      <c r="M40" s="193">
        <f t="shared" si="32"/>
        <v>41264567106.990578</v>
      </c>
      <c r="N40" s="194">
        <f t="shared" si="32"/>
        <v>54752816448.523026</v>
      </c>
      <c r="P40" s="132"/>
      <c r="Q40" s="259"/>
      <c r="R40" s="259"/>
      <c r="S40" s="259"/>
      <c r="T40" s="259"/>
      <c r="U40" s="259"/>
      <c r="V40" s="171"/>
    </row>
    <row r="41" spans="2:22" x14ac:dyDescent="0.2">
      <c r="B41" s="132"/>
      <c r="C41" s="138"/>
      <c r="D41" s="138"/>
      <c r="E41" s="138"/>
      <c r="F41" s="138"/>
      <c r="G41" s="138"/>
      <c r="H41" s="138"/>
      <c r="I41" s="134"/>
      <c r="J41" s="138"/>
      <c r="K41" s="138"/>
      <c r="L41" s="138"/>
      <c r="M41" s="138"/>
      <c r="N41" s="139"/>
      <c r="P41" s="144" t="s">
        <v>179</v>
      </c>
      <c r="Q41" s="259">
        <f t="shared" si="11"/>
        <v>352.25581395348837</v>
      </c>
      <c r="R41" s="259">
        <f t="shared" ref="R41" si="33">IF(AND(ISNUMBER(E33), E33&lt;&gt;0), (F33-E33)/E33, 0)</f>
        <v>-0.41362738643844632</v>
      </c>
      <c r="S41" s="259">
        <f t="shared" ref="S41" si="34">IF(AND(ISNUMBER(F33), F33&lt;&gt;0), (G33-F33)/F33, 0)</f>
        <v>-1.1497698439429662</v>
      </c>
      <c r="T41" s="259">
        <f t="shared" ref="T41" si="35">IF(AND(ISNUMBER(G33), G33&lt;&gt;0), (H33-G33)/G33, 0)</f>
        <v>-0.7308845577211398</v>
      </c>
      <c r="U41" s="259">
        <f t="shared" ref="U41" si="36">IF(AND(ISNUMBER(H33), H33&lt;&gt;0), (I33-H33)/H33, 0)</f>
        <v>-0.20891364902506593</v>
      </c>
      <c r="V41" s="171">
        <f t="shared" ref="V41" si="37">IF(AND(ISNUMBER(I33), I33&lt;&gt;0), (J33-I33)/I33, 0)</f>
        <v>-111.35211267605597</v>
      </c>
    </row>
    <row r="42" spans="2:22" x14ac:dyDescent="0.2">
      <c r="B42" s="132" t="s">
        <v>195</v>
      </c>
      <c r="C42" s="138"/>
      <c r="D42" s="138">
        <f>D40/IS!C23</f>
        <v>3.1020881670533642</v>
      </c>
      <c r="E42" s="138">
        <f>E40/IS!D23</f>
        <v>4.8570405727923625</v>
      </c>
      <c r="F42" s="138">
        <f>F40/IS!E23</f>
        <v>4.1919239904988119</v>
      </c>
      <c r="G42" s="138">
        <f>G40/IS!F23</f>
        <v>1.6538461538461537</v>
      </c>
      <c r="H42" s="138">
        <f>H40/IS!G23</f>
        <v>3.083687943262412</v>
      </c>
      <c r="I42" s="134">
        <f>I40/IS!H23</f>
        <v>3.7189695550351294</v>
      </c>
      <c r="J42" s="138">
        <f>J40/IS!I23</f>
        <v>9.5205020920502097</v>
      </c>
      <c r="K42" s="138">
        <f>K40/IS!J23</f>
        <v>4.9882322950380962</v>
      </c>
      <c r="L42" s="138">
        <f>L40/IS!K23</f>
        <v>6.5438061728911183</v>
      </c>
      <c r="M42" s="138">
        <f>M40/IS!L23</f>
        <v>8.6327546248934262</v>
      </c>
      <c r="N42" s="139">
        <f>N40/IS!M23</f>
        <v>11.45456411056967</v>
      </c>
      <c r="P42" s="132"/>
      <c r="Q42" s="259"/>
      <c r="R42" s="259"/>
      <c r="S42" s="259"/>
      <c r="T42" s="259"/>
      <c r="U42" s="259"/>
      <c r="V42" s="171"/>
    </row>
    <row r="43" spans="2:22" x14ac:dyDescent="0.2">
      <c r="B43" s="132"/>
      <c r="C43" s="138"/>
      <c r="D43" s="138"/>
      <c r="E43" s="138"/>
      <c r="F43" s="138"/>
      <c r="G43" s="138"/>
      <c r="H43" s="138"/>
      <c r="I43" s="134"/>
      <c r="J43" s="138"/>
      <c r="K43" s="138"/>
      <c r="L43" s="138"/>
      <c r="M43" s="138"/>
      <c r="N43" s="139"/>
      <c r="P43" s="132" t="s">
        <v>180</v>
      </c>
      <c r="Q43" s="259">
        <f t="shared" si="11"/>
        <v>-24.846153846153847</v>
      </c>
      <c r="R43" s="259">
        <f t="shared" ref="R43:R46" si="38">IF(AND(ISNUMBER(E35), E35&lt;&gt;0), (F35-E35)/E35, 0)</f>
        <v>-1.667741935483871</v>
      </c>
      <c r="S43" s="259">
        <f t="shared" ref="S43:S46" si="39">IF(AND(ISNUMBER(F35), F35&lt;&gt;0), (G35-F35)/F35, 0)</f>
        <v>-0.70263016639828235</v>
      </c>
      <c r="T43" s="259">
        <f t="shared" ref="T43:T46" si="40">IF(AND(ISNUMBER(G35), G35&lt;&gt;0), (H35-G35)/G35, 0)</f>
        <v>-1.2545126353790614</v>
      </c>
      <c r="U43" s="259">
        <f t="shared" ref="U43:U46" si="41">IF(AND(ISNUMBER(H35), H35&lt;&gt;0), (I35-H35)/H35, 0)</f>
        <v>7.1985815602836878</v>
      </c>
      <c r="V43" s="171">
        <f t="shared" ref="V43:V46" si="42">IF(AND(ISNUMBER(I35), I35&lt;&gt;0), (J35-I35)/I35, 0)</f>
        <v>-1.3460207612456747</v>
      </c>
    </row>
    <row r="44" spans="2:22" x14ac:dyDescent="0.2">
      <c r="B44" s="132" t="s">
        <v>168</v>
      </c>
      <c r="C44" s="138"/>
      <c r="D44" s="138">
        <f>D9-IS!C33-BS!D55-BS!D57</f>
        <v>19128000000</v>
      </c>
      <c r="E44" s="138">
        <f>E9-IS!D33-BS!E55-BS!E57</f>
        <v>24180000000</v>
      </c>
      <c r="F44" s="138">
        <f>F9-IS!E33-BS!F55-BS!F57</f>
        <v>13839000000</v>
      </c>
      <c r="G44" s="138">
        <f>G9-IS!F33-BS!G55-BS!G57</f>
        <v>2712000000</v>
      </c>
      <c r="H44" s="138">
        <f>H9-IS!G33-BS!H55-BS!H57</f>
        <v>11769000000.000004</v>
      </c>
      <c r="I44" s="134">
        <f>I9-IS!H33-BS!I55-BS!I57</f>
        <v>14138000000</v>
      </c>
      <c r="J44" s="138">
        <f>J9-IS!I33-BS!J55-BS!J57</f>
        <v>55356000000</v>
      </c>
      <c r="K44" s="138">
        <f>K9-IS!J33-BS!K55-BS!K57</f>
        <v>15048471738.213465</v>
      </c>
      <c r="L44" s="138">
        <f>L9-IS!K33-BS!L55-BS!L57</f>
        <v>16503914092.681709</v>
      </c>
      <c r="M44" s="138">
        <f>M9-IS!L33-BS!M55-BS!M57</f>
        <v>16991640137.73093</v>
      </c>
      <c r="N44" s="139">
        <f>N9-IS!M33-BS!N55-BS!N57</f>
        <v>15505541313.796696</v>
      </c>
      <c r="P44" s="132" t="s">
        <v>181</v>
      </c>
      <c r="Q44" s="259">
        <f t="shared" si="11"/>
        <v>207.66666666666666</v>
      </c>
      <c r="R44" s="259">
        <f t="shared" si="38"/>
        <v>-0.14137380191693291</v>
      </c>
      <c r="S44" s="259">
        <f t="shared" si="39"/>
        <v>-1.08</v>
      </c>
      <c r="T44" s="259">
        <f t="shared" si="40"/>
        <v>-0.48837209302325579</v>
      </c>
      <c r="U44" s="259">
        <f t="shared" si="41"/>
        <v>2.3636363636363638</v>
      </c>
      <c r="V44" s="171">
        <f t="shared" si="42"/>
        <v>-20.135135135135137</v>
      </c>
    </row>
    <row r="45" spans="2:22" x14ac:dyDescent="0.2">
      <c r="B45" s="132"/>
      <c r="C45" s="138"/>
      <c r="D45" s="138"/>
      <c r="E45" s="138"/>
      <c r="F45" s="138"/>
      <c r="G45" s="138"/>
      <c r="H45" s="138"/>
      <c r="I45" s="134"/>
      <c r="J45" s="138"/>
      <c r="K45" s="138"/>
      <c r="L45" s="138"/>
      <c r="M45" s="138"/>
      <c r="N45" s="139"/>
      <c r="P45" s="132" t="s">
        <v>182</v>
      </c>
      <c r="Q45" s="259">
        <f t="shared" si="11"/>
        <v>-2.1999999999999953</v>
      </c>
      <c r="R45" s="259">
        <f t="shared" si="38"/>
        <v>-1.1666666666666634</v>
      </c>
      <c r="S45" s="259">
        <f t="shared" si="39"/>
        <v>3.0000000000000955</v>
      </c>
      <c r="T45" s="259">
        <f t="shared" si="40"/>
        <v>-1.749999999999994</v>
      </c>
      <c r="U45" s="259">
        <f t="shared" si="41"/>
        <v>-1.6666666666666561</v>
      </c>
      <c r="V45" s="171">
        <f t="shared" si="42"/>
        <v>11.750000000000316</v>
      </c>
    </row>
    <row r="46" spans="2:22" ht="17" thickBot="1" x14ac:dyDescent="0.25">
      <c r="B46" s="133" t="s">
        <v>200</v>
      </c>
      <c r="C46" s="203"/>
      <c r="D46" s="203">
        <f>D44/IS!C23</f>
        <v>4.4380510440835268</v>
      </c>
      <c r="E46" s="203">
        <f>E44/IS!D23</f>
        <v>5.7708830548926011</v>
      </c>
      <c r="F46" s="203">
        <f>F44/IS!E23</f>
        <v>3.2871733966745844</v>
      </c>
      <c r="G46" s="203">
        <f>G44/IS!F23</f>
        <v>0.63216783216783212</v>
      </c>
      <c r="H46" s="203">
        <f>H44/IS!G23</f>
        <v>2.7822695035460998</v>
      </c>
      <c r="I46" s="204">
        <f>I44/IS!H23</f>
        <v>3.3110070257611244</v>
      </c>
      <c r="J46" s="203">
        <f>J44/IS!I23</f>
        <v>11.580753138075314</v>
      </c>
      <c r="K46" s="203">
        <f>K44/IS!J23</f>
        <v>3.1482158448145325</v>
      </c>
      <c r="L46" s="203">
        <f>L44/IS!K23</f>
        <v>3.4527016930296464</v>
      </c>
      <c r="M46" s="203">
        <f>M44/IS!L23</f>
        <v>3.5547364304876425</v>
      </c>
      <c r="N46" s="205">
        <f>N44/IS!M23</f>
        <v>3.2438370949365471</v>
      </c>
      <c r="P46" s="132" t="s">
        <v>183</v>
      </c>
      <c r="Q46" s="259">
        <f t="shared" si="11"/>
        <v>0</v>
      </c>
      <c r="R46" s="259">
        <f t="shared" si="38"/>
        <v>0</v>
      </c>
      <c r="S46" s="259">
        <f t="shared" si="39"/>
        <v>0</v>
      </c>
      <c r="T46" s="259">
        <f t="shared" si="40"/>
        <v>0</v>
      </c>
      <c r="U46" s="259">
        <f t="shared" si="41"/>
        <v>0</v>
      </c>
      <c r="V46" s="171">
        <f t="shared" si="42"/>
        <v>0</v>
      </c>
    </row>
    <row r="47" spans="2:22" x14ac:dyDescent="0.2">
      <c r="P47" s="132"/>
      <c r="Q47" s="259"/>
      <c r="R47" s="259"/>
      <c r="S47" s="259"/>
      <c r="T47" s="259"/>
      <c r="U47" s="259"/>
      <c r="V47" s="171"/>
    </row>
    <row r="48" spans="2:22" x14ac:dyDescent="0.2">
      <c r="P48" s="145" t="s">
        <v>190</v>
      </c>
      <c r="Q48" s="259">
        <f t="shared" si="11"/>
        <v>0.52213911742707553</v>
      </c>
      <c r="R48" s="259">
        <f t="shared" ref="R48" si="43">IF(AND(ISNUMBER(E40), E40&lt;&gt;0), (F40-E40)/E40, 0)</f>
        <v>-0.13281902609208393</v>
      </c>
      <c r="S48" s="259">
        <f t="shared" ref="S48" si="44">IF(AND(ISNUMBER(F40), F40&lt;&gt;0), (G40-F40)/F40, 0)</f>
        <v>-0.59797144152311876</v>
      </c>
      <c r="T48" s="259">
        <f t="shared" ref="T48" si="45">IF(AND(ISNUMBER(G40), G40&lt;&gt;0), (H40-G40)/G40, 0)</f>
        <v>0.83847780126849947</v>
      </c>
      <c r="U48" s="259">
        <f t="shared" ref="U48" si="46">IF(AND(ISNUMBER(H40), H40&lt;&gt;0), (I40-H40)/H40, 0)</f>
        <v>0.21741796994786838</v>
      </c>
      <c r="V48" s="171">
        <f t="shared" ref="V48" si="47">IF(AND(ISNUMBER(I40), I40&lt;&gt;0), (J40-I40)/I40, 0)</f>
        <v>1.865743073047859</v>
      </c>
    </row>
    <row r="49" spans="16:22" x14ac:dyDescent="0.2">
      <c r="P49" s="132"/>
      <c r="Q49" s="259"/>
      <c r="R49" s="259"/>
      <c r="S49" s="259"/>
      <c r="T49" s="259"/>
      <c r="U49" s="259"/>
      <c r="V49" s="171"/>
    </row>
    <row r="50" spans="16:22" x14ac:dyDescent="0.2">
      <c r="P50" s="132" t="s">
        <v>195</v>
      </c>
      <c r="Q50" s="259">
        <f t="shared" si="11"/>
        <v>0.56573260050374585</v>
      </c>
      <c r="R50" s="259">
        <f t="shared" ref="R50" si="48">IF(AND(ISNUMBER(E42), E42&lt;&gt;0), (F42-E42)/E42, 0)</f>
        <v>-0.13693865067121896</v>
      </c>
      <c r="S50" s="259">
        <f t="shared" ref="S50" si="49">IF(AND(ISNUMBER(F42), F42&lt;&gt;0), (G42-F42)/F42, 0)</f>
        <v>-0.60546847757863165</v>
      </c>
      <c r="T50" s="259">
        <f t="shared" ref="T50" si="50">IF(AND(ISNUMBER(G42), G42&lt;&gt;0), (H42-G42)/G42, 0)</f>
        <v>0.86455550057727248</v>
      </c>
      <c r="U50" s="259">
        <f t="shared" ref="U50" si="51">IF(AND(ISNUMBER(H42), H42&lt;&gt;0), (I42-H42)/H42, 0)</f>
        <v>0.20601358615444601</v>
      </c>
      <c r="V50" s="171">
        <f t="shared" ref="V50" si="52">IF(AND(ISNUMBER(I42), I42&lt;&gt;0), (J42-I42)/I42, 0)</f>
        <v>1.5599838748774804</v>
      </c>
    </row>
    <row r="51" spans="16:22" x14ac:dyDescent="0.2">
      <c r="P51" s="132"/>
      <c r="Q51" s="259"/>
      <c r="R51" s="259"/>
      <c r="S51" s="259"/>
      <c r="T51" s="259"/>
      <c r="U51" s="259"/>
      <c r="V51" s="171"/>
    </row>
    <row r="52" spans="16:22" x14ac:dyDescent="0.2">
      <c r="P52" s="132" t="s">
        <v>168</v>
      </c>
      <c r="Q52" s="259">
        <f t="shared" si="11"/>
        <v>0.26411543287327477</v>
      </c>
      <c r="R52" s="259">
        <f t="shared" ref="R52" si="53">IF(AND(ISNUMBER(E44), E44&lt;&gt;0), (F44-E44)/E44, 0)</f>
        <v>-0.42766749379652608</v>
      </c>
      <c r="S52" s="259">
        <f t="shared" ref="S52" si="54">IF(AND(ISNUMBER(F44), F44&lt;&gt;0), (G44-F44)/F44, 0)</f>
        <v>-0.8040320832430089</v>
      </c>
      <c r="T52" s="259">
        <f t="shared" ref="T52" si="55">IF(AND(ISNUMBER(G44), G44&lt;&gt;0), (H44-G44)/G44, 0)</f>
        <v>3.3396017699115057</v>
      </c>
      <c r="U52" s="259">
        <f t="shared" ref="U52" si="56">IF(AND(ISNUMBER(H44), H44&lt;&gt;0), (I44-H44)/H44, 0)</f>
        <v>0.20129152859206351</v>
      </c>
      <c r="V52" s="171">
        <f t="shared" ref="V52" si="57">IF(AND(ISNUMBER(I44), I44&lt;&gt;0), (J44-I44)/I44, 0)</f>
        <v>2.9154052907058992</v>
      </c>
    </row>
    <row r="53" spans="16:22" x14ac:dyDescent="0.2">
      <c r="P53" s="132"/>
      <c r="Q53" s="259"/>
      <c r="R53" s="259"/>
      <c r="S53" s="259"/>
      <c r="T53" s="259"/>
      <c r="U53" s="259"/>
      <c r="V53" s="171"/>
    </row>
    <row r="54" spans="16:22" ht="17" thickBot="1" x14ac:dyDescent="0.25">
      <c r="P54" s="133" t="s">
        <v>200</v>
      </c>
      <c r="Q54" s="172">
        <f t="shared" si="11"/>
        <v>0.30031921615365487</v>
      </c>
      <c r="R54" s="172">
        <f t="shared" ref="R54" si="58">IF(AND(ISNUMBER(E46), E46&lt;&gt;0), (F46-E46)/E46, 0)</f>
        <v>-0.4303864130659012</v>
      </c>
      <c r="S54" s="172">
        <f t="shared" ref="S54" si="59">IF(AND(ISNUMBER(F46), F46&lt;&gt;0), (G46-F46)/F46, 0)</f>
        <v>-0.80768649660910674</v>
      </c>
      <c r="T54" s="172">
        <f t="shared" ref="T54" si="60">IF(AND(ISNUMBER(G46), G46&lt;&gt;0), (H46-G46)/G46, 0)</f>
        <v>3.4011564049457115</v>
      </c>
      <c r="U54" s="172">
        <f t="shared" ref="U54" si="61">IF(AND(ISNUMBER(H46), H46&lt;&gt;0), (I46-H46)/H46, 0)</f>
        <v>0.19003821216497183</v>
      </c>
      <c r="V54" s="173">
        <f t="shared" ref="V54" si="62">IF(AND(ISNUMBER(I46), I46&lt;&gt;0), (J46-I46)/I46, 0)</f>
        <v>2.4976528433711689</v>
      </c>
    </row>
    <row r="56" spans="16:22" ht="17" thickBot="1" x14ac:dyDescent="0.25"/>
    <row r="57" spans="16:22" x14ac:dyDescent="0.2">
      <c r="P57" s="260" t="s">
        <v>209</v>
      </c>
      <c r="Q57" s="261"/>
    </row>
    <row r="58" spans="16:22" ht="17" thickBot="1" x14ac:dyDescent="0.25">
      <c r="P58" s="264"/>
      <c r="Q58" s="271"/>
    </row>
    <row r="59" spans="16:22" x14ac:dyDescent="0.2">
      <c r="P59" s="142" t="s">
        <v>186</v>
      </c>
      <c r="Q59" s="251" cm="1">
        <f t="array" ref="Q59">GEOMEAN(1+Q13:V13)-1</f>
        <v>0.1340373927027001</v>
      </c>
    </row>
    <row r="60" spans="16:22" x14ac:dyDescent="0.2">
      <c r="P60" s="143" t="s">
        <v>194</v>
      </c>
      <c r="Q60" s="232" cm="1">
        <f t="array" ref="Q60">GEOMEAN(1+Q15:V15)-1</f>
        <v>0.19350287158004509</v>
      </c>
    </row>
    <row r="61" spans="16:22" ht="17" thickBot="1" x14ac:dyDescent="0.25">
      <c r="P61" s="133"/>
      <c r="Q61" s="35"/>
    </row>
    <row r="62" spans="16:22" x14ac:dyDescent="0.2">
      <c r="P62" s="48" t="s">
        <v>172</v>
      </c>
      <c r="Q62" s="208" cm="1">
        <f t="array" ref="Q62">GEOMEAN(1+Q17:V17)-1</f>
        <v>4.6605596608507938E-2</v>
      </c>
    </row>
    <row r="63" spans="16:22" x14ac:dyDescent="0.2">
      <c r="P63" s="105"/>
      <c r="Q63" s="208"/>
    </row>
    <row r="64" spans="16:22" x14ac:dyDescent="0.2">
      <c r="P64" s="206" t="s">
        <v>9</v>
      </c>
      <c r="Q64" s="208" cm="1">
        <f t="array" ref="Q64">GEOMEAN(1+Q19:V19)-1</f>
        <v>-0.1150508666371074</v>
      </c>
    </row>
    <row r="65" spans="16:17" x14ac:dyDescent="0.2">
      <c r="P65" s="105" t="s">
        <v>185</v>
      </c>
      <c r="Q65" s="208" cm="1">
        <f t="array" ref="Q65">GEOMEAN(1+Q20:V20)-1</f>
        <v>0.1340373927027001</v>
      </c>
    </row>
    <row r="66" spans="16:17" x14ac:dyDescent="0.2">
      <c r="P66" s="105" t="s">
        <v>173</v>
      </c>
      <c r="Q66" s="208" t="e" cm="1">
        <f t="array" ref="Q66">GEOMEAN(1+Q21:V21)-1</f>
        <v>#NUM!</v>
      </c>
    </row>
    <row r="67" spans="16:17" x14ac:dyDescent="0.2">
      <c r="P67" s="105" t="s">
        <v>174</v>
      </c>
      <c r="Q67" s="208" t="e" cm="1">
        <f t="array" ref="Q67">GEOMEAN(1+Q22:V22)-1</f>
        <v>#NUM!</v>
      </c>
    </row>
    <row r="68" spans="16:17" x14ac:dyDescent="0.2">
      <c r="P68" s="105" t="s">
        <v>175</v>
      </c>
      <c r="Q68" s="208" t="e" cm="1">
        <f t="array" ref="Q68">GEOMEAN(1+Q23:V23)-1</f>
        <v>#NUM!</v>
      </c>
    </row>
    <row r="69" spans="16:17" x14ac:dyDescent="0.2">
      <c r="P69" s="105" t="s">
        <v>176</v>
      </c>
      <c r="Q69" s="208" t="e" cm="1">
        <f t="array" ref="Q69">GEOMEAN(1+Q24:V24)-1</f>
        <v>#NUM!</v>
      </c>
    </row>
    <row r="70" spans="16:17" x14ac:dyDescent="0.2">
      <c r="P70" s="105" t="s">
        <v>187</v>
      </c>
      <c r="Q70" s="208" t="e" cm="1">
        <f t="array" ref="Q70">GEOMEAN(1+Q25:V25)-1</f>
        <v>#NUM!</v>
      </c>
    </row>
    <row r="71" spans="16:17" x14ac:dyDescent="0.2">
      <c r="P71" s="105" t="s">
        <v>188</v>
      </c>
      <c r="Q71" s="208" t="e" cm="1">
        <f t="array" ref="Q71">GEOMEAN(1+Q26:V26)-1</f>
        <v>#NUM!</v>
      </c>
    </row>
    <row r="72" spans="16:17" x14ac:dyDescent="0.2">
      <c r="P72" s="105" t="s">
        <v>189</v>
      </c>
      <c r="Q72" s="208" t="e" cm="1">
        <f t="array" ref="Q72">GEOMEAN(1+Q27:V27)-1</f>
        <v>#NUM!</v>
      </c>
    </row>
    <row r="73" spans="16:17" x14ac:dyDescent="0.2">
      <c r="P73" s="105" t="s">
        <v>191</v>
      </c>
      <c r="Q73" s="208" t="e" cm="1">
        <f t="array" ref="Q73">GEOMEAN(1+Q28:V28)-1</f>
        <v>#NUM!</v>
      </c>
    </row>
    <row r="74" spans="16:17" x14ac:dyDescent="0.2">
      <c r="P74" s="105"/>
      <c r="Q74" s="208"/>
    </row>
    <row r="75" spans="16:17" x14ac:dyDescent="0.2">
      <c r="P75" s="48" t="s">
        <v>177</v>
      </c>
      <c r="Q75" s="208" t="e" cm="1">
        <f t="array" ref="Q75">GEOMEAN(1+Q30:V30)-1</f>
        <v>#NUM!</v>
      </c>
    </row>
    <row r="76" spans="16:17" x14ac:dyDescent="0.2">
      <c r="P76" s="105"/>
      <c r="Q76" s="208"/>
    </row>
    <row r="77" spans="16:17" x14ac:dyDescent="0.2">
      <c r="P77" s="105" t="s">
        <v>178</v>
      </c>
      <c r="Q77" s="208" t="e" cm="1">
        <f t="array" ref="Q77">GEOMEAN(1+Q32:V32)-1</f>
        <v>#NUM!</v>
      </c>
    </row>
    <row r="78" spans="16:17" x14ac:dyDescent="0.2">
      <c r="P78" s="105" t="s">
        <v>192</v>
      </c>
      <c r="Q78" s="208" cm="1">
        <f t="array" ref="Q78">GEOMEAN(1+Q33:V33)-1</f>
        <v>0</v>
      </c>
    </row>
    <row r="79" spans="16:17" x14ac:dyDescent="0.2">
      <c r="P79" s="105" t="s">
        <v>193</v>
      </c>
      <c r="Q79" s="208" t="e" cm="1">
        <f t="array" ref="Q79">GEOMEAN(1+Q34:V34)-1</f>
        <v>#NUM!</v>
      </c>
    </row>
    <row r="80" spans="16:17" x14ac:dyDescent="0.2">
      <c r="P80" s="105" t="s">
        <v>196</v>
      </c>
      <c r="Q80" s="208" t="e" cm="1">
        <f t="array" ref="Q80">GEOMEAN(1+Q35:V35)-1</f>
        <v>#NUM!</v>
      </c>
    </row>
    <row r="81" spans="16:17" x14ac:dyDescent="0.2">
      <c r="P81" s="105"/>
      <c r="Q81" s="208"/>
    </row>
    <row r="82" spans="16:17" x14ac:dyDescent="0.2">
      <c r="P82" s="105"/>
      <c r="Q82" s="208"/>
    </row>
    <row r="83" spans="16:17" x14ac:dyDescent="0.2">
      <c r="P83" s="105"/>
      <c r="Q83" s="208"/>
    </row>
    <row r="84" spans="16:17" x14ac:dyDescent="0.2">
      <c r="P84" s="105"/>
      <c r="Q84" s="208"/>
    </row>
    <row r="85" spans="16:17" x14ac:dyDescent="0.2">
      <c r="P85" s="105"/>
      <c r="Q85" s="208"/>
    </row>
    <row r="86" spans="16:17" x14ac:dyDescent="0.2">
      <c r="P86" s="48" t="s">
        <v>179</v>
      </c>
      <c r="Q86" s="208" t="e" cm="1">
        <f t="array" ref="Q86">GEOMEAN(1+Q41:V41)-1</f>
        <v>#NUM!</v>
      </c>
    </row>
    <row r="87" spans="16:17" x14ac:dyDescent="0.2">
      <c r="P87" s="105"/>
      <c r="Q87" s="208"/>
    </row>
    <row r="88" spans="16:17" x14ac:dyDescent="0.2">
      <c r="P88" s="105" t="s">
        <v>180</v>
      </c>
      <c r="Q88" s="208" t="e" cm="1">
        <f t="array" ref="Q88">GEOMEAN(1+Q43:V43)-1</f>
        <v>#NUM!</v>
      </c>
    </row>
    <row r="89" spans="16:17" x14ac:dyDescent="0.2">
      <c r="P89" s="105" t="s">
        <v>181</v>
      </c>
      <c r="Q89" s="208" t="e" cm="1">
        <f t="array" ref="Q89">GEOMEAN(1+Q44:V44)-1</f>
        <v>#NUM!</v>
      </c>
    </row>
    <row r="90" spans="16:17" x14ac:dyDescent="0.2">
      <c r="P90" s="105" t="s">
        <v>182</v>
      </c>
      <c r="Q90" s="208" t="e" cm="1">
        <f t="array" ref="Q90">GEOMEAN(1+Q45:V45)-1</f>
        <v>#NUM!</v>
      </c>
    </row>
    <row r="91" spans="16:17" x14ac:dyDescent="0.2">
      <c r="P91" s="105" t="s">
        <v>183</v>
      </c>
      <c r="Q91" s="208"/>
    </row>
    <row r="92" spans="16:17" x14ac:dyDescent="0.2">
      <c r="P92" s="105"/>
      <c r="Q92" s="208"/>
    </row>
    <row r="93" spans="16:17" x14ac:dyDescent="0.2">
      <c r="P93" s="207" t="s">
        <v>190</v>
      </c>
      <c r="Q93" s="208" cm="1">
        <f t="array" ref="Q93">GEOMEAN(1+Q48:V48)-1</f>
        <v>0.22647694922540018</v>
      </c>
    </row>
    <row r="94" spans="16:17" x14ac:dyDescent="0.2">
      <c r="P94" s="105"/>
      <c r="Q94" s="208"/>
    </row>
    <row r="95" spans="16:17" x14ac:dyDescent="0.2">
      <c r="P95" s="105" t="s">
        <v>195</v>
      </c>
      <c r="Q95" s="208" cm="1">
        <f t="array" ref="Q95">GEOMEAN(1+Q50:V50)-1</f>
        <v>0.20550112299236156</v>
      </c>
    </row>
    <row r="96" spans="16:17" x14ac:dyDescent="0.2">
      <c r="P96" s="105"/>
      <c r="Q96" s="208"/>
    </row>
    <row r="97" spans="16:17" x14ac:dyDescent="0.2">
      <c r="P97" s="105" t="s">
        <v>168</v>
      </c>
      <c r="Q97" s="208" cm="1">
        <f t="array" ref="Q97">GEOMEAN(1+Q52:V52)-1</f>
        <v>0.19375679391536504</v>
      </c>
    </row>
    <row r="98" spans="16:17" x14ac:dyDescent="0.2">
      <c r="P98" s="105"/>
      <c r="Q98" s="208"/>
    </row>
    <row r="99" spans="16:17" ht="17" thickBot="1" x14ac:dyDescent="0.25">
      <c r="P99" s="27" t="s">
        <v>200</v>
      </c>
      <c r="Q99" s="209" cm="1">
        <f t="array" ref="Q99">GEOMEAN(1+Q54:V54)-1</f>
        <v>0.17334056425080235</v>
      </c>
    </row>
  </sheetData>
  <mergeCells count="1">
    <mergeCell ref="P57:Q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706-EE84-684E-B341-A6E5F8B5CC1E}">
  <dimension ref="A2:M9"/>
  <sheetViews>
    <sheetView zoomScale="75" workbookViewId="0">
      <selection activeCell="B4" sqref="B4"/>
    </sheetView>
  </sheetViews>
  <sheetFormatPr baseColWidth="10" defaultRowHeight="16" x14ac:dyDescent="0.2"/>
  <cols>
    <col min="1" max="1" width="21.1640625" customWidth="1"/>
  </cols>
  <sheetData>
    <row r="2" spans="1:13" ht="17" thickBot="1" x14ac:dyDescent="0.25"/>
    <row r="3" spans="1:13" x14ac:dyDescent="0.2">
      <c r="A3" s="16"/>
      <c r="B3" s="23">
        <v>2017</v>
      </c>
      <c r="C3" s="23">
        <v>2018</v>
      </c>
      <c r="D3" s="23">
        <v>2019</v>
      </c>
      <c r="E3" s="23">
        <v>2020</v>
      </c>
      <c r="F3" s="23">
        <v>2021</v>
      </c>
      <c r="G3" s="23">
        <v>2022</v>
      </c>
      <c r="H3" s="45">
        <v>2023</v>
      </c>
      <c r="I3" s="23">
        <v>2024</v>
      </c>
      <c r="J3" s="23">
        <v>2025</v>
      </c>
      <c r="K3" s="23">
        <v>2026</v>
      </c>
      <c r="L3" s="23">
        <v>2027</v>
      </c>
      <c r="M3" s="24">
        <v>2028</v>
      </c>
    </row>
    <row r="4" spans="1:13" x14ac:dyDescent="0.2">
      <c r="A4" s="105" t="s">
        <v>130</v>
      </c>
      <c r="B4">
        <v>5.9</v>
      </c>
      <c r="C4">
        <v>6.21</v>
      </c>
      <c r="D4">
        <v>6.43</v>
      </c>
      <c r="E4">
        <v>6.51</v>
      </c>
      <c r="F4">
        <v>6.55</v>
      </c>
      <c r="G4">
        <v>6.59</v>
      </c>
      <c r="H4" s="3">
        <v>6.63</v>
      </c>
      <c r="I4">
        <f>I9*(IS!I19/IS!I23)</f>
        <v>1.5450120083682009</v>
      </c>
      <c r="J4">
        <f>J9*(IS!J19/IS!J23)</f>
        <v>0.52059479057379998</v>
      </c>
      <c r="K4">
        <f>K9*(IS!K19/IS!K23)</f>
        <v>0.64128676087149306</v>
      </c>
      <c r="L4">
        <f>L9*(IS!L19/IS!L23)</f>
        <v>0.79678997174143829</v>
      </c>
      <c r="M4" s="25">
        <f>M9*(IS!M19/IS!M23)</f>
        <v>0.95625292672251572</v>
      </c>
    </row>
    <row r="5" spans="1:13" x14ac:dyDescent="0.2">
      <c r="A5" s="105"/>
      <c r="H5" s="3"/>
      <c r="M5" s="25"/>
    </row>
    <row r="6" spans="1:13" x14ac:dyDescent="0.2">
      <c r="A6" s="105" t="s">
        <v>131</v>
      </c>
      <c r="B6">
        <f>3.85/100</f>
        <v>3.85E-2</v>
      </c>
      <c r="C6">
        <f>5.46/100</f>
        <v>5.4600000000000003E-2</v>
      </c>
      <c r="D6">
        <f>4.8/100</f>
        <v>4.8000000000000001E-2</v>
      </c>
      <c r="E6">
        <f>5.17/100</f>
        <v>5.1699999999999996E-2</v>
      </c>
      <c r="F6">
        <f>4.9/100</f>
        <v>4.9000000000000002E-2</v>
      </c>
      <c r="G6">
        <f>4.68/100</f>
        <v>4.6799999999999994E-2</v>
      </c>
      <c r="H6" s="3">
        <f>4.05/100</f>
        <v>4.0500000000000001E-2</v>
      </c>
      <c r="I6">
        <f>_xlfn.FORECAST.ETS(I3,B6:H6,B3:H3)</f>
        <v>4.1845264719347776E-2</v>
      </c>
      <c r="J6">
        <f t="shared" ref="J6:M6" si="0">_xlfn.FORECAST.ETS(J3,C6:I6,C3:I3)</f>
        <v>4.0022573739565359E-2</v>
      </c>
      <c r="K6">
        <f t="shared" si="0"/>
        <v>3.7864798519072547E-2</v>
      </c>
      <c r="L6">
        <f t="shared" si="0"/>
        <v>3.5151066948390701E-2</v>
      </c>
      <c r="M6" s="25">
        <f t="shared" si="0"/>
        <v>3.3416088610112624E-2</v>
      </c>
    </row>
    <row r="7" spans="1:13" x14ac:dyDescent="0.2">
      <c r="A7" s="105"/>
      <c r="G7" t="s">
        <v>134</v>
      </c>
      <c r="H7" s="3">
        <f>AVERAGE(B6:H6)</f>
        <v>4.7014285714285717E-2</v>
      </c>
      <c r="M7" s="25"/>
    </row>
    <row r="8" spans="1:13" x14ac:dyDescent="0.2">
      <c r="A8" s="105" t="s">
        <v>132</v>
      </c>
      <c r="B8">
        <v>96.15</v>
      </c>
      <c r="C8">
        <v>65.239999999999995</v>
      </c>
      <c r="D8">
        <v>60.87</v>
      </c>
      <c r="E8">
        <v>104.41</v>
      </c>
      <c r="F8">
        <v>103.18</v>
      </c>
      <c r="G8">
        <v>366.8</v>
      </c>
      <c r="H8" s="3">
        <v>81.489999999999995</v>
      </c>
      <c r="I8">
        <f>AVERAGE(B8:H8)</f>
        <v>125.44857142857143</v>
      </c>
      <c r="J8">
        <f t="shared" ref="J8:L8" si="1">AVERAGE(C8:I8)</f>
        <v>129.63408163265305</v>
      </c>
      <c r="K8">
        <f t="shared" si="1"/>
        <v>138.8332361516035</v>
      </c>
      <c r="L8">
        <f t="shared" si="1"/>
        <v>149.97084131611831</v>
      </c>
      <c r="M8" s="25">
        <f>AVERAGE(F8:L8)</f>
        <v>156.47953293270663</v>
      </c>
    </row>
    <row r="9" spans="1:13" ht="17" thickBot="1" x14ac:dyDescent="0.25">
      <c r="A9" s="27"/>
      <c r="B9" s="135">
        <f>B8/100</f>
        <v>0.96150000000000002</v>
      </c>
      <c r="C9" s="135">
        <f t="shared" ref="C9:H9" si="2">C8/100</f>
        <v>0.65239999999999998</v>
      </c>
      <c r="D9" s="135">
        <f t="shared" si="2"/>
        <v>0.60870000000000002</v>
      </c>
      <c r="E9" s="135">
        <f t="shared" si="2"/>
        <v>1.0441</v>
      </c>
      <c r="F9" s="135">
        <f t="shared" si="2"/>
        <v>1.0318000000000001</v>
      </c>
      <c r="G9" s="135">
        <f t="shared" si="2"/>
        <v>3.6680000000000001</v>
      </c>
      <c r="H9" s="135">
        <f t="shared" si="2"/>
        <v>0.81489999999999996</v>
      </c>
      <c r="I9" s="136">
        <f>AVERAGE(B9:H9)</f>
        <v>1.2544857142857144</v>
      </c>
      <c r="J9" s="136">
        <f t="shared" ref="J9:M9" si="3">AVERAGE(C9:I9)</f>
        <v>1.2963408163265306</v>
      </c>
      <c r="K9" s="136">
        <f t="shared" si="3"/>
        <v>1.388332361516035</v>
      </c>
      <c r="L9" s="136">
        <f t="shared" si="3"/>
        <v>1.4997084131611829</v>
      </c>
      <c r="M9" s="137">
        <f t="shared" si="3"/>
        <v>1.564795329327066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DFBF-1571-8C4F-96E8-2C9A0E595A70}">
  <dimension ref="A1:AE657"/>
  <sheetViews>
    <sheetView topLeftCell="Q9" zoomScale="75" zoomScaleNormal="75" workbookViewId="0">
      <selection activeCell="W24" sqref="W24:Y46"/>
    </sheetView>
  </sheetViews>
  <sheetFormatPr baseColWidth="10" defaultRowHeight="16" x14ac:dyDescent="0.2"/>
  <cols>
    <col min="2" max="2" width="11" bestFit="1" customWidth="1"/>
    <col min="3" max="3" width="12.83203125" customWidth="1"/>
    <col min="4" max="4" width="13.5" customWidth="1"/>
    <col min="5" max="5" width="11" bestFit="1" customWidth="1"/>
    <col min="7" max="7" width="14.83203125" customWidth="1"/>
    <col min="8" max="11" width="11.5" bestFit="1" customWidth="1"/>
    <col min="12" max="12" width="11.6640625" bestFit="1" customWidth="1"/>
    <col min="13" max="13" width="17.5" bestFit="1" customWidth="1"/>
    <col min="14" max="14" width="19" customWidth="1"/>
    <col min="15" max="15" width="15.6640625" customWidth="1"/>
    <col min="16" max="16" width="10.83203125" customWidth="1"/>
    <col min="17" max="17" width="20.83203125" customWidth="1"/>
    <col min="18" max="18" width="13.1640625" customWidth="1"/>
    <col min="19" max="19" width="11.83203125" customWidth="1"/>
    <col min="20" max="20" width="33.33203125" customWidth="1"/>
    <col min="21" max="21" width="15.1640625" customWidth="1"/>
    <col min="22" max="22" width="11.33203125" bestFit="1" customWidth="1"/>
    <col min="23" max="23" width="18.5" customWidth="1"/>
    <col min="24" max="24" width="2.5" customWidth="1"/>
    <col min="25" max="25" width="16.83203125" bestFit="1" customWidth="1"/>
    <col min="26" max="26" width="11" bestFit="1" customWidth="1"/>
    <col min="27" max="27" width="18.83203125" bestFit="1" customWidth="1"/>
  </cols>
  <sheetData>
    <row r="1" spans="1:31" ht="17" thickBot="1" x14ac:dyDescent="0.25"/>
    <row r="2" spans="1:31" x14ac:dyDescent="0.2">
      <c r="B2" s="38" t="s">
        <v>0</v>
      </c>
      <c r="C2" s="63" t="s">
        <v>56</v>
      </c>
      <c r="D2" s="63" t="s">
        <v>57</v>
      </c>
      <c r="E2" s="43" t="s">
        <v>58</v>
      </c>
      <c r="G2" s="16" t="s">
        <v>59</v>
      </c>
      <c r="H2" s="17">
        <f>(E66/E3)^(1/63)-1</f>
        <v>7.2469506587214072E-2</v>
      </c>
      <c r="I2">
        <f>2023-1963</f>
        <v>60</v>
      </c>
      <c r="K2" t="s">
        <v>219</v>
      </c>
      <c r="N2" s="278" t="s">
        <v>81</v>
      </c>
      <c r="O2" s="279"/>
      <c r="P2" s="280"/>
    </row>
    <row r="3" spans="1:31" ht="17" thickBot="1" x14ac:dyDescent="0.25">
      <c r="B3" s="39">
        <v>1960</v>
      </c>
      <c r="C3" s="59">
        <v>5.3400000000000003E-2</v>
      </c>
      <c r="D3" s="59">
        <v>3.4099999999999998E-2</v>
      </c>
      <c r="E3" s="64">
        <v>58.11</v>
      </c>
      <c r="F3" s="11"/>
      <c r="G3" s="18" t="s">
        <v>60</v>
      </c>
      <c r="H3" s="19">
        <f>AVERAGE(D3:D66)</f>
        <v>2.8832812499999999E-2</v>
      </c>
      <c r="K3" s="15" t="s">
        <v>61</v>
      </c>
      <c r="L3" s="31">
        <v>4.4000000000000004</v>
      </c>
      <c r="N3" s="281"/>
      <c r="O3" s="282"/>
      <c r="P3" s="283"/>
    </row>
    <row r="4" spans="1:31" x14ac:dyDescent="0.2">
      <c r="A4" s="9"/>
      <c r="B4" s="65">
        <v>1961</v>
      </c>
      <c r="C4" s="59">
        <v>4.7100000000000003E-2</v>
      </c>
      <c r="D4" s="59">
        <v>2.8500000000000001E-2</v>
      </c>
      <c r="E4" s="64">
        <v>71.55</v>
      </c>
      <c r="F4" s="11"/>
      <c r="G4" s="18" t="s">
        <v>74</v>
      </c>
      <c r="H4" s="19">
        <v>4.58E-2</v>
      </c>
      <c r="K4" s="15" t="s">
        <v>62</v>
      </c>
      <c r="L4" s="31">
        <v>4.3899999999999997</v>
      </c>
      <c r="N4" s="38"/>
      <c r="O4" s="63"/>
      <c r="P4" s="43"/>
    </row>
    <row r="5" spans="1:31" x14ac:dyDescent="0.2">
      <c r="A5" s="9"/>
      <c r="B5" s="65">
        <v>1962</v>
      </c>
      <c r="C5" s="59">
        <v>5.8099999999999999E-2</v>
      </c>
      <c r="D5" s="59">
        <v>3.4000000000000002E-2</v>
      </c>
      <c r="E5" s="64">
        <v>63.1</v>
      </c>
      <c r="F5" s="11"/>
      <c r="G5" s="18"/>
      <c r="H5" s="19"/>
      <c r="K5" s="15" t="s">
        <v>63</v>
      </c>
      <c r="L5" s="31">
        <v>4.37</v>
      </c>
      <c r="N5" s="39" t="s">
        <v>115</v>
      </c>
      <c r="O5" s="36"/>
      <c r="P5" s="78">
        <v>4.8599999999999997E-2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</row>
    <row r="6" spans="1:31" ht="17" thickBot="1" x14ac:dyDescent="0.25">
      <c r="A6" s="9"/>
      <c r="B6" s="65">
        <v>1963</v>
      </c>
      <c r="C6" s="59">
        <v>5.5100000000000003E-2</v>
      </c>
      <c r="D6" s="59">
        <v>3.1300000000000001E-2</v>
      </c>
      <c r="E6" s="64">
        <v>75.02</v>
      </c>
      <c r="F6" s="11"/>
      <c r="G6" s="125" t="s">
        <v>75</v>
      </c>
      <c r="H6" s="20">
        <f>H2+H3-H4</f>
        <v>5.5502319087214071E-2</v>
      </c>
      <c r="K6" s="15" t="s">
        <v>64</v>
      </c>
      <c r="L6" s="31">
        <v>4.32</v>
      </c>
      <c r="N6" s="39" t="s">
        <v>54</v>
      </c>
      <c r="O6" s="36"/>
      <c r="P6" s="80">
        <v>0.21</v>
      </c>
    </row>
    <row r="7" spans="1:31" ht="17" thickBot="1" x14ac:dyDescent="0.25">
      <c r="A7" s="9"/>
      <c r="B7" s="65">
        <v>1964</v>
      </c>
      <c r="C7" s="59">
        <v>5.62E-2</v>
      </c>
      <c r="D7" s="59">
        <v>3.0499999999999999E-2</v>
      </c>
      <c r="E7" s="64">
        <v>84.75</v>
      </c>
      <c r="F7" s="11"/>
      <c r="G7" s="11"/>
      <c r="H7" s="10"/>
      <c r="K7" s="15" t="s">
        <v>65</v>
      </c>
      <c r="L7" s="31">
        <v>4.24</v>
      </c>
      <c r="N7" s="39" t="s">
        <v>82</v>
      </c>
      <c r="O7" s="36"/>
      <c r="P7" s="40">
        <f>(BS!I50*(1+IS!P5*BS!K77)^5)</f>
        <v>4.1983908888086505</v>
      </c>
    </row>
    <row r="8" spans="1:31" ht="17" thickBot="1" x14ac:dyDescent="0.25">
      <c r="A8" s="9"/>
      <c r="B8" s="65">
        <v>1965</v>
      </c>
      <c r="C8" s="59">
        <v>5.7299999999999997E-2</v>
      </c>
      <c r="D8" s="59">
        <v>3.0599999999999999E-2</v>
      </c>
      <c r="E8" s="64">
        <v>92.43</v>
      </c>
      <c r="F8" s="11"/>
      <c r="G8" s="146" t="s">
        <v>80</v>
      </c>
      <c r="H8" s="32">
        <f>SLOPE(R87:R145,S87:S145)</f>
        <v>0.48340440912872379</v>
      </c>
      <c r="K8" s="15" t="s">
        <v>66</v>
      </c>
      <c r="L8" s="31">
        <v>4.16</v>
      </c>
      <c r="N8" s="39" t="s">
        <v>80</v>
      </c>
      <c r="O8" s="36"/>
      <c r="P8" s="40">
        <f>H8</f>
        <v>0.48340440912872379</v>
      </c>
    </row>
    <row r="9" spans="1:31" ht="17" thickBot="1" x14ac:dyDescent="0.25">
      <c r="A9" s="9"/>
      <c r="B9" s="65">
        <v>1966</v>
      </c>
      <c r="C9" s="59">
        <v>6.7400000000000002E-2</v>
      </c>
      <c r="D9" s="59">
        <v>3.5900000000000001E-2</v>
      </c>
      <c r="E9" s="64">
        <v>80.33</v>
      </c>
      <c r="F9" s="11"/>
      <c r="G9" s="11"/>
      <c r="H9" s="10"/>
      <c r="K9" s="15" t="s">
        <v>67</v>
      </c>
      <c r="L9" s="31">
        <v>4.25</v>
      </c>
      <c r="N9" s="39" t="s">
        <v>83</v>
      </c>
      <c r="O9" s="36"/>
      <c r="P9" s="81">
        <f>1/(1+P7)</f>
        <v>0.19236721927795941</v>
      </c>
    </row>
    <row r="10" spans="1:31" x14ac:dyDescent="0.2">
      <c r="A10" s="9"/>
      <c r="B10" s="65">
        <v>1967</v>
      </c>
      <c r="C10" s="59">
        <v>5.6599999999999998E-2</v>
      </c>
      <c r="D10" s="59">
        <v>3.09E-2</v>
      </c>
      <c r="E10" s="64">
        <v>96.47</v>
      </c>
      <c r="F10" s="11"/>
      <c r="G10" s="29" t="s">
        <v>104</v>
      </c>
      <c r="H10" s="30">
        <v>0.39</v>
      </c>
      <c r="K10" s="15" t="s">
        <v>68</v>
      </c>
      <c r="L10" s="31">
        <v>4.2699999999999996</v>
      </c>
      <c r="N10" s="39" t="s">
        <v>75</v>
      </c>
      <c r="O10" s="36"/>
      <c r="P10" s="82">
        <f>H6</f>
        <v>5.5502319087214071E-2</v>
      </c>
    </row>
    <row r="11" spans="1:31" ht="17" thickBot="1" x14ac:dyDescent="0.25">
      <c r="A11" s="9"/>
      <c r="B11" s="65">
        <v>1968</v>
      </c>
      <c r="C11" s="59">
        <v>5.5100000000000003E-2</v>
      </c>
      <c r="D11" s="59">
        <v>2.93E-2</v>
      </c>
      <c r="E11" s="64">
        <v>103.86</v>
      </c>
      <c r="F11" s="11"/>
      <c r="G11" s="18" t="s">
        <v>105</v>
      </c>
      <c r="H11" s="19">
        <f>1-H10</f>
        <v>0.61</v>
      </c>
      <c r="K11" s="15" t="s">
        <v>69</v>
      </c>
      <c r="L11">
        <v>4.38</v>
      </c>
      <c r="N11" s="39"/>
      <c r="O11" s="36"/>
      <c r="P11" s="44"/>
    </row>
    <row r="12" spans="1:31" x14ac:dyDescent="0.2">
      <c r="A12" s="9"/>
      <c r="B12" s="65">
        <v>1969</v>
      </c>
      <c r="C12" s="59">
        <v>6.6299999999999998E-2</v>
      </c>
      <c r="D12" s="59">
        <v>3.5200000000000002E-2</v>
      </c>
      <c r="E12" s="64">
        <v>92.06</v>
      </c>
      <c r="F12" s="11"/>
      <c r="G12" s="18" t="s">
        <v>106</v>
      </c>
      <c r="H12" s="19">
        <f>IS!H19/BS!I44</f>
        <v>0.58732805335556482</v>
      </c>
      <c r="K12" s="15" t="s">
        <v>70</v>
      </c>
      <c r="L12">
        <v>4.4800000000000004</v>
      </c>
      <c r="N12" s="39" t="s">
        <v>84</v>
      </c>
      <c r="O12" s="36"/>
      <c r="P12" s="78">
        <f>(P5+(P8*P10))</f>
        <v>7.5430065763628595E-2</v>
      </c>
      <c r="T12" s="319" t="s">
        <v>211</v>
      </c>
      <c r="U12" s="320"/>
    </row>
    <row r="13" spans="1:31" ht="17" thickBot="1" x14ac:dyDescent="0.25">
      <c r="A13" s="9"/>
      <c r="B13" s="65">
        <v>1970</v>
      </c>
      <c r="C13" s="59">
        <v>5.9799999999999999E-2</v>
      </c>
      <c r="D13" s="59">
        <v>3.4599999999999999E-2</v>
      </c>
      <c r="E13" s="64">
        <v>92.15</v>
      </c>
      <c r="F13" s="11"/>
      <c r="G13" s="125" t="s">
        <v>107</v>
      </c>
      <c r="H13" s="222">
        <f>(PRODUCT(U14:U16)*H11)</f>
        <v>0.15021282188797766</v>
      </c>
      <c r="K13" s="15" t="s">
        <v>71</v>
      </c>
      <c r="L13">
        <v>4.58</v>
      </c>
      <c r="N13" s="39"/>
      <c r="O13" s="36"/>
      <c r="P13" s="44"/>
      <c r="T13" s="321"/>
      <c r="U13" s="322"/>
    </row>
    <row r="14" spans="1:31" ht="17" thickBot="1" x14ac:dyDescent="0.25">
      <c r="A14" s="9"/>
      <c r="B14" s="65">
        <v>1971</v>
      </c>
      <c r="C14" s="59">
        <v>5.4600000000000003E-2</v>
      </c>
      <c r="D14" s="59">
        <v>3.1E-2</v>
      </c>
      <c r="E14" s="64">
        <v>102.09</v>
      </c>
      <c r="F14" s="11"/>
      <c r="G14" s="11"/>
      <c r="H14" s="10"/>
      <c r="K14" s="15" t="s">
        <v>72</v>
      </c>
      <c r="L14">
        <v>4.8600000000000003</v>
      </c>
      <c r="N14" s="39" t="s">
        <v>210</v>
      </c>
      <c r="O14" s="36"/>
      <c r="P14" s="82">
        <v>5.8799999999999998E-2</v>
      </c>
      <c r="T14" s="220" t="s">
        <v>136</v>
      </c>
      <c r="U14" s="217" cm="1">
        <f t="array" ref="U14">GEOMEAN(1+Comps!G42:N42)-1</f>
        <v>0.24325255389723788</v>
      </c>
    </row>
    <row r="15" spans="1:31" x14ac:dyDescent="0.2">
      <c r="A15" s="9"/>
      <c r="B15" s="65">
        <v>1972</v>
      </c>
      <c r="C15" s="59">
        <v>5.2299999999999999E-2</v>
      </c>
      <c r="D15" s="59">
        <v>2.7E-2</v>
      </c>
      <c r="E15" s="64">
        <v>118.05</v>
      </c>
      <c r="F15" s="11"/>
      <c r="G15" s="29" t="s">
        <v>104</v>
      </c>
      <c r="H15" s="30">
        <v>0.39</v>
      </c>
      <c r="K15" s="15" t="s">
        <v>73</v>
      </c>
      <c r="L15">
        <v>4.78</v>
      </c>
      <c r="N15" s="39" t="s">
        <v>86</v>
      </c>
      <c r="O15" s="36"/>
      <c r="P15" s="82">
        <f>P14*(1-P6)</f>
        <v>4.6452E-2</v>
      </c>
      <c r="T15" s="221" t="s">
        <v>158</v>
      </c>
      <c r="U15" s="218" cm="1">
        <f t="array" ref="U15">GEOMEAN(1+Comps!G33:N33)-1</f>
        <v>0.37463930984251537</v>
      </c>
    </row>
    <row r="16" spans="1:31" ht="17" thickBot="1" x14ac:dyDescent="0.25">
      <c r="A16" s="9"/>
      <c r="B16" s="65">
        <v>1973</v>
      </c>
      <c r="C16" s="59">
        <v>8.1600000000000006E-2</v>
      </c>
      <c r="D16" s="59">
        <v>3.6999999999999998E-2</v>
      </c>
      <c r="E16" s="64">
        <v>97.55</v>
      </c>
      <c r="F16" s="11"/>
      <c r="G16" s="18" t="s">
        <v>105</v>
      </c>
      <c r="H16" s="19">
        <f>1-H15</f>
        <v>0.61</v>
      </c>
      <c r="N16" s="39" t="s">
        <v>87</v>
      </c>
      <c r="O16" s="36"/>
      <c r="P16" s="80">
        <f>(1-P9)</f>
        <v>0.80763278072204059</v>
      </c>
      <c r="T16" s="133" t="s">
        <v>151</v>
      </c>
      <c r="U16" s="219" cm="1">
        <f t="array" ref="U16">GEOMEAN(1+Comps!G38:N38)-1</f>
        <v>2.702131103189243</v>
      </c>
    </row>
    <row r="17" spans="1:25" ht="17" thickBot="1" x14ac:dyDescent="0.25">
      <c r="A17" s="9"/>
      <c r="B17" s="65">
        <v>1974</v>
      </c>
      <c r="C17" s="59">
        <v>0.13639999999999999</v>
      </c>
      <c r="D17" s="59">
        <v>5.4300000000000001E-2</v>
      </c>
      <c r="E17" s="64">
        <v>68.56</v>
      </c>
      <c r="F17" s="11"/>
      <c r="G17" s="18" t="s">
        <v>108</v>
      </c>
      <c r="H17" s="19">
        <f>IS!H19/BS!I22</f>
        <v>0.19336864930145747</v>
      </c>
      <c r="K17" s="107" t="s">
        <v>212</v>
      </c>
      <c r="L17" s="106">
        <v>2.69E-2</v>
      </c>
      <c r="N17" s="39"/>
      <c r="O17" s="36"/>
      <c r="P17" s="44"/>
    </row>
    <row r="18" spans="1:25" ht="17" thickBot="1" x14ac:dyDescent="0.25">
      <c r="A18" s="9"/>
      <c r="B18" s="65">
        <v>1975</v>
      </c>
      <c r="C18" s="59">
        <v>8.5500000000000007E-2</v>
      </c>
      <c r="D18" s="59">
        <v>4.1399999999999999E-2</v>
      </c>
      <c r="E18" s="64">
        <v>90.19</v>
      </c>
      <c r="F18" s="11"/>
      <c r="G18" s="125" t="s">
        <v>109</v>
      </c>
      <c r="H18" s="20">
        <v>0.02</v>
      </c>
      <c r="I18" s="11">
        <f>(H17*H16)/(1-(H17*H16))</f>
        <v>0.13372884546864766</v>
      </c>
      <c r="N18" s="39" t="s">
        <v>85</v>
      </c>
      <c r="O18" s="36"/>
      <c r="P18" s="82">
        <f>P15</f>
        <v>4.6452E-2</v>
      </c>
    </row>
    <row r="19" spans="1:25" ht="17" thickBot="1" x14ac:dyDescent="0.25">
      <c r="A19" s="9"/>
      <c r="B19" s="65">
        <v>1976</v>
      </c>
      <c r="C19" s="59">
        <v>9.0700000000000003E-2</v>
      </c>
      <c r="D19" s="59">
        <v>3.9300000000000002E-2</v>
      </c>
      <c r="E19" s="64">
        <v>107.46</v>
      </c>
      <c r="F19" s="11"/>
      <c r="G19" s="11"/>
      <c r="H19" s="10"/>
      <c r="I19" s="11"/>
      <c r="N19" s="39"/>
      <c r="O19" s="36"/>
      <c r="P19" s="44"/>
    </row>
    <row r="20" spans="1:25" ht="17" thickBot="1" x14ac:dyDescent="0.25">
      <c r="A20" s="9"/>
      <c r="B20" s="65">
        <v>1977</v>
      </c>
      <c r="C20" s="59">
        <v>0.1143</v>
      </c>
      <c r="D20" s="59">
        <v>5.11E-2</v>
      </c>
      <c r="E20" s="64">
        <v>95.1</v>
      </c>
      <c r="F20" s="11"/>
      <c r="G20" s="74" t="s">
        <v>76</v>
      </c>
      <c r="H20" s="75" t="s">
        <v>204</v>
      </c>
      <c r="I20" s="63" t="s">
        <v>58</v>
      </c>
      <c r="J20" s="76" t="s">
        <v>78</v>
      </c>
      <c r="K20" s="77" t="s">
        <v>79</v>
      </c>
      <c r="N20" s="41" t="s">
        <v>88</v>
      </c>
      <c r="O20" s="83"/>
      <c r="P20" s="84">
        <f>(P12*P9)+(P18*P16)</f>
        <v>5.2026429931003065E-2</v>
      </c>
    </row>
    <row r="21" spans="1:25" ht="17" thickBot="1" x14ac:dyDescent="0.25">
      <c r="A21" s="9"/>
      <c r="B21" s="65">
        <v>1978</v>
      </c>
      <c r="C21" s="59">
        <v>0.1211</v>
      </c>
      <c r="D21" s="59">
        <v>5.3900000000000003E-2</v>
      </c>
      <c r="E21" s="64">
        <v>96.11</v>
      </c>
      <c r="F21" s="11"/>
      <c r="G21" s="65">
        <v>1963</v>
      </c>
      <c r="H21" s="71">
        <v>5.4015300000000002</v>
      </c>
      <c r="I21" s="60">
        <v>75.02</v>
      </c>
      <c r="J21" s="60">
        <v>0</v>
      </c>
      <c r="K21" s="64">
        <v>0</v>
      </c>
    </row>
    <row r="22" spans="1:25" ht="16" customHeight="1" x14ac:dyDescent="0.2">
      <c r="A22" s="9"/>
      <c r="B22" s="65">
        <v>1979</v>
      </c>
      <c r="C22" s="59">
        <v>0.1348</v>
      </c>
      <c r="D22" s="59">
        <v>5.5300000000000002E-2</v>
      </c>
      <c r="E22" s="64">
        <v>107.94</v>
      </c>
      <c r="F22" s="11"/>
      <c r="G22" s="65">
        <v>1964</v>
      </c>
      <c r="H22" s="71">
        <v>6.9088589999999996</v>
      </c>
      <c r="I22" s="60">
        <v>84.75</v>
      </c>
      <c r="J22" s="72">
        <f>(H22-H21)/H21</f>
        <v>0.27905593415199015</v>
      </c>
      <c r="K22" s="78">
        <f>(I22-I21)/I21</f>
        <v>0.12969874700079984</v>
      </c>
      <c r="N22" s="311" t="s">
        <v>207</v>
      </c>
      <c r="O22" s="312"/>
      <c r="Q22" s="311" t="s">
        <v>208</v>
      </c>
      <c r="R22" s="312"/>
      <c r="T22" s="315" t="s">
        <v>209</v>
      </c>
      <c r="U22" s="316"/>
      <c r="W22" s="260" t="s">
        <v>218</v>
      </c>
      <c r="X22" s="276"/>
      <c r="Y22" s="261"/>
    </row>
    <row r="23" spans="1:25" ht="17" customHeight="1" thickBot="1" x14ac:dyDescent="0.25">
      <c r="A23" s="9"/>
      <c r="B23" s="65">
        <v>1980</v>
      </c>
      <c r="C23" s="59">
        <v>0.1104</v>
      </c>
      <c r="D23" s="59">
        <v>4.7399999999999998E-2</v>
      </c>
      <c r="E23" s="64">
        <v>135.76</v>
      </c>
      <c r="F23" s="11"/>
      <c r="G23" s="65">
        <v>1965</v>
      </c>
      <c r="H23" s="71">
        <v>7.1462719999999997</v>
      </c>
      <c r="I23" s="60">
        <v>92.43</v>
      </c>
      <c r="J23" s="72">
        <f t="shared" ref="J23:J81" si="0">(H23-H22)/H22</f>
        <v>3.4363561334802187E-2</v>
      </c>
      <c r="K23" s="78">
        <f t="shared" ref="K23:K81" si="1">(I23-I22)/I22</f>
        <v>9.0619469026548757E-2</v>
      </c>
      <c r="N23" s="313"/>
      <c r="O23" s="314"/>
      <c r="Q23" s="313"/>
      <c r="R23" s="314"/>
      <c r="T23" s="317"/>
      <c r="U23" s="318"/>
      <c r="W23" s="264"/>
      <c r="X23" s="277"/>
      <c r="Y23" s="271"/>
    </row>
    <row r="24" spans="1:25" ht="17" customHeight="1" x14ac:dyDescent="0.2">
      <c r="A24" s="9"/>
      <c r="B24" s="65">
        <v>1981</v>
      </c>
      <c r="C24" s="59">
        <v>0.1239</v>
      </c>
      <c r="D24" s="59">
        <v>5.57E-2</v>
      </c>
      <c r="E24" s="64">
        <v>122.55</v>
      </c>
      <c r="F24" s="11"/>
      <c r="G24" s="65">
        <v>1966</v>
      </c>
      <c r="H24" s="71">
        <v>7.9031229999999999</v>
      </c>
      <c r="I24" s="60">
        <v>80.33</v>
      </c>
      <c r="J24" s="72">
        <f t="shared" si="0"/>
        <v>0.10590850726084876</v>
      </c>
      <c r="K24" s="78">
        <f t="shared" si="1"/>
        <v>-0.13090987774532087</v>
      </c>
      <c r="N24" s="181" t="s">
        <v>1</v>
      </c>
      <c r="O24" s="252">
        <f>IS!F72</f>
        <v>0.1656198530333064</v>
      </c>
      <c r="Q24" s="181" t="s">
        <v>0</v>
      </c>
      <c r="R24" s="24"/>
      <c r="T24" s="250" t="s">
        <v>186</v>
      </c>
      <c r="U24" s="251">
        <f>CF!Q59</f>
        <v>0.1340373927027001</v>
      </c>
      <c r="W24" s="255" t="s">
        <v>141</v>
      </c>
      <c r="X24" s="23"/>
      <c r="Y24" s="251"/>
    </row>
    <row r="25" spans="1:25" x14ac:dyDescent="0.2">
      <c r="A25" s="9"/>
      <c r="B25" s="65">
        <v>1982</v>
      </c>
      <c r="C25" s="59">
        <v>9.8299999999999998E-2</v>
      </c>
      <c r="D25" s="59">
        <v>4.9299999999999997E-2</v>
      </c>
      <c r="E25" s="64">
        <v>140.63999999999999</v>
      </c>
      <c r="F25" s="11"/>
      <c r="G25" s="65">
        <v>1967</v>
      </c>
      <c r="H25" s="71">
        <v>9.5482790000000008</v>
      </c>
      <c r="I25" s="60">
        <v>96.47</v>
      </c>
      <c r="J25" s="72">
        <f t="shared" si="0"/>
        <v>0.20816530376662504</v>
      </c>
      <c r="K25" s="78">
        <f t="shared" si="1"/>
        <v>0.20092120004979461</v>
      </c>
      <c r="N25" s="182" t="s">
        <v>2</v>
      </c>
      <c r="O25" s="253">
        <f>IS!F73</f>
        <v>0.10632498722908035</v>
      </c>
      <c r="Q25" s="182"/>
      <c r="R25" s="25"/>
      <c r="T25" s="178" t="s">
        <v>194</v>
      </c>
      <c r="U25" s="232">
        <f>CF!Q60</f>
        <v>0.19350287158004509</v>
      </c>
      <c r="W25" s="229" t="s">
        <v>142</v>
      </c>
      <c r="Y25" s="232">
        <f>Comps!R59</f>
        <v>-0.21280590048384374</v>
      </c>
    </row>
    <row r="26" spans="1:25" ht="17" thickBot="1" x14ac:dyDescent="0.25">
      <c r="A26" s="9"/>
      <c r="B26" s="65">
        <v>1983</v>
      </c>
      <c r="C26" s="59">
        <v>8.0600000000000005E-2</v>
      </c>
      <c r="D26" s="59">
        <v>4.3200000000000002E-2</v>
      </c>
      <c r="E26" s="64">
        <v>164.93</v>
      </c>
      <c r="F26" s="11"/>
      <c r="G26" s="65">
        <v>1968</v>
      </c>
      <c r="H26" s="71">
        <v>14.208890999999999</v>
      </c>
      <c r="I26" s="60">
        <v>103.86</v>
      </c>
      <c r="J26" s="72">
        <f t="shared" si="0"/>
        <v>0.48811016100388332</v>
      </c>
      <c r="K26" s="78">
        <f t="shared" si="1"/>
        <v>7.6604125634912409E-2</v>
      </c>
      <c r="N26" s="182"/>
      <c r="O26" s="253"/>
      <c r="Q26" s="182" t="s">
        <v>18</v>
      </c>
      <c r="R26" s="25"/>
      <c r="T26" s="180"/>
      <c r="U26" s="232"/>
      <c r="W26" s="229" t="s">
        <v>143</v>
      </c>
      <c r="Y26" s="232">
        <f>Comps!R60</f>
        <v>-0.2756443469325649</v>
      </c>
    </row>
    <row r="27" spans="1:25" x14ac:dyDescent="0.2">
      <c r="A27" s="9"/>
      <c r="B27" s="65">
        <v>1984</v>
      </c>
      <c r="C27" s="59">
        <v>0.1007</v>
      </c>
      <c r="D27" s="59">
        <v>4.6800000000000001E-2</v>
      </c>
      <c r="E27" s="64">
        <v>167.24</v>
      </c>
      <c r="F27" s="11"/>
      <c r="G27" s="65">
        <v>1969</v>
      </c>
      <c r="H27" s="71">
        <v>14.16109</v>
      </c>
      <c r="I27" s="60">
        <v>92.06</v>
      </c>
      <c r="J27" s="72">
        <f t="shared" si="0"/>
        <v>-3.364161214270682E-3</v>
      </c>
      <c r="K27" s="78">
        <f t="shared" si="1"/>
        <v>-0.11361448103215865</v>
      </c>
      <c r="N27" s="157" t="s">
        <v>3</v>
      </c>
      <c r="O27" s="253">
        <f>IS!F75</f>
        <v>0.23413053491525049</v>
      </c>
      <c r="Q27" s="182"/>
      <c r="R27" s="25"/>
      <c r="T27" s="177" t="s">
        <v>172</v>
      </c>
      <c r="U27" s="232">
        <f>CF!Q62</f>
        <v>4.6605596608507938E-2</v>
      </c>
      <c r="W27" s="229"/>
      <c r="Y27" s="232"/>
    </row>
    <row r="28" spans="1:25" x14ac:dyDescent="0.2">
      <c r="A28" s="9"/>
      <c r="B28" s="65">
        <v>1985</v>
      </c>
      <c r="C28" s="59">
        <v>7.4200000000000002E-2</v>
      </c>
      <c r="D28" s="59">
        <v>3.8800000000000001E-2</v>
      </c>
      <c r="E28" s="64">
        <v>211.28</v>
      </c>
      <c r="F28" s="11"/>
      <c r="G28" s="65">
        <v>1970</v>
      </c>
      <c r="H28" s="71">
        <v>16.022345999999999</v>
      </c>
      <c r="I28" s="60">
        <v>92.15</v>
      </c>
      <c r="J28" s="72">
        <f t="shared" si="0"/>
        <v>0.13143451528095643</v>
      </c>
      <c r="K28" s="78">
        <f t="shared" si="1"/>
        <v>9.776232891592811E-4</v>
      </c>
      <c r="N28" s="182" t="s">
        <v>4</v>
      </c>
      <c r="O28" s="253">
        <f>IS!F76</f>
        <v>0.18928843668028672</v>
      </c>
      <c r="Q28" s="184" t="s">
        <v>19</v>
      </c>
      <c r="R28" s="25"/>
      <c r="T28" s="158"/>
      <c r="U28" s="232">
        <f>CF!Q63</f>
        <v>0</v>
      </c>
      <c r="W28" s="230" t="s">
        <v>144</v>
      </c>
      <c r="Y28" s="232"/>
    </row>
    <row r="29" spans="1:25" x14ac:dyDescent="0.2">
      <c r="A29" s="9"/>
      <c r="B29" s="65">
        <v>1986</v>
      </c>
      <c r="C29" s="59">
        <v>5.96E-2</v>
      </c>
      <c r="D29" s="59">
        <v>3.3799999999999997E-2</v>
      </c>
      <c r="E29" s="64">
        <v>242.17</v>
      </c>
      <c r="F29" s="11"/>
      <c r="G29" s="65">
        <v>1971</v>
      </c>
      <c r="H29" s="71">
        <v>15.559272999999999</v>
      </c>
      <c r="I29" s="60">
        <v>102.09</v>
      </c>
      <c r="J29" s="72">
        <f t="shared" si="0"/>
        <v>-2.8901697666496508E-2</v>
      </c>
      <c r="K29" s="78">
        <f t="shared" si="1"/>
        <v>0.10786760716223545</v>
      </c>
      <c r="N29" s="182"/>
      <c r="O29" s="253"/>
      <c r="Q29" s="182" t="s">
        <v>20</v>
      </c>
      <c r="R29" s="253">
        <f>BS!S58</f>
        <v>-2.5461313636757743E-2</v>
      </c>
      <c r="T29" s="178" t="s">
        <v>9</v>
      </c>
      <c r="U29" s="232">
        <f>CF!Q64</f>
        <v>-0.1150508666371074</v>
      </c>
      <c r="W29" s="229" t="s">
        <v>145</v>
      </c>
      <c r="Y29" s="232">
        <f>Comps!R63</f>
        <v>0.13379952129519301</v>
      </c>
    </row>
    <row r="30" spans="1:25" x14ac:dyDescent="0.2">
      <c r="A30" s="9"/>
      <c r="B30" s="65">
        <v>1987</v>
      </c>
      <c r="C30" s="59">
        <v>6.4899999999999999E-2</v>
      </c>
      <c r="D30" s="59">
        <v>3.7100000000000001E-2</v>
      </c>
      <c r="E30" s="64">
        <v>247.08</v>
      </c>
      <c r="F30" s="11"/>
      <c r="G30" s="65">
        <v>1972</v>
      </c>
      <c r="H30" s="71">
        <v>17.590821999999999</v>
      </c>
      <c r="I30" s="60">
        <v>118.05</v>
      </c>
      <c r="J30" s="72">
        <f t="shared" si="0"/>
        <v>0.13056837552757125</v>
      </c>
      <c r="K30" s="78">
        <f t="shared" si="1"/>
        <v>0.15633264766382596</v>
      </c>
      <c r="N30" s="157" t="s">
        <v>5</v>
      </c>
      <c r="O30" s="253">
        <f>IS!F78</f>
        <v>0.28766907084219917</v>
      </c>
      <c r="Q30" s="182" t="s">
        <v>21</v>
      </c>
      <c r="R30" s="253">
        <f>BS!S59</f>
        <v>8.7947720135588492E-2</v>
      </c>
      <c r="T30" s="158" t="s">
        <v>185</v>
      </c>
      <c r="U30" s="232">
        <f>CF!Q65</f>
        <v>0.1340373927027001</v>
      </c>
      <c r="W30" s="229" t="s">
        <v>146</v>
      </c>
      <c r="Y30" s="232">
        <f>Comps!R64</f>
        <v>-2.6037280242202643E-2</v>
      </c>
    </row>
    <row r="31" spans="1:25" x14ac:dyDescent="0.2">
      <c r="A31" s="9"/>
      <c r="B31" s="65">
        <v>1988</v>
      </c>
      <c r="C31" s="59">
        <v>8.6900000000000005E-2</v>
      </c>
      <c r="D31" s="59">
        <v>3.6799999999999999E-2</v>
      </c>
      <c r="E31" s="64">
        <v>277.72000000000003</v>
      </c>
      <c r="F31" s="11"/>
      <c r="G31" s="65">
        <v>1973</v>
      </c>
      <c r="H31" s="71">
        <v>20.817399999999999</v>
      </c>
      <c r="I31" s="60">
        <v>97.55</v>
      </c>
      <c r="J31" s="72">
        <f t="shared" si="0"/>
        <v>0.18342394687411426</v>
      </c>
      <c r="K31" s="78">
        <f t="shared" si="1"/>
        <v>-0.17365523083439222</v>
      </c>
      <c r="N31" s="182" t="s">
        <v>6</v>
      </c>
      <c r="O31" s="253">
        <f>IS!F79</f>
        <v>0.31581947713767877</v>
      </c>
      <c r="Q31" s="182" t="s">
        <v>22</v>
      </c>
      <c r="R31" s="253">
        <f>BS!S60</f>
        <v>2.8065218886107468E-2</v>
      </c>
      <c r="T31" s="158" t="s">
        <v>173</v>
      </c>
      <c r="U31" s="232" t="e">
        <f>CF!Q66</f>
        <v>#NUM!</v>
      </c>
      <c r="W31" s="229" t="s">
        <v>147</v>
      </c>
      <c r="Y31" s="232">
        <f>Comps!R65</f>
        <v>-6.6635904232062115E-2</v>
      </c>
    </row>
    <row r="32" spans="1:25" x14ac:dyDescent="0.2">
      <c r="A32" s="9"/>
      <c r="B32" s="65">
        <v>1989</v>
      </c>
      <c r="C32" s="59">
        <v>6.88E-2</v>
      </c>
      <c r="D32" s="59">
        <v>3.32E-2</v>
      </c>
      <c r="E32" s="64">
        <v>353.4</v>
      </c>
      <c r="F32" s="11"/>
      <c r="G32" s="65">
        <v>1974</v>
      </c>
      <c r="H32" s="71">
        <v>14.654038999999999</v>
      </c>
      <c r="I32" s="60">
        <v>68.56</v>
      </c>
      <c r="J32" s="72">
        <f t="shared" si="0"/>
        <v>-0.29606776062332474</v>
      </c>
      <c r="K32" s="78">
        <f t="shared" si="1"/>
        <v>-0.29718093285494612</v>
      </c>
      <c r="N32" s="182"/>
      <c r="O32" s="253"/>
      <c r="Q32" s="182" t="s">
        <v>10</v>
      </c>
      <c r="R32" s="253">
        <f>BS!S61</f>
        <v>0.27974152836861377</v>
      </c>
      <c r="T32" s="158" t="s">
        <v>174</v>
      </c>
      <c r="U32" s="232" t="e">
        <f>CF!Q67</f>
        <v>#NUM!</v>
      </c>
      <c r="W32" s="229" t="s">
        <v>158</v>
      </c>
      <c r="Y32" s="232">
        <f>Comps!R66</f>
        <v>-5.7459410551630175E-3</v>
      </c>
    </row>
    <row r="33" spans="1:25" x14ac:dyDescent="0.2">
      <c r="A33" s="9"/>
      <c r="B33" s="65">
        <v>1990</v>
      </c>
      <c r="C33" s="59">
        <v>6.8599999999999994E-2</v>
      </c>
      <c r="D33" s="59">
        <v>3.7400000000000003E-2</v>
      </c>
      <c r="E33" s="64">
        <v>330.22</v>
      </c>
      <c r="F33" s="11"/>
      <c r="G33" s="65">
        <v>1975</v>
      </c>
      <c r="H33" s="71">
        <v>11.248207000000001</v>
      </c>
      <c r="I33" s="60">
        <v>90.19</v>
      </c>
      <c r="J33" s="72">
        <f t="shared" si="0"/>
        <v>-0.23241592300934907</v>
      </c>
      <c r="K33" s="78">
        <f t="shared" si="1"/>
        <v>0.31549008168027998</v>
      </c>
      <c r="N33" s="157" t="s">
        <v>7</v>
      </c>
      <c r="O33" s="253">
        <f>IS!F81</f>
        <v>0.27302559517826386</v>
      </c>
      <c r="Q33" s="186" t="s">
        <v>28</v>
      </c>
      <c r="R33" s="253">
        <f>BS!S62</f>
        <v>3.1043797237640058E-2</v>
      </c>
      <c r="T33" s="158" t="s">
        <v>175</v>
      </c>
      <c r="U33" s="232" t="e">
        <f>CF!Q68</f>
        <v>#NUM!</v>
      </c>
      <c r="W33" s="229"/>
      <c r="Y33" s="232"/>
    </row>
    <row r="34" spans="1:25" x14ac:dyDescent="0.2">
      <c r="A34" s="9"/>
      <c r="B34" s="65">
        <v>1991</v>
      </c>
      <c r="C34" s="59">
        <v>4.6300000000000001E-2</v>
      </c>
      <c r="D34" s="59">
        <v>3.1099999999999999E-2</v>
      </c>
      <c r="E34" s="64">
        <v>417.09</v>
      </c>
      <c r="F34" s="11"/>
      <c r="G34" s="65">
        <v>1976</v>
      </c>
      <c r="H34" s="71">
        <v>15.400931999999999</v>
      </c>
      <c r="I34" s="60">
        <v>107.46</v>
      </c>
      <c r="J34" s="72">
        <f t="shared" si="0"/>
        <v>0.36918995178520436</v>
      </c>
      <c r="K34" s="78">
        <f t="shared" si="1"/>
        <v>0.19148464353032482</v>
      </c>
      <c r="N34" s="182" t="s">
        <v>8</v>
      </c>
      <c r="O34" s="253" t="e">
        <f>IS!F82</f>
        <v>#NUM!</v>
      </c>
      <c r="Q34" s="184" t="s">
        <v>23</v>
      </c>
      <c r="R34" s="26"/>
      <c r="T34" s="158" t="s">
        <v>176</v>
      </c>
      <c r="U34" s="232" t="e">
        <f>CF!Q69</f>
        <v>#NUM!</v>
      </c>
      <c r="W34" s="230" t="s">
        <v>148</v>
      </c>
      <c r="Y34" s="232"/>
    </row>
    <row r="35" spans="1:25" x14ac:dyDescent="0.2">
      <c r="A35" s="9"/>
      <c r="B35" s="65">
        <v>1992</v>
      </c>
      <c r="C35" s="59">
        <v>4.7899999999999998E-2</v>
      </c>
      <c r="D35" s="59">
        <v>2.9000000000000001E-2</v>
      </c>
      <c r="E35" s="64">
        <v>435.71</v>
      </c>
      <c r="F35" s="11"/>
      <c r="G35" s="65">
        <v>1977</v>
      </c>
      <c r="H35" s="71">
        <v>16.446583</v>
      </c>
      <c r="I35" s="60">
        <v>95.1</v>
      </c>
      <c r="J35" s="72">
        <f t="shared" si="0"/>
        <v>6.7895306595730787E-2</v>
      </c>
      <c r="K35" s="78">
        <f t="shared" si="1"/>
        <v>-0.11501954215522055</v>
      </c>
      <c r="N35" s="157" t="s">
        <v>112</v>
      </c>
      <c r="O35" s="253">
        <f>IS!F83</f>
        <v>0.19271559068294875</v>
      </c>
      <c r="Q35" s="182" t="s">
        <v>24</v>
      </c>
      <c r="R35" s="253">
        <f>BS!S64</f>
        <v>0</v>
      </c>
      <c r="T35" s="158" t="s">
        <v>187</v>
      </c>
      <c r="U35" s="232" t="e">
        <f>CF!Q70</f>
        <v>#NUM!</v>
      </c>
      <c r="W35" s="229" t="s">
        <v>149</v>
      </c>
      <c r="Y35" s="232">
        <f>Comps!R69</f>
        <v>4.3235347798082913E-3</v>
      </c>
    </row>
    <row r="36" spans="1:25" x14ac:dyDescent="0.2">
      <c r="A36" s="9"/>
      <c r="B36" s="65">
        <v>1993</v>
      </c>
      <c r="C36" s="59">
        <v>5.7700000000000001E-2</v>
      </c>
      <c r="D36" s="59">
        <v>2.7199999999999998E-2</v>
      </c>
      <c r="E36" s="64">
        <v>466.45</v>
      </c>
      <c r="F36" s="11"/>
      <c r="G36" s="65">
        <v>1978</v>
      </c>
      <c r="H36" s="71">
        <v>15.864006</v>
      </c>
      <c r="I36" s="60">
        <v>96.11</v>
      </c>
      <c r="J36" s="72">
        <f t="shared" si="0"/>
        <v>-3.5422373145838293E-2</v>
      </c>
      <c r="K36" s="78">
        <f t="shared" si="1"/>
        <v>1.062039957939017E-2</v>
      </c>
      <c r="N36" s="182" t="s">
        <v>10</v>
      </c>
      <c r="O36" s="253" t="e">
        <f>IS!F84</f>
        <v>#VALUE!</v>
      </c>
      <c r="Q36" s="182" t="s">
        <v>25</v>
      </c>
      <c r="R36" s="253">
        <f>BS!S65</f>
        <v>-4.454697342182512E-3</v>
      </c>
      <c r="T36" s="158" t="s">
        <v>188</v>
      </c>
      <c r="U36" s="232" t="e">
        <f>CF!Q71</f>
        <v>#NUM!</v>
      </c>
      <c r="W36" s="229" t="s">
        <v>150</v>
      </c>
      <c r="Y36" s="232">
        <f>Comps!R70</f>
        <v>2.1421398475132802E-2</v>
      </c>
    </row>
    <row r="37" spans="1:25" x14ac:dyDescent="0.2">
      <c r="A37" s="9"/>
      <c r="B37" s="65">
        <v>1994</v>
      </c>
      <c r="C37" s="59">
        <v>6.9099999999999995E-2</v>
      </c>
      <c r="D37" s="59">
        <v>2.9100000000000001E-2</v>
      </c>
      <c r="E37" s="64">
        <v>459.27</v>
      </c>
      <c r="F37" s="11"/>
      <c r="G37" s="65">
        <v>1979</v>
      </c>
      <c r="H37" s="71">
        <v>18.448256000000001</v>
      </c>
      <c r="I37" s="60">
        <v>107.94</v>
      </c>
      <c r="J37" s="72">
        <f t="shared" si="0"/>
        <v>0.16290021574626237</v>
      </c>
      <c r="K37" s="78">
        <f t="shared" si="1"/>
        <v>0.12308812818645301</v>
      </c>
      <c r="N37" s="157" t="s">
        <v>9</v>
      </c>
      <c r="O37" s="253">
        <f>IS!F85</f>
        <v>0.19456487645436216</v>
      </c>
      <c r="Q37" s="182" t="s">
        <v>40</v>
      </c>
      <c r="R37" s="26" t="e">
        <f>BS!S66</f>
        <v>#NUM!</v>
      </c>
      <c r="T37" s="158" t="s">
        <v>189</v>
      </c>
      <c r="U37" s="232" t="e">
        <f>CF!Q72</f>
        <v>#NUM!</v>
      </c>
      <c r="W37" s="229" t="s">
        <v>151</v>
      </c>
      <c r="Y37" s="232">
        <f>Comps!R71</f>
        <v>6.0395990408139699E-3</v>
      </c>
    </row>
    <row r="38" spans="1:25" x14ac:dyDescent="0.2">
      <c r="A38" s="9"/>
      <c r="B38" s="65">
        <v>1995</v>
      </c>
      <c r="C38" s="59">
        <v>6.1199999999999997E-2</v>
      </c>
      <c r="D38" s="59">
        <v>2.3E-2</v>
      </c>
      <c r="E38" s="64">
        <v>615.92999999999995</v>
      </c>
      <c r="F38" s="11"/>
      <c r="G38" s="65">
        <v>1980</v>
      </c>
      <c r="H38" s="71">
        <v>16.401769999999999</v>
      </c>
      <c r="I38" s="60">
        <v>135.76</v>
      </c>
      <c r="J38" s="72">
        <f t="shared" si="0"/>
        <v>-0.11093113625483089</v>
      </c>
      <c r="K38" s="78">
        <f t="shared" si="1"/>
        <v>0.25773577913655726</v>
      </c>
      <c r="N38" s="183"/>
      <c r="O38" s="253"/>
      <c r="Q38" s="182" t="s">
        <v>26</v>
      </c>
      <c r="R38" s="253">
        <f>BS!S67</f>
        <v>0.21442979808254981</v>
      </c>
      <c r="T38" s="158" t="s">
        <v>191</v>
      </c>
      <c r="U38" s="232" t="e">
        <f>CF!Q73</f>
        <v>#NUM!</v>
      </c>
      <c r="W38" s="229" t="s">
        <v>152</v>
      </c>
      <c r="Y38" s="232">
        <f>Comps!R72</f>
        <v>-2.1393820949295872E-2</v>
      </c>
    </row>
    <row r="39" spans="1:25" x14ac:dyDescent="0.2">
      <c r="A39" s="9"/>
      <c r="B39" s="65">
        <v>1996</v>
      </c>
      <c r="C39" s="59">
        <v>5.4899999999999997E-2</v>
      </c>
      <c r="D39" s="59">
        <v>2.01E-2</v>
      </c>
      <c r="E39" s="64">
        <v>740.74</v>
      </c>
      <c r="F39" s="11"/>
      <c r="G39" s="65">
        <v>1981</v>
      </c>
      <c r="H39" s="71">
        <v>15.385994</v>
      </c>
      <c r="I39" s="60">
        <v>122.55</v>
      </c>
      <c r="J39" s="72">
        <f t="shared" si="0"/>
        <v>-6.1930876972424255E-2</v>
      </c>
      <c r="K39" s="78">
        <f t="shared" si="1"/>
        <v>-9.730406599882141E-2</v>
      </c>
      <c r="N39" s="182" t="s">
        <v>11</v>
      </c>
      <c r="O39" s="253"/>
      <c r="Q39" s="182" t="s">
        <v>27</v>
      </c>
      <c r="R39" s="26" t="e">
        <f>BS!S68</f>
        <v>#NUM!</v>
      </c>
      <c r="T39" s="158"/>
      <c r="U39" s="232"/>
      <c r="W39" s="229"/>
      <c r="Y39" s="232"/>
    </row>
    <row r="40" spans="1:25" x14ac:dyDescent="0.2">
      <c r="A40" s="9"/>
      <c r="B40" s="65">
        <v>1997</v>
      </c>
      <c r="C40" s="59">
        <v>4.5400000000000003E-2</v>
      </c>
      <c r="D40" s="59">
        <v>1.6E-2</v>
      </c>
      <c r="E40" s="64">
        <v>970.43</v>
      </c>
      <c r="F40" s="11"/>
      <c r="G40" s="65">
        <v>1982</v>
      </c>
      <c r="H40" s="71">
        <v>15.20674</v>
      </c>
      <c r="I40" s="60">
        <v>140.63999999999999</v>
      </c>
      <c r="J40" s="72">
        <f t="shared" si="0"/>
        <v>-1.16504660017416E-2</v>
      </c>
      <c r="K40" s="78">
        <f t="shared" si="1"/>
        <v>0.14761321909424716</v>
      </c>
      <c r="N40" s="184" t="s">
        <v>12</v>
      </c>
      <c r="O40" s="253">
        <f>IS!F88</f>
        <v>1.8989161433730528E-2</v>
      </c>
      <c r="Q40" s="182" t="s">
        <v>10</v>
      </c>
      <c r="R40" s="253">
        <f>BS!S69</f>
        <v>0.4363310799757798</v>
      </c>
      <c r="T40" s="157" t="s">
        <v>177</v>
      </c>
      <c r="U40" s="232" t="e">
        <f>CF!Q75</f>
        <v>#NUM!</v>
      </c>
      <c r="W40" s="230" t="s">
        <v>153</v>
      </c>
      <c r="Y40" s="232"/>
    </row>
    <row r="41" spans="1:25" x14ac:dyDescent="0.2">
      <c r="A41" s="9"/>
      <c r="B41" s="65">
        <v>1998</v>
      </c>
      <c r="C41" s="59">
        <v>3.5999999999999997E-2</v>
      </c>
      <c r="D41" s="59">
        <v>1.32E-2</v>
      </c>
      <c r="E41" s="64">
        <v>1229.23</v>
      </c>
      <c r="F41" s="11"/>
      <c r="G41" s="65">
        <v>1983</v>
      </c>
      <c r="H41" s="71">
        <v>23.631692999999999</v>
      </c>
      <c r="I41" s="60">
        <v>164.93</v>
      </c>
      <c r="J41" s="72">
        <f t="shared" si="0"/>
        <v>0.55402755620205246</v>
      </c>
      <c r="K41" s="78">
        <f t="shared" si="1"/>
        <v>0.17271046643913554</v>
      </c>
      <c r="N41" s="184" t="s">
        <v>13</v>
      </c>
      <c r="O41" s="253">
        <f>IS!F89</f>
        <v>1.8305223520091785E-2</v>
      </c>
      <c r="Q41" s="186" t="s">
        <v>28</v>
      </c>
      <c r="R41" s="253">
        <f>BS!S70</f>
        <v>0.20937891950862109</v>
      </c>
      <c r="T41" s="158"/>
      <c r="U41" s="232"/>
      <c r="W41" s="229" t="s">
        <v>136</v>
      </c>
      <c r="Y41" s="232">
        <f>Comps!R75</f>
        <v>2.4832301325111938E-2</v>
      </c>
    </row>
    <row r="42" spans="1:25" x14ac:dyDescent="0.2">
      <c r="A42" s="9"/>
      <c r="B42" s="65">
        <v>1999</v>
      </c>
      <c r="C42" s="59">
        <v>3.5200000000000002E-2</v>
      </c>
      <c r="D42" s="59">
        <v>1.14E-2</v>
      </c>
      <c r="E42" s="64">
        <v>1469.25</v>
      </c>
      <c r="F42" s="11"/>
      <c r="G42" s="65">
        <v>1984</v>
      </c>
      <c r="H42" s="71">
        <v>27.276529</v>
      </c>
      <c r="I42" s="60">
        <v>167.24</v>
      </c>
      <c r="J42" s="72">
        <f t="shared" si="0"/>
        <v>0.15423507744451495</v>
      </c>
      <c r="K42" s="78">
        <f t="shared" si="1"/>
        <v>1.4005941914751727E-2</v>
      </c>
      <c r="N42" s="184" t="s">
        <v>133</v>
      </c>
      <c r="O42" s="253"/>
      <c r="Q42" s="182"/>
      <c r="R42" s="253"/>
      <c r="T42" s="158" t="s">
        <v>178</v>
      </c>
      <c r="U42" s="232" t="e">
        <f>CF!Q77</f>
        <v>#NUM!</v>
      </c>
      <c r="W42" s="229" t="s">
        <v>154</v>
      </c>
      <c r="Y42" s="232">
        <f>Comps!R76</f>
        <v>0.1047075660999448</v>
      </c>
    </row>
    <row r="43" spans="1:25" x14ac:dyDescent="0.2">
      <c r="A43" s="9"/>
      <c r="B43" s="65">
        <v>2000</v>
      </c>
      <c r="C43" s="59">
        <v>4.2500000000000003E-2</v>
      </c>
      <c r="D43" s="59">
        <v>1.23E-2</v>
      </c>
      <c r="E43" s="64">
        <v>1320.28</v>
      </c>
      <c r="F43" s="11"/>
      <c r="G43" s="65">
        <v>1985</v>
      </c>
      <c r="H43" s="71">
        <v>32.594405999999999</v>
      </c>
      <c r="I43" s="60">
        <v>211.28</v>
      </c>
      <c r="J43" s="72">
        <f t="shared" si="0"/>
        <v>0.19496164632970711</v>
      </c>
      <c r="K43" s="78">
        <f t="shared" si="1"/>
        <v>0.26333413059076771</v>
      </c>
      <c r="N43" s="182" t="s">
        <v>14</v>
      </c>
      <c r="O43" s="253"/>
      <c r="Q43" s="157" t="s">
        <v>29</v>
      </c>
      <c r="R43" s="253">
        <f>BS!S72</f>
        <v>0.17235614232275109</v>
      </c>
      <c r="T43" s="158" t="s">
        <v>192</v>
      </c>
      <c r="U43" s="232"/>
      <c r="W43" s="229" t="s">
        <v>108</v>
      </c>
      <c r="Y43" s="232">
        <f>Comps!R77</f>
        <v>1.894367533027097E-2</v>
      </c>
    </row>
    <row r="44" spans="1:25" x14ac:dyDescent="0.2">
      <c r="A44" s="9"/>
      <c r="B44" s="65">
        <v>2001</v>
      </c>
      <c r="C44" s="59">
        <v>3.3799999999999997E-2</v>
      </c>
      <c r="D44" s="59">
        <v>1.37E-2</v>
      </c>
      <c r="E44" s="64">
        <v>1148.0899999999999</v>
      </c>
      <c r="F44" s="11"/>
      <c r="G44" s="65">
        <v>1986</v>
      </c>
      <c r="H44" s="71">
        <v>36.20937</v>
      </c>
      <c r="I44" s="60">
        <v>242.17</v>
      </c>
      <c r="J44" s="72">
        <f t="shared" si="0"/>
        <v>0.11090749743989814</v>
      </c>
      <c r="K44" s="78">
        <f t="shared" si="1"/>
        <v>0.1462040893600908</v>
      </c>
      <c r="N44" s="184" t="s">
        <v>12</v>
      </c>
      <c r="O44" s="253">
        <f>IS!F92</f>
        <v>0.17230381015397112</v>
      </c>
      <c r="Q44" s="183"/>
      <c r="R44" s="26"/>
      <c r="T44" s="158" t="s">
        <v>193</v>
      </c>
      <c r="U44" s="232" t="e">
        <f>CF!Q79</f>
        <v>#NUM!</v>
      </c>
      <c r="W44" s="229" t="s">
        <v>106</v>
      </c>
      <c r="Y44" s="232">
        <f>Comps!R78</f>
        <v>2.5097686574439004E-2</v>
      </c>
    </row>
    <row r="45" spans="1:25" x14ac:dyDescent="0.2">
      <c r="A45" s="9"/>
      <c r="B45" s="65">
        <v>2002</v>
      </c>
      <c r="C45" s="59">
        <v>5.2299999999999999E-2</v>
      </c>
      <c r="D45" s="59">
        <v>1.8100000000000002E-2</v>
      </c>
      <c r="E45" s="64">
        <v>879.82</v>
      </c>
      <c r="F45" s="11"/>
      <c r="G45" s="65">
        <v>1987</v>
      </c>
      <c r="H45" s="71">
        <v>30.771989999999999</v>
      </c>
      <c r="I45" s="60">
        <v>247.08</v>
      </c>
      <c r="J45" s="72">
        <f t="shared" si="0"/>
        <v>-0.15016499872822978</v>
      </c>
      <c r="K45" s="78">
        <f t="shared" si="1"/>
        <v>2.0275013420324669E-2</v>
      </c>
      <c r="N45" s="184" t="s">
        <v>13</v>
      </c>
      <c r="O45" s="253">
        <f>IS!F93</f>
        <v>0.17309118019150849</v>
      </c>
      <c r="Q45" s="182"/>
      <c r="R45" s="26"/>
      <c r="T45" s="158" t="s">
        <v>196</v>
      </c>
      <c r="U45" s="232" t="e">
        <f>CF!Q80</f>
        <v>#NUM!</v>
      </c>
      <c r="W45" s="229" t="s">
        <v>155</v>
      </c>
      <c r="Y45" s="232">
        <f>Comps!R79</f>
        <v>4.8279324544620028E-3</v>
      </c>
    </row>
    <row r="46" spans="1:25" ht="17" thickBot="1" x14ac:dyDescent="0.25">
      <c r="A46" s="9"/>
      <c r="B46" s="65">
        <v>2003</v>
      </c>
      <c r="C46" s="59">
        <v>4.9200000000000001E-2</v>
      </c>
      <c r="D46" s="59">
        <v>1.61E-2</v>
      </c>
      <c r="E46" s="64">
        <v>1111.9100000000001</v>
      </c>
      <c r="F46" s="11"/>
      <c r="G46" s="65">
        <v>1988</v>
      </c>
      <c r="H46" s="71">
        <v>26.858270999999998</v>
      </c>
      <c r="I46" s="60">
        <v>277.72000000000003</v>
      </c>
      <c r="J46" s="72">
        <f t="shared" si="0"/>
        <v>-0.12718446223334925</v>
      </c>
      <c r="K46" s="78">
        <f t="shared" si="1"/>
        <v>0.12400841832604829</v>
      </c>
      <c r="N46" s="182"/>
      <c r="O46" s="253"/>
      <c r="Q46" s="182" t="s">
        <v>0</v>
      </c>
      <c r="R46" s="26"/>
      <c r="T46" s="158"/>
      <c r="U46" s="232"/>
      <c r="W46" s="231" t="s">
        <v>156</v>
      </c>
      <c r="X46" s="28"/>
      <c r="Y46" s="233">
        <f>Comps!R80</f>
        <v>9.8359981541942032E-2</v>
      </c>
    </row>
    <row r="47" spans="1:25" x14ac:dyDescent="0.2">
      <c r="A47" s="9"/>
      <c r="B47" s="65">
        <v>2004</v>
      </c>
      <c r="C47" s="59">
        <v>5.5800000000000002E-2</v>
      </c>
      <c r="D47" s="59">
        <v>1.5699999999999999E-2</v>
      </c>
      <c r="E47" s="64">
        <v>1211.92</v>
      </c>
      <c r="F47" s="11"/>
      <c r="G47" s="65">
        <v>1989</v>
      </c>
      <c r="H47" s="71">
        <v>31.220123000000001</v>
      </c>
      <c r="I47" s="60">
        <v>353.4</v>
      </c>
      <c r="J47" s="72">
        <f t="shared" si="0"/>
        <v>0.16240256120730939</v>
      </c>
      <c r="K47" s="78">
        <f t="shared" si="1"/>
        <v>0.27250468097364233</v>
      </c>
      <c r="N47" s="182" t="s">
        <v>16</v>
      </c>
      <c r="O47" s="253">
        <f>IS!F95</f>
        <v>0.11303909636499299</v>
      </c>
      <c r="Q47" s="182" t="s">
        <v>30</v>
      </c>
      <c r="R47" s="26"/>
      <c r="T47" s="158"/>
      <c r="U47" s="232"/>
    </row>
    <row r="48" spans="1:25" x14ac:dyDescent="0.2">
      <c r="A48" s="9"/>
      <c r="B48" s="65">
        <v>2005</v>
      </c>
      <c r="C48" s="59">
        <v>6.1199999999999997E-2</v>
      </c>
      <c r="D48" s="59">
        <v>1.7899999999999999E-2</v>
      </c>
      <c r="E48" s="64">
        <v>1248.29</v>
      </c>
      <c r="F48" s="11"/>
      <c r="G48" s="65">
        <v>1990</v>
      </c>
      <c r="H48" s="71">
        <v>23.571940999999999</v>
      </c>
      <c r="I48" s="60">
        <v>330.22</v>
      </c>
      <c r="J48" s="72">
        <f t="shared" si="0"/>
        <v>-0.24497603676961816</v>
      </c>
      <c r="K48" s="78">
        <f t="shared" si="1"/>
        <v>-6.5591397849462232E-2</v>
      </c>
      <c r="N48" s="182"/>
      <c r="O48" s="253"/>
      <c r="Q48" s="184" t="s">
        <v>31</v>
      </c>
      <c r="R48" s="26"/>
      <c r="T48" s="158"/>
      <c r="U48" s="232"/>
    </row>
    <row r="49" spans="1:21" x14ac:dyDescent="0.2">
      <c r="A49" s="9"/>
      <c r="B49" s="65">
        <v>2006</v>
      </c>
      <c r="C49" s="59">
        <v>6.1800000000000001E-2</v>
      </c>
      <c r="D49" s="59">
        <v>1.77E-2</v>
      </c>
      <c r="E49" s="64">
        <v>1418.3</v>
      </c>
      <c r="F49" s="11"/>
      <c r="G49" s="65">
        <v>1991</v>
      </c>
      <c r="H49" s="71">
        <v>30.293977999999999</v>
      </c>
      <c r="I49" s="60">
        <v>417.09</v>
      </c>
      <c r="J49" s="72">
        <f t="shared" si="0"/>
        <v>0.28517112782523935</v>
      </c>
      <c r="K49" s="78">
        <f t="shared" si="1"/>
        <v>0.26306704621161631</v>
      </c>
      <c r="N49" s="182" t="s">
        <v>15</v>
      </c>
      <c r="O49" s="253">
        <f>IS!F97</f>
        <v>0.19485868032703579</v>
      </c>
      <c r="Q49" s="182" t="s">
        <v>32</v>
      </c>
      <c r="R49" s="26" t="e">
        <f>BS!S78</f>
        <v>#NUM!</v>
      </c>
      <c r="T49" s="158"/>
      <c r="U49" s="232"/>
    </row>
    <row r="50" spans="1:21" x14ac:dyDescent="0.2">
      <c r="A50" s="9"/>
      <c r="B50" s="65">
        <v>2007</v>
      </c>
      <c r="C50" s="59">
        <v>5.62E-2</v>
      </c>
      <c r="D50" s="59">
        <v>1.9199999999999998E-2</v>
      </c>
      <c r="E50" s="64">
        <v>1468.36</v>
      </c>
      <c r="F50" s="11"/>
      <c r="G50" s="65">
        <v>1992</v>
      </c>
      <c r="H50" s="71">
        <v>21.510515000000002</v>
      </c>
      <c r="I50" s="60">
        <v>435.71</v>
      </c>
      <c r="J50" s="72">
        <f t="shared" si="0"/>
        <v>-0.28994089188286853</v>
      </c>
      <c r="K50" s="78">
        <f t="shared" si="1"/>
        <v>4.4642643074636182E-2</v>
      </c>
      <c r="N50" s="182"/>
      <c r="O50" s="253"/>
      <c r="Q50" s="182" t="s">
        <v>33</v>
      </c>
      <c r="R50" s="253">
        <f>BS!S79</f>
        <v>6.0549080682706924E-2</v>
      </c>
      <c r="T50" s="158"/>
      <c r="U50" s="232"/>
    </row>
    <row r="51" spans="1:21" ht="17" thickBot="1" x14ac:dyDescent="0.25">
      <c r="A51" s="9"/>
      <c r="B51" s="65">
        <v>2008</v>
      </c>
      <c r="C51" s="59">
        <v>5.4800000000000001E-2</v>
      </c>
      <c r="D51" s="59">
        <v>3.15E-2</v>
      </c>
      <c r="E51" s="64">
        <v>903.25</v>
      </c>
      <c r="F51" s="11"/>
      <c r="G51" s="65">
        <v>1993</v>
      </c>
      <c r="H51" s="71">
        <v>12.308795</v>
      </c>
      <c r="I51" s="60">
        <v>466.45</v>
      </c>
      <c r="J51" s="72">
        <f t="shared" si="0"/>
        <v>-0.4277777635728387</v>
      </c>
      <c r="K51" s="78">
        <f t="shared" si="1"/>
        <v>7.0551513621445475E-2</v>
      </c>
      <c r="N51" s="185" t="s">
        <v>17</v>
      </c>
      <c r="O51" s="254">
        <f>IS!F99</f>
        <v>-9.1164559147109525E-2</v>
      </c>
      <c r="Q51" s="182" t="s">
        <v>34</v>
      </c>
      <c r="R51" s="26" t="e">
        <f>BS!S80</f>
        <v>#NUM!</v>
      </c>
      <c r="T51" s="157" t="s">
        <v>179</v>
      </c>
      <c r="U51" s="232" t="e">
        <f>CF!Q86</f>
        <v>#NUM!</v>
      </c>
    </row>
    <row r="52" spans="1:21" x14ac:dyDescent="0.2">
      <c r="A52" s="9"/>
      <c r="B52" s="65">
        <v>2009</v>
      </c>
      <c r="C52" s="59">
        <v>5.0999999999999997E-2</v>
      </c>
      <c r="D52" s="59">
        <v>1.9699999999999999E-2</v>
      </c>
      <c r="E52" s="64">
        <v>1115.0999999999999</v>
      </c>
      <c r="F52" s="11"/>
      <c r="G52" s="65">
        <v>1994</v>
      </c>
      <c r="H52" s="71">
        <v>13.503824</v>
      </c>
      <c r="I52" s="60">
        <v>459.27</v>
      </c>
      <c r="J52" s="72">
        <f t="shared" si="0"/>
        <v>9.7087407825055164E-2</v>
      </c>
      <c r="K52" s="78">
        <f t="shared" si="1"/>
        <v>-1.5392860971165198E-2</v>
      </c>
      <c r="Q52" s="182" t="s">
        <v>35</v>
      </c>
      <c r="R52" s="253">
        <f>BS!S81</f>
        <v>0.17795151014699351</v>
      </c>
      <c r="T52" s="158"/>
      <c r="U52" s="232"/>
    </row>
    <row r="53" spans="1:21" x14ac:dyDescent="0.2">
      <c r="A53" s="9"/>
      <c r="B53" s="65">
        <v>2010</v>
      </c>
      <c r="C53" s="59">
        <v>6.6600000000000006E-2</v>
      </c>
      <c r="D53" s="59">
        <v>1.7999999999999999E-2</v>
      </c>
      <c r="E53" s="64">
        <v>1257.6400000000001</v>
      </c>
      <c r="F53" s="11"/>
      <c r="G53" s="65">
        <v>1995</v>
      </c>
      <c r="H53" s="71">
        <v>17.238289000000002</v>
      </c>
      <c r="I53" s="60">
        <v>615.92999999999995</v>
      </c>
      <c r="J53" s="72">
        <f t="shared" si="0"/>
        <v>0.27654870205654353</v>
      </c>
      <c r="K53" s="78">
        <f t="shared" si="1"/>
        <v>0.34110653863740276</v>
      </c>
      <c r="Q53" s="182" t="s">
        <v>42</v>
      </c>
      <c r="R53" s="26" t="e">
        <f>BS!S82</f>
        <v>#NUM!</v>
      </c>
      <c r="T53" s="158" t="s">
        <v>180</v>
      </c>
      <c r="U53" s="232" t="e">
        <f>CF!Q88</f>
        <v>#NUM!</v>
      </c>
    </row>
    <row r="54" spans="1:21" x14ac:dyDescent="0.2">
      <c r="A54" s="9"/>
      <c r="B54" s="65">
        <v>2011</v>
      </c>
      <c r="C54" s="59">
        <v>7.6700000000000004E-2</v>
      </c>
      <c r="D54" s="59">
        <v>2.1100000000000001E-2</v>
      </c>
      <c r="E54" s="64">
        <v>1257.5999999999999</v>
      </c>
      <c r="F54" s="11"/>
      <c r="G54" s="65">
        <v>1996</v>
      </c>
      <c r="H54" s="71">
        <v>25.932120999999999</v>
      </c>
      <c r="I54" s="60">
        <v>740.74</v>
      </c>
      <c r="J54" s="72">
        <f t="shared" si="0"/>
        <v>0.50433265157580287</v>
      </c>
      <c r="K54" s="78">
        <f t="shared" si="1"/>
        <v>0.20263666325718843</v>
      </c>
      <c r="Q54" s="182" t="s">
        <v>10</v>
      </c>
      <c r="R54" s="253">
        <f>BS!S83</f>
        <v>0.54621013334657276</v>
      </c>
      <c r="T54" s="158" t="s">
        <v>181</v>
      </c>
      <c r="U54" s="232" t="e">
        <f>CF!Q89</f>
        <v>#NUM!</v>
      </c>
    </row>
    <row r="55" spans="1:21" x14ac:dyDescent="0.2">
      <c r="A55" s="9"/>
      <c r="B55" s="65">
        <v>2012</v>
      </c>
      <c r="C55" s="59">
        <v>6.7900000000000002E-2</v>
      </c>
      <c r="D55" s="59">
        <v>2.1899999999999999E-2</v>
      </c>
      <c r="E55" s="64">
        <v>1426.19</v>
      </c>
      <c r="F55" s="11"/>
      <c r="G55" s="65">
        <v>1997</v>
      </c>
      <c r="H55" s="71">
        <v>37.494025999999998</v>
      </c>
      <c r="I55" s="60">
        <v>970.43</v>
      </c>
      <c r="J55" s="72">
        <f t="shared" si="0"/>
        <v>0.44585265509134403</v>
      </c>
      <c r="K55" s="78">
        <f t="shared" si="1"/>
        <v>0.31008181008181002</v>
      </c>
      <c r="Q55" s="186" t="s">
        <v>28</v>
      </c>
      <c r="R55" s="253">
        <f>BS!S84</f>
        <v>0.30977073871788963</v>
      </c>
      <c r="T55" s="158" t="s">
        <v>182</v>
      </c>
      <c r="U55" s="232" t="e">
        <f>CF!Q90</f>
        <v>#NUM!</v>
      </c>
    </row>
    <row r="56" spans="1:21" x14ac:dyDescent="0.2">
      <c r="A56" s="9"/>
      <c r="B56" s="65">
        <v>2013</v>
      </c>
      <c r="C56" s="59">
        <v>5.6800000000000003E-2</v>
      </c>
      <c r="D56" s="59">
        <v>1.89E-2</v>
      </c>
      <c r="E56" s="64">
        <v>1848.36</v>
      </c>
      <c r="F56" s="11"/>
      <c r="G56" s="65">
        <v>1998</v>
      </c>
      <c r="H56" s="71">
        <v>47.203631999999999</v>
      </c>
      <c r="I56" s="60">
        <v>1229.23</v>
      </c>
      <c r="J56" s="72">
        <f t="shared" si="0"/>
        <v>0.25896408137125637</v>
      </c>
      <c r="K56" s="78">
        <f t="shared" si="1"/>
        <v>0.2666859021258618</v>
      </c>
      <c r="Q56" s="184" t="s">
        <v>36</v>
      </c>
      <c r="R56" s="253"/>
      <c r="T56" s="158" t="s">
        <v>183</v>
      </c>
      <c r="U56" s="232">
        <f>CF!Q91</f>
        <v>0</v>
      </c>
    </row>
    <row r="57" spans="1:21" x14ac:dyDescent="0.2">
      <c r="A57" s="9"/>
      <c r="B57" s="65">
        <v>2014</v>
      </c>
      <c r="C57" s="59">
        <v>5.6399999999999999E-2</v>
      </c>
      <c r="D57" s="59">
        <v>1.9199999999999998E-2</v>
      </c>
      <c r="E57" s="64">
        <v>2058.9</v>
      </c>
      <c r="F57" s="11"/>
      <c r="G57" s="65">
        <v>1999</v>
      </c>
      <c r="H57" s="71">
        <v>87.595603999999994</v>
      </c>
      <c r="I57" s="60">
        <v>1469.25</v>
      </c>
      <c r="J57" s="72">
        <f t="shared" si="0"/>
        <v>0.8556962735409851</v>
      </c>
      <c r="K57" s="78">
        <f t="shared" si="1"/>
        <v>0.19526044759727632</v>
      </c>
      <c r="Q57" s="182" t="s">
        <v>37</v>
      </c>
      <c r="R57" s="253">
        <f>BS!S86</f>
        <v>0.21028602947066788</v>
      </c>
      <c r="T57" s="158"/>
      <c r="U57" s="232"/>
    </row>
    <row r="58" spans="1:21" x14ac:dyDescent="0.2">
      <c r="A58" s="9"/>
      <c r="B58" s="65">
        <v>2015</v>
      </c>
      <c r="C58" s="59">
        <v>4.9200000000000001E-2</v>
      </c>
      <c r="D58" s="59">
        <v>2.12E-2</v>
      </c>
      <c r="E58" s="64">
        <v>2043.94</v>
      </c>
      <c r="F58" s="11"/>
      <c r="G58" s="65">
        <v>2000</v>
      </c>
      <c r="H58" s="71">
        <v>107.313576</v>
      </c>
      <c r="I58" s="60">
        <v>1320.28</v>
      </c>
      <c r="J58" s="72">
        <f t="shared" si="0"/>
        <v>0.22510230079582538</v>
      </c>
      <c r="K58" s="78">
        <f t="shared" si="1"/>
        <v>-0.10139186659860475</v>
      </c>
      <c r="Q58" s="182" t="s">
        <v>38</v>
      </c>
      <c r="R58" s="26" t="e">
        <f>BS!S87</f>
        <v>#NUM!</v>
      </c>
      <c r="T58" s="179" t="s">
        <v>190</v>
      </c>
      <c r="U58" s="232">
        <f>CF!Q93</f>
        <v>0.22647694922540018</v>
      </c>
    </row>
    <row r="59" spans="1:21" x14ac:dyDescent="0.2">
      <c r="A59" s="9"/>
      <c r="B59" s="65">
        <v>2016</v>
      </c>
      <c r="C59" s="59">
        <v>4.7500000000000001E-2</v>
      </c>
      <c r="D59" s="59">
        <v>2.0400000000000001E-2</v>
      </c>
      <c r="E59" s="64">
        <v>2238.83</v>
      </c>
      <c r="F59" s="12"/>
      <c r="G59" s="65">
        <v>2001</v>
      </c>
      <c r="H59" s="73">
        <v>107.07456999999999</v>
      </c>
      <c r="I59" s="60">
        <v>1148.0899999999999</v>
      </c>
      <c r="J59" s="72">
        <f t="shared" si="0"/>
        <v>-2.227173941161027E-3</v>
      </c>
      <c r="K59" s="78">
        <f t="shared" si="1"/>
        <v>-0.13041930499591001</v>
      </c>
      <c r="Q59" s="182" t="s">
        <v>39</v>
      </c>
      <c r="R59" s="26" t="e">
        <f>BS!S88</f>
        <v>#NUM!</v>
      </c>
      <c r="T59" s="158"/>
      <c r="U59" s="232"/>
    </row>
    <row r="60" spans="1:21" x14ac:dyDescent="0.2">
      <c r="A60" s="9"/>
      <c r="B60" s="65">
        <v>2017</v>
      </c>
      <c r="C60" s="59">
        <v>4.6600000000000003E-2</v>
      </c>
      <c r="D60" s="59">
        <v>1.83E-2</v>
      </c>
      <c r="E60" s="64">
        <v>2673.61</v>
      </c>
      <c r="F60" s="12"/>
      <c r="G60" s="65">
        <v>2002</v>
      </c>
      <c r="H60" s="71">
        <v>103.14531700000001</v>
      </c>
      <c r="I60" s="60">
        <v>879.82</v>
      </c>
      <c r="J60" s="72">
        <f t="shared" si="0"/>
        <v>-3.6696416338631938E-2</v>
      </c>
      <c r="K60" s="78">
        <f t="shared" si="1"/>
        <v>-0.23366635019902612</v>
      </c>
      <c r="Q60" s="182" t="s">
        <v>41</v>
      </c>
      <c r="R60" s="26" t="e">
        <f>BS!S89</f>
        <v>#NUM!</v>
      </c>
      <c r="T60" s="158" t="s">
        <v>195</v>
      </c>
      <c r="U60" s="232">
        <f>CF!Q95</f>
        <v>0.20550112299236156</v>
      </c>
    </row>
    <row r="61" spans="1:21" x14ac:dyDescent="0.2">
      <c r="A61" s="9"/>
      <c r="B61" s="65">
        <v>2018</v>
      </c>
      <c r="C61" s="59">
        <v>5.9200000000000003E-2</v>
      </c>
      <c r="D61" s="59">
        <v>2.1399999999999999E-2</v>
      </c>
      <c r="E61" s="64">
        <v>2506.85</v>
      </c>
      <c r="F61" s="11"/>
      <c r="G61" s="65">
        <v>2003</v>
      </c>
      <c r="H61" s="71">
        <v>74.760993999999997</v>
      </c>
      <c r="I61" s="60">
        <v>1111.9100000000001</v>
      </c>
      <c r="J61" s="72">
        <f t="shared" si="0"/>
        <v>-0.2751877043530731</v>
      </c>
      <c r="K61" s="78">
        <f t="shared" si="1"/>
        <v>0.26379259393966947</v>
      </c>
      <c r="Q61" s="182" t="s">
        <v>10</v>
      </c>
      <c r="R61" s="253">
        <f>BS!S90</f>
        <v>0.44463976204426592</v>
      </c>
      <c r="T61" s="158"/>
      <c r="U61" s="232"/>
    </row>
    <row r="62" spans="1:21" x14ac:dyDescent="0.2">
      <c r="A62" s="9"/>
      <c r="B62" s="65">
        <v>2019</v>
      </c>
      <c r="C62" s="59">
        <v>5.0299999999999997E-2</v>
      </c>
      <c r="D62" s="59">
        <v>1.8200000000000001E-2</v>
      </c>
      <c r="E62" s="64">
        <v>3230.78</v>
      </c>
      <c r="F62" s="13"/>
      <c r="G62" s="65">
        <v>2004</v>
      </c>
      <c r="H62" s="71">
        <v>94.866157999999999</v>
      </c>
      <c r="I62" s="60">
        <v>1211.92</v>
      </c>
      <c r="J62" s="72">
        <f t="shared" si="0"/>
        <v>0.26892585189544166</v>
      </c>
      <c r="K62" s="78">
        <f t="shared" si="1"/>
        <v>8.9944330026710775E-2</v>
      </c>
      <c r="Q62" s="157" t="s">
        <v>28</v>
      </c>
      <c r="R62" s="253">
        <f>BS!S91</f>
        <v>0.16030994404846166</v>
      </c>
      <c r="T62" s="158" t="s">
        <v>168</v>
      </c>
      <c r="U62" s="232">
        <f>CF!Q97</f>
        <v>0.19375679391536504</v>
      </c>
    </row>
    <row r="63" spans="1:21" x14ac:dyDescent="0.2">
      <c r="A63" s="9"/>
      <c r="B63" s="66">
        <v>2020</v>
      </c>
      <c r="C63" s="62">
        <v>3.6799999999999999E-2</v>
      </c>
      <c r="D63" s="62">
        <v>1.5100000000000001E-2</v>
      </c>
      <c r="E63" s="67">
        <v>3756.07</v>
      </c>
      <c r="F63" s="14"/>
      <c r="G63" s="65">
        <v>2005</v>
      </c>
      <c r="H63" s="71">
        <v>89.311661000000001</v>
      </c>
      <c r="I63" s="60">
        <v>1248.29</v>
      </c>
      <c r="J63" s="72">
        <f t="shared" si="0"/>
        <v>-5.855087965088665E-2</v>
      </c>
      <c r="K63" s="78">
        <f t="shared" si="1"/>
        <v>3.0010231698461853E-2</v>
      </c>
      <c r="Q63" s="182"/>
      <c r="R63" s="253"/>
      <c r="T63" s="158"/>
      <c r="U63" s="232"/>
    </row>
    <row r="64" spans="1:21" ht="17" thickBot="1" x14ac:dyDescent="0.25">
      <c r="A64" s="9"/>
      <c r="B64" s="66">
        <v>2021</v>
      </c>
      <c r="C64" s="62">
        <v>4.3299999999999998E-2</v>
      </c>
      <c r="D64" s="62">
        <v>1.24E-2</v>
      </c>
      <c r="E64" s="67">
        <v>4766.18</v>
      </c>
      <c r="F64" s="14"/>
      <c r="G64" s="65">
        <v>2006</v>
      </c>
      <c r="H64" s="71">
        <v>77.724663000000007</v>
      </c>
      <c r="I64" s="60">
        <v>1418.3</v>
      </c>
      <c r="J64" s="72">
        <f t="shared" si="0"/>
        <v>-0.12973667570688216</v>
      </c>
      <c r="K64" s="78">
        <f t="shared" si="1"/>
        <v>0.13619431382130753</v>
      </c>
      <c r="Q64" s="157" t="s">
        <v>44</v>
      </c>
      <c r="R64" s="253">
        <f>BS!S93</f>
        <v>0.17742486487840559</v>
      </c>
      <c r="T64" s="180" t="s">
        <v>200</v>
      </c>
      <c r="U64" s="233">
        <f>CF!Q99</f>
        <v>0.17334056425080235</v>
      </c>
    </row>
    <row r="65" spans="1:18" x14ac:dyDescent="0.2">
      <c r="A65" s="9"/>
      <c r="B65" s="66">
        <v>2022</v>
      </c>
      <c r="C65" s="62">
        <v>5.7200000000000001E-2</v>
      </c>
      <c r="D65" s="62">
        <v>1.78E-2</v>
      </c>
      <c r="E65" s="67">
        <v>3839.5</v>
      </c>
      <c r="F65" s="14"/>
      <c r="G65" s="65">
        <v>2007</v>
      </c>
      <c r="H65" s="71">
        <v>94.789672999999993</v>
      </c>
      <c r="I65" s="60">
        <v>1468.36</v>
      </c>
      <c r="J65" s="72">
        <f t="shared" si="0"/>
        <v>0.21955720798686493</v>
      </c>
      <c r="K65" s="78">
        <f t="shared" si="1"/>
        <v>3.529577663399841E-2</v>
      </c>
      <c r="Q65" s="157" t="s">
        <v>43</v>
      </c>
      <c r="R65" s="253">
        <f>BS!S94</f>
        <v>0.16531808831432482</v>
      </c>
    </row>
    <row r="66" spans="1:18" ht="17" thickBot="1" x14ac:dyDescent="0.25">
      <c r="A66" s="9"/>
      <c r="B66" s="68">
        <v>2023</v>
      </c>
      <c r="C66" s="69">
        <v>4.6100000000000002E-2</v>
      </c>
      <c r="D66" s="69">
        <v>1.47E-2</v>
      </c>
      <c r="E66" s="70">
        <v>4769.83</v>
      </c>
      <c r="F66" s="14"/>
      <c r="G66" s="65">
        <v>2008</v>
      </c>
      <c r="H66" s="71">
        <v>102.39962</v>
      </c>
      <c r="I66" s="60">
        <v>903.25</v>
      </c>
      <c r="J66" s="72">
        <f t="shared" si="0"/>
        <v>8.0282448067945184E-2</v>
      </c>
      <c r="K66" s="78">
        <f t="shared" si="1"/>
        <v>-0.38485793674575713</v>
      </c>
      <c r="Q66" s="182"/>
      <c r="R66" s="253"/>
    </row>
    <row r="67" spans="1:18" x14ac:dyDescent="0.2">
      <c r="A67" s="9"/>
      <c r="B67" s="6"/>
      <c r="C67" s="6"/>
      <c r="D67" s="6"/>
      <c r="E67" s="6"/>
      <c r="F67" s="7"/>
      <c r="G67" s="65">
        <v>2009</v>
      </c>
      <c r="H67" s="37">
        <v>87.619499000000005</v>
      </c>
      <c r="I67" s="60">
        <v>1115.0999999999999</v>
      </c>
      <c r="J67" s="72">
        <f t="shared" si="0"/>
        <v>-0.14433765476864069</v>
      </c>
      <c r="K67" s="78">
        <f t="shared" si="1"/>
        <v>0.23454193191253794</v>
      </c>
      <c r="Q67" s="157" t="s">
        <v>45</v>
      </c>
      <c r="R67" s="253">
        <f>BS!S96</f>
        <v>0.17235614232275109</v>
      </c>
    </row>
    <row r="68" spans="1:18" ht="17" thickBot="1" x14ac:dyDescent="0.25">
      <c r="A68" s="9"/>
      <c r="D68" s="6"/>
      <c r="E68" s="6"/>
      <c r="F68" s="7"/>
      <c r="G68" s="65">
        <v>2010</v>
      </c>
      <c r="H68" s="37">
        <v>117.007645</v>
      </c>
      <c r="I68" s="60">
        <v>1257.6400000000001</v>
      </c>
      <c r="J68" s="72">
        <f t="shared" si="0"/>
        <v>0.33540646015335002</v>
      </c>
      <c r="K68" s="78">
        <f t="shared" si="1"/>
        <v>0.12782710070845682</v>
      </c>
      <c r="Q68" s="185"/>
      <c r="R68" s="35"/>
    </row>
    <row r="69" spans="1:18" x14ac:dyDescent="0.2">
      <c r="A69" s="9"/>
      <c r="D69" s="6"/>
      <c r="E69" s="6"/>
      <c r="F69" s="7"/>
      <c r="G69" s="65">
        <v>2011</v>
      </c>
      <c r="H69" s="37">
        <v>154.87571700000001</v>
      </c>
      <c r="I69" s="60">
        <v>1257.5999999999999</v>
      </c>
      <c r="J69" s="72">
        <f t="shared" si="0"/>
        <v>0.3236375879541889</v>
      </c>
      <c r="K69" s="78">
        <f t="shared" si="1"/>
        <v>-3.1805604147602644E-5</v>
      </c>
    </row>
    <row r="70" spans="1:18" x14ac:dyDescent="0.2">
      <c r="A70" s="9"/>
      <c r="D70" s="6"/>
      <c r="E70" s="6"/>
      <c r="F70" s="7"/>
      <c r="G70" s="65">
        <v>2012</v>
      </c>
      <c r="H70" s="37">
        <v>184.13002</v>
      </c>
      <c r="I70" s="60">
        <v>1426.19</v>
      </c>
      <c r="J70" s="72">
        <f t="shared" si="0"/>
        <v>0.18888889469999995</v>
      </c>
      <c r="K70" s="78">
        <f t="shared" si="1"/>
        <v>0.13405693384223932</v>
      </c>
    </row>
    <row r="71" spans="1:18" x14ac:dyDescent="0.2">
      <c r="A71" s="9"/>
      <c r="D71" s="6"/>
      <c r="E71" s="6"/>
      <c r="F71" s="7"/>
      <c r="G71" s="65">
        <v>2013</v>
      </c>
      <c r="H71" s="37">
        <v>194.13957199999999</v>
      </c>
      <c r="I71" s="60">
        <v>1848.36</v>
      </c>
      <c r="J71" s="72">
        <f t="shared" si="0"/>
        <v>5.436132576317531E-2</v>
      </c>
      <c r="K71" s="78">
        <f t="shared" si="1"/>
        <v>0.29601245275874871</v>
      </c>
    </row>
    <row r="72" spans="1:18" x14ac:dyDescent="0.2">
      <c r="A72" s="9"/>
      <c r="D72" s="6"/>
      <c r="E72" s="6"/>
      <c r="F72" s="7"/>
      <c r="G72" s="65">
        <v>2014</v>
      </c>
      <c r="H72" s="37">
        <v>168.91014100000001</v>
      </c>
      <c r="I72" s="60">
        <v>2058.9</v>
      </c>
      <c r="J72" s="72">
        <f t="shared" si="0"/>
        <v>-0.12995511806320445</v>
      </c>
      <c r="K72" s="78">
        <f t="shared" si="1"/>
        <v>0.11390638187366109</v>
      </c>
      <c r="N72">
        <v>1</v>
      </c>
    </row>
    <row r="73" spans="1:18" x14ac:dyDescent="0.2">
      <c r="A73" s="9"/>
      <c r="D73" s="6"/>
      <c r="E73" s="6"/>
      <c r="F73" s="7"/>
      <c r="G73" s="65">
        <v>2015</v>
      </c>
      <c r="H73" s="37">
        <v>146.567871</v>
      </c>
      <c r="I73" s="60">
        <v>2043.94</v>
      </c>
      <c r="J73" s="72">
        <f t="shared" si="0"/>
        <v>-0.13227311200930211</v>
      </c>
      <c r="K73" s="78">
        <f t="shared" si="1"/>
        <v>-7.2660158336976229E-3</v>
      </c>
      <c r="N73">
        <v>2</v>
      </c>
    </row>
    <row r="74" spans="1:18" x14ac:dyDescent="0.2">
      <c r="A74" s="9"/>
      <c r="D74" s="6"/>
      <c r="E74" s="6"/>
      <c r="F74" s="7"/>
      <c r="G74" s="65">
        <v>2016</v>
      </c>
      <c r="H74" s="37">
        <v>119.30210099999999</v>
      </c>
      <c r="I74" s="60">
        <v>2238.83</v>
      </c>
      <c r="J74" s="72">
        <f t="shared" si="0"/>
        <v>-0.18602828719535677</v>
      </c>
      <c r="K74" s="78">
        <f t="shared" si="1"/>
        <v>9.5350157049619785E-2</v>
      </c>
    </row>
    <row r="75" spans="1:18" x14ac:dyDescent="0.2">
      <c r="A75" s="9"/>
      <c r="D75" s="6"/>
      <c r="E75" s="6"/>
      <c r="F75" s="7"/>
      <c r="G75" s="65">
        <v>2017</v>
      </c>
      <c r="H75" s="37">
        <v>166.845123</v>
      </c>
      <c r="I75" s="60">
        <v>2673.61</v>
      </c>
      <c r="J75" s="72">
        <f t="shared" si="0"/>
        <v>0.39850951158018594</v>
      </c>
      <c r="K75" s="78">
        <f t="shared" si="1"/>
        <v>0.19419964892376831</v>
      </c>
    </row>
    <row r="76" spans="1:18" x14ac:dyDescent="0.2">
      <c r="A76" s="9"/>
      <c r="D76" s="6"/>
      <c r="E76" s="6"/>
      <c r="F76" s="7"/>
      <c r="G76" s="65">
        <v>2018</v>
      </c>
      <c r="H76" s="37">
        <v>156.50096099999999</v>
      </c>
      <c r="I76" s="60">
        <v>2506.85</v>
      </c>
      <c r="J76" s="72">
        <f t="shared" si="0"/>
        <v>-6.1998587756143232E-2</v>
      </c>
      <c r="K76" s="78">
        <f t="shared" si="1"/>
        <v>-6.2372597349650928E-2</v>
      </c>
    </row>
    <row r="77" spans="1:18" x14ac:dyDescent="0.2">
      <c r="A77" s="9"/>
      <c r="D77" s="6"/>
      <c r="E77" s="6"/>
      <c r="F77" s="7"/>
      <c r="G77" s="65">
        <v>2019</v>
      </c>
      <c r="H77" s="37">
        <v>128.50860599999999</v>
      </c>
      <c r="I77" s="60">
        <v>3230.78</v>
      </c>
      <c r="J77" s="72">
        <f t="shared" si="0"/>
        <v>-0.1788637898523831</v>
      </c>
      <c r="K77" s="78">
        <f t="shared" si="1"/>
        <v>0.28878074077028953</v>
      </c>
    </row>
    <row r="78" spans="1:18" x14ac:dyDescent="0.2">
      <c r="A78" s="9"/>
      <c r="D78" s="6"/>
      <c r="E78" s="6"/>
      <c r="F78" s="7"/>
      <c r="G78" s="66">
        <v>2020</v>
      </c>
      <c r="H78" s="37">
        <v>137.40917999999999</v>
      </c>
      <c r="I78" s="61">
        <v>3756.07</v>
      </c>
      <c r="J78" s="72">
        <f t="shared" si="0"/>
        <v>6.9260528746222697E-2</v>
      </c>
      <c r="K78" s="78">
        <f t="shared" si="1"/>
        <v>0.16258921994069542</v>
      </c>
    </row>
    <row r="79" spans="1:18" x14ac:dyDescent="0.2">
      <c r="A79" s="9"/>
      <c r="D79" s="6"/>
      <c r="E79" s="6"/>
      <c r="F79" s="7"/>
      <c r="G79" s="66">
        <v>2021</v>
      </c>
      <c r="H79" s="37">
        <v>113.87189499999999</v>
      </c>
      <c r="I79" s="61">
        <v>4766.18</v>
      </c>
      <c r="J79" s="72">
        <f t="shared" si="0"/>
        <v>-0.17129339539032254</v>
      </c>
      <c r="K79" s="78">
        <f t="shared" si="1"/>
        <v>0.268927362908572</v>
      </c>
    </row>
    <row r="80" spans="1:18" x14ac:dyDescent="0.2">
      <c r="A80" s="9"/>
      <c r="D80" s="6"/>
      <c r="E80" s="6"/>
      <c r="F80" s="7"/>
      <c r="G80" s="66">
        <v>2022</v>
      </c>
      <c r="H80" s="37">
        <v>133.570007</v>
      </c>
      <c r="I80" s="61">
        <v>3839.5</v>
      </c>
      <c r="J80" s="72">
        <f t="shared" si="0"/>
        <v>0.17298484406534212</v>
      </c>
      <c r="K80" s="78">
        <f t="shared" si="1"/>
        <v>-0.19442824232404152</v>
      </c>
    </row>
    <row r="81" spans="1:29" ht="17" thickBot="1" x14ac:dyDescent="0.25">
      <c r="A81" s="9"/>
      <c r="B81" s="6"/>
      <c r="C81" s="6"/>
      <c r="D81" s="6"/>
      <c r="E81" s="6"/>
      <c r="F81" s="7"/>
      <c r="G81" s="116">
        <v>2023</v>
      </c>
      <c r="H81" s="117">
        <v>134.729996</v>
      </c>
      <c r="I81" s="118">
        <v>4769.83</v>
      </c>
      <c r="J81" s="119">
        <f t="shared" si="0"/>
        <v>8.6845020529196792E-3</v>
      </c>
      <c r="K81" s="120">
        <f t="shared" si="1"/>
        <v>0.24230498762859745</v>
      </c>
    </row>
    <row r="82" spans="1:29" x14ac:dyDescent="0.2">
      <c r="A82" s="9"/>
      <c r="B82" s="6"/>
      <c r="C82" s="6"/>
      <c r="D82" s="6"/>
      <c r="E82" s="6"/>
      <c r="F82" s="7"/>
      <c r="O82" s="302" t="s">
        <v>197</v>
      </c>
      <c r="P82" s="303"/>
      <c r="Q82" s="303"/>
      <c r="R82" s="303"/>
      <c r="S82" s="304"/>
    </row>
    <row r="83" spans="1:29" x14ac:dyDescent="0.2">
      <c r="A83" s="9"/>
      <c r="B83" s="6"/>
      <c r="C83" s="6"/>
      <c r="D83" s="6"/>
      <c r="E83" s="6"/>
      <c r="F83" s="7"/>
      <c r="O83" s="305"/>
      <c r="P83" s="306"/>
      <c r="Q83" s="306"/>
      <c r="R83" s="306"/>
      <c r="S83" s="307"/>
    </row>
    <row r="84" spans="1:29" ht="17" thickBot="1" x14ac:dyDescent="0.25">
      <c r="A84" s="9"/>
      <c r="B84" s="6"/>
      <c r="C84" s="6"/>
      <c r="D84" s="6"/>
      <c r="E84" s="6"/>
      <c r="F84" s="7"/>
      <c r="O84" s="308"/>
      <c r="P84" s="309"/>
      <c r="Q84" s="309"/>
      <c r="R84" s="309"/>
      <c r="S84" s="310"/>
    </row>
    <row r="85" spans="1:29" ht="16" customHeight="1" x14ac:dyDescent="0.2">
      <c r="A85" s="9"/>
      <c r="B85" s="6"/>
      <c r="C85" s="6"/>
      <c r="D85" s="6"/>
      <c r="E85" s="6"/>
      <c r="F85" s="7"/>
      <c r="G85" s="293" t="s">
        <v>206</v>
      </c>
      <c r="H85" s="294"/>
      <c r="I85" s="294"/>
      <c r="J85" s="294"/>
      <c r="K85" s="294"/>
      <c r="L85" s="294"/>
      <c r="M85" s="295"/>
      <c r="O85" s="16" t="s">
        <v>121</v>
      </c>
      <c r="P85" s="23" t="s">
        <v>204</v>
      </c>
      <c r="Q85" s="23" t="s">
        <v>119</v>
      </c>
      <c r="R85" s="23" t="s">
        <v>205</v>
      </c>
      <c r="S85" s="24" t="s">
        <v>120</v>
      </c>
      <c r="U85" s="284" t="s">
        <v>169</v>
      </c>
      <c r="V85" s="285"/>
      <c r="W85" s="285"/>
      <c r="X85" s="285"/>
      <c r="Y85" s="285"/>
      <c r="Z85" s="285"/>
      <c r="AA85" s="286"/>
    </row>
    <row r="86" spans="1:29" ht="16" customHeight="1" x14ac:dyDescent="0.2">
      <c r="A86" s="9"/>
      <c r="B86" s="6"/>
      <c r="C86" s="6"/>
      <c r="D86" s="6"/>
      <c r="E86" s="6"/>
      <c r="F86" s="87"/>
      <c r="G86" s="296"/>
      <c r="H86" s="297"/>
      <c r="I86" s="297"/>
      <c r="J86" s="297"/>
      <c r="K86" s="297"/>
      <c r="L86" s="297"/>
      <c r="M86" s="298"/>
      <c r="O86" s="105"/>
      <c r="P86" cm="1">
        <f t="array" ref="P86">INDEX($K$89:$K$149,ROWS(K89:$K$149))</f>
        <v>30.52</v>
      </c>
      <c r="Q86" cm="1">
        <f t="array" ref="Q86">INDEX($Y$89:$Y$149,ROWS(Y89:$Y$149))</f>
        <v>321.73</v>
      </c>
      <c r="S86" s="25"/>
      <c r="U86" s="287"/>
      <c r="V86" s="288"/>
      <c r="W86" s="288"/>
      <c r="X86" s="288"/>
      <c r="Y86" s="288"/>
      <c r="Z86" s="288"/>
      <c r="AA86" s="289"/>
    </row>
    <row r="87" spans="1:29" ht="19" customHeight="1" thickBot="1" x14ac:dyDescent="0.25">
      <c r="A87" s="9"/>
      <c r="B87" s="6"/>
      <c r="C87" s="6"/>
      <c r="D87" s="6"/>
      <c r="E87" s="6"/>
      <c r="F87" s="7"/>
      <c r="G87" s="299"/>
      <c r="H87" s="300"/>
      <c r="I87" s="300"/>
      <c r="J87" s="300"/>
      <c r="K87" s="300"/>
      <c r="L87" s="300"/>
      <c r="M87" s="301"/>
      <c r="O87" s="108">
        <v>1</v>
      </c>
      <c r="P87" cm="1">
        <f t="array" ref="P87">INDEX($K$89:$K$149,ROWS(K91:$K$149))</f>
        <v>23.71</v>
      </c>
      <c r="Q87" cm="1">
        <f t="array" ref="Q87">INDEX($Y$89:$Y$149,ROWS(Y90:$Y$149))</f>
        <v>296.26</v>
      </c>
      <c r="R87" s="121">
        <f>(P87-P86)/P86</f>
        <v>-0.22313237221494098</v>
      </c>
      <c r="S87" s="122">
        <f>(Q87-Q86)/Q86</f>
        <v>-7.9165760109408595E-2</v>
      </c>
      <c r="U87" s="290"/>
      <c r="V87" s="291"/>
      <c r="W87" s="291"/>
      <c r="X87" s="291"/>
      <c r="Y87" s="291"/>
      <c r="Z87" s="291"/>
      <c r="AA87" s="292"/>
    </row>
    <row r="88" spans="1:29" ht="18" x14ac:dyDescent="0.2">
      <c r="A88" s="9"/>
      <c r="B88" s="6"/>
      <c r="C88" s="6"/>
      <c r="D88" s="6"/>
      <c r="E88" s="6"/>
      <c r="F88" s="7"/>
      <c r="G88" s="167" t="s">
        <v>76</v>
      </c>
      <c r="H88" s="168" t="s">
        <v>116</v>
      </c>
      <c r="I88" s="168" t="s">
        <v>117</v>
      </c>
      <c r="J88" s="168" t="s">
        <v>118</v>
      </c>
      <c r="K88" s="168" t="s">
        <v>201</v>
      </c>
      <c r="L88" s="168" t="s">
        <v>202</v>
      </c>
      <c r="M88" s="169" t="s">
        <v>203</v>
      </c>
      <c r="O88" s="105">
        <v>2</v>
      </c>
      <c r="P88" cm="1">
        <f t="array" ref="P88">INDEX($K$89:$K$149,ROWS(K92:$K$149))</f>
        <v>27.16</v>
      </c>
      <c r="Q88" cm="1">
        <f t="array" ref="Q88">INDEX($Y$89:$Y$149,ROWS(Y91:$Y$149))</f>
        <v>257.75</v>
      </c>
      <c r="R88" s="121">
        <f t="shared" ref="R88:R144" si="2">(P88-P87)/P87</f>
        <v>0.14550822437789959</v>
      </c>
      <c r="S88" s="122">
        <f t="shared" ref="S88:S144" si="3">(Q88-Q87)/Q87</f>
        <v>-0.129987173428745</v>
      </c>
      <c r="U88" s="164" t="s">
        <v>76</v>
      </c>
      <c r="V88" s="164" t="s">
        <v>116</v>
      </c>
      <c r="W88" s="164" t="s">
        <v>117</v>
      </c>
      <c r="X88" s="164" t="s">
        <v>118</v>
      </c>
      <c r="Y88" s="164" t="s">
        <v>201</v>
      </c>
      <c r="Z88" s="164" t="s">
        <v>202</v>
      </c>
      <c r="AA88" s="164" t="s">
        <v>203</v>
      </c>
      <c r="AC88">
        <f>COUNT(K89:K149)</f>
        <v>61</v>
      </c>
    </row>
    <row r="89" spans="1:29" ht="18" x14ac:dyDescent="0.2">
      <c r="A89" s="9"/>
      <c r="B89" s="6"/>
      <c r="C89" s="6"/>
      <c r="D89" s="6"/>
      <c r="E89" s="6"/>
      <c r="F89" s="7"/>
      <c r="G89" s="114">
        <v>45646</v>
      </c>
      <c r="H89" s="109">
        <v>220.36</v>
      </c>
      <c r="I89" s="109">
        <v>230.29</v>
      </c>
      <c r="J89" s="109">
        <v>218.91</v>
      </c>
      <c r="K89" s="109">
        <v>220.79</v>
      </c>
      <c r="L89" s="109">
        <v>220.79</v>
      </c>
      <c r="M89" s="110">
        <v>130578098</v>
      </c>
      <c r="O89" s="108">
        <v>3</v>
      </c>
      <c r="P89" cm="1">
        <f t="array" ref="P89">INDEX($K$89:$K$149,ROWS(K93:$K$149))</f>
        <v>29.13</v>
      </c>
      <c r="Q89" cm="1">
        <f t="array" ref="Q89">INDEX($Y$89:$Y$149,ROWS(Y92:$Y$149))</f>
        <v>290.48</v>
      </c>
      <c r="R89" s="121">
        <f t="shared" si="2"/>
        <v>7.2533136966126621E-2</v>
      </c>
      <c r="S89" s="122">
        <f t="shared" si="3"/>
        <v>0.12698351115421927</v>
      </c>
      <c r="U89" s="165">
        <v>45646</v>
      </c>
      <c r="V89" s="109">
        <v>581.77</v>
      </c>
      <c r="W89" s="109">
        <v>595.75</v>
      </c>
      <c r="X89" s="109">
        <v>580.91</v>
      </c>
      <c r="Y89" s="109">
        <v>591.15</v>
      </c>
      <c r="Z89" s="109">
        <v>591.15</v>
      </c>
      <c r="AA89" s="166">
        <v>124010430</v>
      </c>
    </row>
    <row r="90" spans="1:29" ht="18" x14ac:dyDescent="0.2">
      <c r="A90" s="9"/>
      <c r="B90" s="6"/>
      <c r="C90" s="6"/>
      <c r="D90" s="6"/>
      <c r="E90" s="6"/>
      <c r="F90" s="7"/>
      <c r="G90" s="114">
        <v>45627</v>
      </c>
      <c r="H90" s="109">
        <v>162.94999999999999</v>
      </c>
      <c r="I90" s="109">
        <v>251.88</v>
      </c>
      <c r="J90" s="109">
        <v>162.75</v>
      </c>
      <c r="K90" s="109">
        <v>220.79</v>
      </c>
      <c r="L90" s="109">
        <v>220.79</v>
      </c>
      <c r="M90" s="110">
        <v>784346200</v>
      </c>
      <c r="O90" s="108">
        <v>4</v>
      </c>
      <c r="P90" cm="1">
        <f t="array" ref="P90">INDEX($K$89:$K$149,ROWS(K94:$K$149))</f>
        <v>31.56</v>
      </c>
      <c r="Q90" cm="1">
        <f t="array" ref="Q90">INDEX($Y$89:$Y$149,ROWS(Y93:$Y$149))</f>
        <v>304.32</v>
      </c>
      <c r="R90" s="121">
        <f t="shared" si="2"/>
        <v>8.3419155509783724E-2</v>
      </c>
      <c r="S90" s="122">
        <f t="shared" si="3"/>
        <v>4.7645276783255211E-2</v>
      </c>
      <c r="U90" s="165">
        <v>45627</v>
      </c>
      <c r="V90" s="109">
        <v>602.97</v>
      </c>
      <c r="W90" s="109">
        <v>609.07000000000005</v>
      </c>
      <c r="X90" s="109">
        <v>580.91</v>
      </c>
      <c r="Y90" s="109">
        <v>591.15</v>
      </c>
      <c r="Z90" s="109">
        <v>589.16999999999996</v>
      </c>
      <c r="AA90" s="166">
        <v>748720100</v>
      </c>
    </row>
    <row r="91" spans="1:29" ht="18" x14ac:dyDescent="0.2">
      <c r="A91" s="9"/>
      <c r="B91" s="6"/>
      <c r="C91" s="6"/>
      <c r="D91" s="6"/>
      <c r="E91" s="6"/>
      <c r="F91" s="7"/>
      <c r="G91" s="114">
        <v>45597</v>
      </c>
      <c r="H91" s="109">
        <v>168.26</v>
      </c>
      <c r="I91" s="109">
        <v>185.05</v>
      </c>
      <c r="J91" s="109">
        <v>157.54</v>
      </c>
      <c r="K91" s="109">
        <v>162.08000000000001</v>
      </c>
      <c r="L91" s="109">
        <v>162.08000000000001</v>
      </c>
      <c r="M91" s="110">
        <v>362675300</v>
      </c>
      <c r="O91" s="108">
        <v>5</v>
      </c>
      <c r="P91" cm="1">
        <f t="array" ref="P91">INDEX($K$89:$K$149,ROWS(K95:$K$149))</f>
        <v>31.67</v>
      </c>
      <c r="Q91" cm="1">
        <f t="array" ref="Q91">INDEX($Y$89:$Y$149,ROWS(Y94:$Y$149))</f>
        <v>308.36</v>
      </c>
      <c r="R91" s="121">
        <f t="shared" si="2"/>
        <v>3.4854245880862797E-3</v>
      </c>
      <c r="S91" s="122">
        <f t="shared" si="3"/>
        <v>1.3275499474237713E-2</v>
      </c>
      <c r="U91" s="165">
        <v>45597</v>
      </c>
      <c r="V91" s="109">
        <v>571.32000000000005</v>
      </c>
      <c r="W91" s="109">
        <v>603.35</v>
      </c>
      <c r="X91" s="109">
        <v>567.89</v>
      </c>
      <c r="Y91" s="109">
        <v>602.54999999999995</v>
      </c>
      <c r="Z91" s="109">
        <v>600.53</v>
      </c>
      <c r="AA91" s="166">
        <v>901843000</v>
      </c>
    </row>
    <row r="92" spans="1:29" ht="18" x14ac:dyDescent="0.2">
      <c r="A92" s="9"/>
      <c r="B92" s="6"/>
      <c r="C92" s="6"/>
      <c r="D92" s="6"/>
      <c r="E92" s="6"/>
      <c r="F92" s="7"/>
      <c r="G92" s="114">
        <v>45566</v>
      </c>
      <c r="H92" s="109">
        <v>172.16</v>
      </c>
      <c r="I92" s="109">
        <v>186.42</v>
      </c>
      <c r="J92" s="109">
        <v>165.8</v>
      </c>
      <c r="K92" s="109">
        <v>169.77</v>
      </c>
      <c r="L92" s="109">
        <v>169.77</v>
      </c>
      <c r="M92" s="110">
        <v>440173000</v>
      </c>
      <c r="O92" s="105">
        <v>6</v>
      </c>
      <c r="P92" cm="1">
        <f t="array" ref="P92">INDEX($K$89:$K$149,ROWS(K95:$K$149))</f>
        <v>31.67</v>
      </c>
      <c r="Q92" cm="1">
        <f t="array" ref="Q92">INDEX($Y$89:$Y$149,ROWS(Y95:$Y$149))</f>
        <v>326.52</v>
      </c>
      <c r="R92" s="121">
        <f t="shared" si="2"/>
        <v>0</v>
      </c>
      <c r="S92" s="122">
        <f t="shared" si="3"/>
        <v>5.8892203917498921E-2</v>
      </c>
      <c r="U92" s="165">
        <v>45566</v>
      </c>
      <c r="V92" s="109">
        <v>573.4</v>
      </c>
      <c r="W92" s="109">
        <v>586.12</v>
      </c>
      <c r="X92" s="109">
        <v>565.27</v>
      </c>
      <c r="Y92" s="109">
        <v>568.64</v>
      </c>
      <c r="Z92" s="109">
        <v>566.73</v>
      </c>
      <c r="AA92" s="166">
        <v>976068800</v>
      </c>
    </row>
    <row r="93" spans="1:29" ht="18" x14ac:dyDescent="0.2">
      <c r="A93" s="9"/>
      <c r="B93" s="6"/>
      <c r="C93" s="6"/>
      <c r="D93" s="6"/>
      <c r="E93" s="6"/>
      <c r="F93" s="7"/>
      <c r="G93" s="114">
        <v>45536</v>
      </c>
      <c r="H93" s="109">
        <v>160.38</v>
      </c>
      <c r="I93" s="109">
        <v>180.25</v>
      </c>
      <c r="J93" s="109">
        <v>134.9</v>
      </c>
      <c r="K93" s="109">
        <v>172.5</v>
      </c>
      <c r="L93" s="109">
        <v>171.93</v>
      </c>
      <c r="M93" s="110">
        <v>693234800</v>
      </c>
      <c r="O93" s="108">
        <v>7</v>
      </c>
      <c r="P93" cm="1">
        <f t="array" ref="P93">INDEX($K$89:$K$149,ROWS(K96:$K$149))</f>
        <v>34.72</v>
      </c>
      <c r="Q93" cm="1">
        <f t="array" ref="Q93">INDEX($Y$89:$Y$149,ROWS(Y96:$Y$149))</f>
        <v>349.31</v>
      </c>
      <c r="R93" s="121">
        <f t="shared" si="2"/>
        <v>9.6305652036627623E-2</v>
      </c>
      <c r="S93" s="122">
        <f t="shared" si="3"/>
        <v>6.9796643390910268E-2</v>
      </c>
      <c r="U93" s="165">
        <v>45536</v>
      </c>
      <c r="V93" s="109">
        <v>558.35</v>
      </c>
      <c r="W93" s="109">
        <v>574.71</v>
      </c>
      <c r="X93" s="109">
        <v>539.44000000000005</v>
      </c>
      <c r="Y93" s="109">
        <v>573.76</v>
      </c>
      <c r="Z93" s="109">
        <v>570.09</v>
      </c>
      <c r="AA93" s="166">
        <v>1045061400</v>
      </c>
    </row>
    <row r="94" spans="1:29" ht="18" x14ac:dyDescent="0.2">
      <c r="A94" s="9"/>
      <c r="B94" s="6"/>
      <c r="C94" s="6"/>
      <c r="D94" s="6"/>
      <c r="E94" s="6"/>
      <c r="F94" s="7"/>
      <c r="G94" s="114">
        <v>45505</v>
      </c>
      <c r="H94" s="109">
        <v>157.5</v>
      </c>
      <c r="I94" s="109">
        <v>172.42</v>
      </c>
      <c r="J94" s="109">
        <v>128.5</v>
      </c>
      <c r="K94" s="109">
        <v>162.82</v>
      </c>
      <c r="L94" s="109">
        <v>162.29</v>
      </c>
      <c r="M94" s="110">
        <v>529951400</v>
      </c>
      <c r="O94" s="108">
        <v>8</v>
      </c>
      <c r="P94" cm="1">
        <f t="array" ref="P94">INDEX($K$89:$K$149,ROWS(K97:$K$149))</f>
        <v>36.43</v>
      </c>
      <c r="Q94" cm="1">
        <f t="array" ref="Q94">INDEX($Y$89:$Y$149,ROWS(Y97:$Y$149))</f>
        <v>334.89</v>
      </c>
      <c r="R94" s="121">
        <f t="shared" si="2"/>
        <v>4.9251152073732749E-2</v>
      </c>
      <c r="S94" s="122">
        <f t="shared" si="3"/>
        <v>-4.1281383298502811E-2</v>
      </c>
      <c r="U94" s="165">
        <v>45505</v>
      </c>
      <c r="V94" s="109">
        <v>552.57000000000005</v>
      </c>
      <c r="W94" s="109">
        <v>564.20000000000005</v>
      </c>
      <c r="X94" s="109">
        <v>510.27</v>
      </c>
      <c r="Y94" s="109">
        <v>563.67999999999995</v>
      </c>
      <c r="Z94" s="109">
        <v>560.07000000000005</v>
      </c>
      <c r="AA94" s="166">
        <v>1244599000</v>
      </c>
    </row>
    <row r="95" spans="1:29" ht="18" x14ac:dyDescent="0.2">
      <c r="A95" s="9"/>
      <c r="B95" s="6"/>
      <c r="C95" s="6"/>
      <c r="D95" s="6"/>
      <c r="E95" s="6"/>
      <c r="F95" s="7"/>
      <c r="G95" s="114">
        <v>45474</v>
      </c>
      <c r="H95" s="109">
        <v>160.82</v>
      </c>
      <c r="I95" s="109">
        <v>177.1</v>
      </c>
      <c r="J95" s="109">
        <v>143.35</v>
      </c>
      <c r="K95" s="109">
        <v>160.68</v>
      </c>
      <c r="L95" s="109">
        <v>160.15</v>
      </c>
      <c r="M95" s="110">
        <v>747793200</v>
      </c>
      <c r="O95" s="108">
        <v>9</v>
      </c>
      <c r="P95" cm="1">
        <f t="array" ref="P95">INDEX($K$89:$K$149,ROWS(K98:$K$149))</f>
        <v>34.96</v>
      </c>
      <c r="Q95" cm="1">
        <f t="array" ref="Q95">INDEX($Y$89:$Y$149,ROWS(Y98:$Y$149))</f>
        <v>326.54000000000002</v>
      </c>
      <c r="R95" s="121">
        <f t="shared" si="2"/>
        <v>-4.0351358770244275E-2</v>
      </c>
      <c r="S95" s="122">
        <f t="shared" si="3"/>
        <v>-2.4933560273522549E-2</v>
      </c>
      <c r="U95" s="165">
        <v>45474</v>
      </c>
      <c r="V95" s="109">
        <v>545.63</v>
      </c>
      <c r="W95" s="109">
        <v>565.16</v>
      </c>
      <c r="X95" s="109">
        <v>537.45000000000005</v>
      </c>
      <c r="Y95" s="109">
        <v>550.80999999999995</v>
      </c>
      <c r="Z95" s="109">
        <v>547.28</v>
      </c>
      <c r="AA95" s="166">
        <v>1038465500</v>
      </c>
    </row>
    <row r="96" spans="1:29" ht="18" x14ac:dyDescent="0.2">
      <c r="A96" s="9"/>
      <c r="B96" s="6"/>
      <c r="C96" s="6"/>
      <c r="D96" s="6"/>
      <c r="E96" s="6"/>
      <c r="F96" s="7"/>
      <c r="G96" s="114">
        <v>45444</v>
      </c>
      <c r="H96" s="109">
        <v>135.27000000000001</v>
      </c>
      <c r="I96" s="109">
        <v>185.16</v>
      </c>
      <c r="J96" s="109">
        <v>130.25</v>
      </c>
      <c r="K96" s="109">
        <v>160.55000000000001</v>
      </c>
      <c r="L96" s="109">
        <v>159.52000000000001</v>
      </c>
      <c r="M96" s="110">
        <v>1007064000</v>
      </c>
      <c r="O96" s="105">
        <v>10</v>
      </c>
      <c r="P96" cm="1">
        <f t="array" ref="P96">INDEX($K$89:$K$149,ROWS(K99:$K$149))</f>
        <v>40.159999999999997</v>
      </c>
      <c r="Q96" cm="1">
        <f t="array" ref="Q96">INDEX($Y$89:$Y$149,ROWS(Y99:$Y$149))</f>
        <v>362.06</v>
      </c>
      <c r="R96" s="121">
        <f t="shared" si="2"/>
        <v>0.14874141876430194</v>
      </c>
      <c r="S96" s="122">
        <f t="shared" si="3"/>
        <v>0.10877687266491082</v>
      </c>
      <c r="U96" s="165">
        <v>45444</v>
      </c>
      <c r="V96" s="109">
        <v>529.02</v>
      </c>
      <c r="W96" s="109">
        <v>550.28</v>
      </c>
      <c r="X96" s="109">
        <v>522.6</v>
      </c>
      <c r="Y96" s="109">
        <v>544.22</v>
      </c>
      <c r="Z96" s="109">
        <v>539</v>
      </c>
      <c r="AA96" s="166">
        <v>888923200</v>
      </c>
    </row>
    <row r="97" spans="1:27" ht="18" x14ac:dyDescent="0.2">
      <c r="A97" s="9"/>
      <c r="B97" s="6"/>
      <c r="C97" s="6"/>
      <c r="D97" s="6"/>
      <c r="E97" s="6"/>
      <c r="F97" s="7"/>
      <c r="G97" s="114">
        <v>45413</v>
      </c>
      <c r="H97" s="109">
        <v>127.83</v>
      </c>
      <c r="I97" s="109">
        <v>144.54</v>
      </c>
      <c r="J97" s="109">
        <v>122.33</v>
      </c>
      <c r="K97" s="109">
        <v>132.85</v>
      </c>
      <c r="L97" s="109">
        <v>132</v>
      </c>
      <c r="M97" s="110">
        <v>529550000</v>
      </c>
      <c r="O97" s="108">
        <v>11</v>
      </c>
      <c r="P97" cm="1">
        <f t="array" ref="P97">INDEX($K$89:$K$149,ROWS(K100:$K$149))</f>
        <v>43.78</v>
      </c>
      <c r="Q97" cm="1">
        <f t="array" ref="Q97">INDEX($Y$89:$Y$149,ROWS(Y100:$Y$149))</f>
        <v>373.88</v>
      </c>
      <c r="R97" s="121">
        <f t="shared" si="2"/>
        <v>9.0139442231075811E-2</v>
      </c>
      <c r="S97" s="122">
        <f t="shared" si="3"/>
        <v>3.2646522675799573E-2</v>
      </c>
      <c r="U97" s="165">
        <v>45413</v>
      </c>
      <c r="V97" s="109">
        <v>501.38</v>
      </c>
      <c r="W97" s="109">
        <v>533.07000000000005</v>
      </c>
      <c r="X97" s="109">
        <v>499.55</v>
      </c>
      <c r="Y97" s="109">
        <v>527.37</v>
      </c>
      <c r="Z97" s="109">
        <v>522.30999999999995</v>
      </c>
      <c r="AA97" s="166">
        <v>1153264400</v>
      </c>
    </row>
    <row r="98" spans="1:27" ht="18" x14ac:dyDescent="0.2">
      <c r="A98" s="9"/>
      <c r="B98" s="6"/>
      <c r="C98" s="6"/>
      <c r="D98" s="6"/>
      <c r="E98" s="6"/>
      <c r="F98" s="7"/>
      <c r="G98" s="114">
        <v>45383</v>
      </c>
      <c r="H98" s="109">
        <v>132.57</v>
      </c>
      <c r="I98" s="109">
        <v>140.4</v>
      </c>
      <c r="J98" s="109">
        <v>119.76</v>
      </c>
      <c r="K98" s="109">
        <v>130.03</v>
      </c>
      <c r="L98" s="109">
        <v>129.19</v>
      </c>
      <c r="M98" s="110">
        <v>524184000</v>
      </c>
      <c r="O98" s="108">
        <v>12</v>
      </c>
      <c r="P98" cm="1">
        <f t="array" ref="P98">INDEX($K$89:$K$149,ROWS(K101:$K$149))</f>
        <v>45.05</v>
      </c>
      <c r="Q98" cm="1">
        <f t="array" ref="Q98">INDEX($Y$89:$Y$149,ROWS(Y101:$Y$149))</f>
        <v>370.07</v>
      </c>
      <c r="R98" s="121">
        <f t="shared" si="2"/>
        <v>2.9008679762448517E-2</v>
      </c>
      <c r="S98" s="122">
        <f t="shared" si="3"/>
        <v>-1.0190435433829042E-2</v>
      </c>
      <c r="U98" s="165">
        <v>45383</v>
      </c>
      <c r="V98" s="109">
        <v>523.83000000000004</v>
      </c>
      <c r="W98" s="109">
        <v>524.38</v>
      </c>
      <c r="X98" s="109">
        <v>493.86</v>
      </c>
      <c r="Y98" s="109">
        <v>501.98</v>
      </c>
      <c r="Z98" s="109">
        <v>497.16</v>
      </c>
      <c r="AA98" s="166">
        <v>1592974000</v>
      </c>
    </row>
    <row r="99" spans="1:27" ht="18" x14ac:dyDescent="0.2">
      <c r="A99" s="9"/>
      <c r="B99" s="6"/>
      <c r="C99" s="6"/>
      <c r="D99" s="6"/>
      <c r="E99" s="6"/>
      <c r="F99" s="7"/>
      <c r="G99" s="114">
        <v>45352</v>
      </c>
      <c r="H99" s="109">
        <v>132.59</v>
      </c>
      <c r="I99" s="109">
        <v>143.82</v>
      </c>
      <c r="J99" s="109">
        <v>120.4</v>
      </c>
      <c r="K99" s="109">
        <v>132.54</v>
      </c>
      <c r="L99" s="109">
        <v>131.13</v>
      </c>
      <c r="M99" s="110">
        <v>826483000</v>
      </c>
      <c r="O99" s="108">
        <v>13</v>
      </c>
      <c r="P99" cm="1">
        <f t="array" ref="P99">INDEX($K$89:$K$149,ROWS(K102:$K$149))</f>
        <v>46.99</v>
      </c>
      <c r="Q99" cm="1">
        <f t="array" ref="Q99">INDEX($Y$89:$Y$149,ROWS(Y102:$Y$149))</f>
        <v>380.36</v>
      </c>
      <c r="R99" s="121">
        <f t="shared" si="2"/>
        <v>4.3063263041065593E-2</v>
      </c>
      <c r="S99" s="122">
        <f t="shared" si="3"/>
        <v>2.7805550301294404E-2</v>
      </c>
      <c r="U99" s="165">
        <v>45352</v>
      </c>
      <c r="V99" s="109">
        <v>508.98</v>
      </c>
      <c r="W99" s="109">
        <v>524.61</v>
      </c>
      <c r="X99" s="109">
        <v>504.91</v>
      </c>
      <c r="Y99" s="109">
        <v>523.07000000000005</v>
      </c>
      <c r="Z99" s="109">
        <v>516.45000000000005</v>
      </c>
      <c r="AA99" s="166">
        <v>1473246900</v>
      </c>
    </row>
    <row r="100" spans="1:27" ht="18" x14ac:dyDescent="0.2">
      <c r="A100" s="9"/>
      <c r="B100" s="6"/>
      <c r="C100" s="6"/>
      <c r="D100" s="6"/>
      <c r="E100" s="6"/>
      <c r="F100" s="7"/>
      <c r="G100" s="114">
        <v>45323</v>
      </c>
      <c r="H100" s="109">
        <v>118.74</v>
      </c>
      <c r="I100" s="109">
        <v>131.96</v>
      </c>
      <c r="J100" s="109">
        <v>117.91</v>
      </c>
      <c r="K100" s="109">
        <v>130.05000000000001</v>
      </c>
      <c r="L100" s="109">
        <v>128.66</v>
      </c>
      <c r="M100" s="110">
        <v>479832000</v>
      </c>
      <c r="O100" s="105">
        <v>14</v>
      </c>
      <c r="P100" cm="1">
        <f t="array" ref="P100">INDEX($K$89:$K$149,ROWS(K103:$K$149))</f>
        <v>46.37</v>
      </c>
      <c r="Q100" cm="1">
        <f t="array" ref="Q100">INDEX($Y$89:$Y$149,ROWS(Y103:$Y$149))</f>
        <v>396.33</v>
      </c>
      <c r="R100" s="121">
        <f>(P100-P99)/P99</f>
        <v>-1.3194296658863684E-2</v>
      </c>
      <c r="S100" s="122">
        <f t="shared" si="3"/>
        <v>4.1986539068251054E-2</v>
      </c>
      <c r="U100" s="165">
        <v>45323</v>
      </c>
      <c r="V100" s="109">
        <v>484.63</v>
      </c>
      <c r="W100" s="109">
        <v>510.13</v>
      </c>
      <c r="X100" s="109">
        <v>483.8</v>
      </c>
      <c r="Y100" s="109">
        <v>508.08</v>
      </c>
      <c r="Z100" s="109">
        <v>501.65</v>
      </c>
      <c r="AA100" s="166">
        <v>1393465400</v>
      </c>
    </row>
    <row r="101" spans="1:27" ht="18" x14ac:dyDescent="0.2">
      <c r="A101" s="9"/>
      <c r="B101" s="6"/>
      <c r="C101" s="6"/>
      <c r="D101" s="6"/>
      <c r="E101" s="6"/>
      <c r="F101" s="7"/>
      <c r="G101" s="114">
        <v>45292</v>
      </c>
      <c r="H101" s="109">
        <v>109.21</v>
      </c>
      <c r="I101" s="109">
        <v>128.46</v>
      </c>
      <c r="J101" s="109">
        <v>104.15</v>
      </c>
      <c r="K101" s="109">
        <v>118</v>
      </c>
      <c r="L101" s="109">
        <v>116.74</v>
      </c>
      <c r="M101" s="110">
        <v>582842000</v>
      </c>
      <c r="O101" s="108">
        <v>15</v>
      </c>
      <c r="P101" cm="1">
        <f t="array" ref="P101">INDEX($K$89:$K$149,ROWS(K104:$K$149))</f>
        <v>45.62</v>
      </c>
      <c r="Q101" cm="1">
        <f t="array" ref="Q101">INDEX($Y$89:$Y$149,ROWS(Y104:$Y$149))</f>
        <v>417.3</v>
      </c>
      <c r="R101" s="121">
        <f t="shared" si="2"/>
        <v>-1.6174250593055856E-2</v>
      </c>
      <c r="S101" s="122">
        <f t="shared" si="3"/>
        <v>5.291045341003716E-2</v>
      </c>
      <c r="U101" s="165">
        <v>45292</v>
      </c>
      <c r="V101" s="109">
        <v>472.16</v>
      </c>
      <c r="W101" s="109">
        <v>491.62</v>
      </c>
      <c r="X101" s="109">
        <v>466.43</v>
      </c>
      <c r="Y101" s="109">
        <v>482.88</v>
      </c>
      <c r="Z101" s="109">
        <v>476.76</v>
      </c>
      <c r="AA101" s="166">
        <v>1700630800</v>
      </c>
    </row>
    <row r="102" spans="1:27" ht="18" x14ac:dyDescent="0.2">
      <c r="A102" s="9"/>
      <c r="B102" s="6"/>
      <c r="C102" s="6"/>
      <c r="D102" s="6"/>
      <c r="E102" s="6"/>
      <c r="F102" s="7"/>
      <c r="G102" s="114">
        <v>45261</v>
      </c>
      <c r="H102" s="109">
        <v>92.25</v>
      </c>
      <c r="I102" s="109">
        <v>115.18</v>
      </c>
      <c r="J102" s="109">
        <v>90.31</v>
      </c>
      <c r="K102" s="109">
        <v>111.63</v>
      </c>
      <c r="L102" s="109">
        <v>109.93</v>
      </c>
      <c r="M102" s="110">
        <v>925405000</v>
      </c>
      <c r="O102" s="108">
        <v>16</v>
      </c>
      <c r="P102" cm="1">
        <f t="array" ref="P102">INDEX($K$89:$K$149,ROWS(K105:$K$149))</f>
        <v>47.23</v>
      </c>
      <c r="Q102" cm="1">
        <f t="array" ref="Q102">INDEX($Y$89:$Y$149,ROWS(Y105:$Y$149))</f>
        <v>420.04</v>
      </c>
      <c r="R102" s="121">
        <f t="shared" si="2"/>
        <v>3.5291538798772455E-2</v>
      </c>
      <c r="S102" s="122">
        <f t="shared" si="3"/>
        <v>6.566019650131821E-3</v>
      </c>
      <c r="U102" s="165">
        <v>45261</v>
      </c>
      <c r="V102" s="109">
        <v>455.77</v>
      </c>
      <c r="W102" s="109">
        <v>477.55</v>
      </c>
      <c r="X102" s="109">
        <v>454.31</v>
      </c>
      <c r="Y102" s="109">
        <v>475.31</v>
      </c>
      <c r="Z102" s="109">
        <v>467.4</v>
      </c>
      <c r="AA102" s="166">
        <v>1643108100</v>
      </c>
    </row>
    <row r="103" spans="1:27" ht="18" x14ac:dyDescent="0.2">
      <c r="A103" s="9"/>
      <c r="B103" s="6"/>
      <c r="C103" s="6"/>
      <c r="D103" s="6"/>
      <c r="E103" s="6"/>
      <c r="F103" s="7"/>
      <c r="G103" s="114">
        <v>45231</v>
      </c>
      <c r="H103" s="109">
        <v>84.2</v>
      </c>
      <c r="I103" s="109">
        <v>99.99</v>
      </c>
      <c r="J103" s="109">
        <v>83.56</v>
      </c>
      <c r="K103" s="109">
        <v>92.57</v>
      </c>
      <c r="L103" s="109">
        <v>91.17</v>
      </c>
      <c r="M103" s="110">
        <v>605942000</v>
      </c>
      <c r="O103" s="108">
        <v>17</v>
      </c>
      <c r="P103" cm="1">
        <f t="array" ref="P103">INDEX($K$89:$K$149,ROWS(K106:$K$149))</f>
        <v>47.68</v>
      </c>
      <c r="Q103" cm="1">
        <f t="array" ref="Q103">INDEX($Y$89:$Y$149,ROWS(Y106:$Y$149))</f>
        <v>428.06</v>
      </c>
      <c r="R103" s="121">
        <f t="shared" si="2"/>
        <v>9.527842473004507E-3</v>
      </c>
      <c r="S103" s="122">
        <f t="shared" si="3"/>
        <v>1.9093419674316686E-2</v>
      </c>
      <c r="U103" s="165">
        <v>45231</v>
      </c>
      <c r="V103" s="109">
        <v>419.2</v>
      </c>
      <c r="W103" s="109">
        <v>458.32</v>
      </c>
      <c r="X103" s="109">
        <v>418.65</v>
      </c>
      <c r="Y103" s="109">
        <v>456.4</v>
      </c>
      <c r="Z103" s="109">
        <v>448.8</v>
      </c>
      <c r="AA103" s="166">
        <v>1499960600</v>
      </c>
    </row>
    <row r="104" spans="1:27" ht="18" x14ac:dyDescent="0.2">
      <c r="A104" s="9"/>
      <c r="B104" s="6"/>
      <c r="C104" s="6"/>
      <c r="D104" s="6"/>
      <c r="E104" s="6"/>
      <c r="F104" s="7"/>
      <c r="G104" s="114">
        <v>45200</v>
      </c>
      <c r="H104" s="109">
        <v>82.91</v>
      </c>
      <c r="I104" s="109">
        <v>92.59</v>
      </c>
      <c r="J104" s="109">
        <v>80.89</v>
      </c>
      <c r="K104" s="109">
        <v>84.14</v>
      </c>
      <c r="L104" s="109">
        <v>82.86</v>
      </c>
      <c r="M104" s="110">
        <v>462210000</v>
      </c>
      <c r="O104" s="105">
        <v>18</v>
      </c>
      <c r="P104" cm="1">
        <f t="array" ref="P104">INDEX($K$89:$K$149,ROWS(K107:$K$149))</f>
        <v>48.54</v>
      </c>
      <c r="Q104" cm="1">
        <f t="array" ref="Q104">INDEX($Y$89:$Y$149,ROWS(Y107:$Y$149))</f>
        <v>438.51</v>
      </c>
      <c r="R104" s="121">
        <f t="shared" si="2"/>
        <v>1.803691275167784E-2</v>
      </c>
      <c r="S104" s="122">
        <f t="shared" si="3"/>
        <v>2.4412465542213681E-2</v>
      </c>
      <c r="U104" s="165">
        <v>45200</v>
      </c>
      <c r="V104" s="109">
        <v>426.62</v>
      </c>
      <c r="W104" s="109">
        <v>438.14</v>
      </c>
      <c r="X104" s="109">
        <v>409.21</v>
      </c>
      <c r="Y104" s="109">
        <v>418.2</v>
      </c>
      <c r="Z104" s="109">
        <v>411.24</v>
      </c>
      <c r="AA104" s="166">
        <v>1999149700</v>
      </c>
    </row>
    <row r="105" spans="1:27" ht="18" x14ac:dyDescent="0.2">
      <c r="A105" s="9"/>
      <c r="B105" s="6"/>
      <c r="C105" s="6"/>
      <c r="D105" s="6"/>
      <c r="E105" s="6"/>
      <c r="F105" s="7"/>
      <c r="G105" s="114">
        <v>45170</v>
      </c>
      <c r="H105" s="109">
        <v>90.19</v>
      </c>
      <c r="I105" s="109">
        <v>90.19</v>
      </c>
      <c r="J105" s="109">
        <v>79.510000000000005</v>
      </c>
      <c r="K105" s="109">
        <v>83.06</v>
      </c>
      <c r="L105" s="109">
        <v>81.349999999999994</v>
      </c>
      <c r="M105" s="110">
        <v>480275000</v>
      </c>
      <c r="O105" s="108">
        <v>19</v>
      </c>
      <c r="P105" cm="1">
        <f t="array" ref="P105">INDEX($K$89:$K$149,ROWS(K108:$K$149))</f>
        <v>49.72</v>
      </c>
      <c r="Q105" cm="1">
        <f t="array" ref="Q105">INDEX($Y$89:$Y$149,ROWS(Y108:$Y$149))</f>
        <v>451.56</v>
      </c>
      <c r="R105" s="121">
        <f t="shared" si="2"/>
        <v>2.4309847548413675E-2</v>
      </c>
      <c r="S105" s="122">
        <f t="shared" si="3"/>
        <v>2.9759868646097035E-2</v>
      </c>
      <c r="U105" s="165">
        <v>45170</v>
      </c>
      <c r="V105" s="109">
        <v>453.17</v>
      </c>
      <c r="W105" s="109">
        <v>453.67</v>
      </c>
      <c r="X105" s="109">
        <v>422.29</v>
      </c>
      <c r="Y105" s="109">
        <v>427.48</v>
      </c>
      <c r="Z105" s="109">
        <v>418.88</v>
      </c>
      <c r="AA105" s="166">
        <v>1588673200</v>
      </c>
    </row>
    <row r="106" spans="1:27" ht="18" x14ac:dyDescent="0.2">
      <c r="A106" s="9"/>
      <c r="B106" s="6"/>
      <c r="C106" s="6"/>
      <c r="D106" s="6"/>
      <c r="E106" s="6"/>
      <c r="F106" s="7"/>
      <c r="G106" s="114">
        <v>45139</v>
      </c>
      <c r="H106" s="109">
        <v>89.9</v>
      </c>
      <c r="I106" s="109">
        <v>92.37</v>
      </c>
      <c r="J106" s="109">
        <v>81.2</v>
      </c>
      <c r="K106" s="109">
        <v>92.29</v>
      </c>
      <c r="L106" s="109">
        <v>90.4</v>
      </c>
      <c r="M106" s="110">
        <v>503589000</v>
      </c>
      <c r="O106" s="108">
        <v>20</v>
      </c>
      <c r="P106" cm="1">
        <f t="array" ref="P106">INDEX($K$89:$K$149,ROWS(K109:$K$149))</f>
        <v>48.49</v>
      </c>
      <c r="Q106" cm="1">
        <f t="array" ref="Q106">INDEX($Y$89:$Y$149,ROWS(Y109:$Y$149))</f>
        <v>429.14</v>
      </c>
      <c r="R106" s="121">
        <f t="shared" si="2"/>
        <v>-2.4738535800482641E-2</v>
      </c>
      <c r="S106" s="122">
        <f t="shared" si="3"/>
        <v>-4.9650101869076126E-2</v>
      </c>
      <c r="U106" s="165">
        <v>45139</v>
      </c>
      <c r="V106" s="109">
        <v>456.27</v>
      </c>
      <c r="W106" s="109">
        <v>457.25</v>
      </c>
      <c r="X106" s="109">
        <v>433.01</v>
      </c>
      <c r="Y106" s="109">
        <v>450.35</v>
      </c>
      <c r="Z106" s="109">
        <v>441.29</v>
      </c>
      <c r="AA106" s="166">
        <v>1754764700</v>
      </c>
    </row>
    <row r="107" spans="1:27" ht="18" x14ac:dyDescent="0.2">
      <c r="A107" s="9"/>
      <c r="B107" s="6"/>
      <c r="C107" s="6"/>
      <c r="D107" s="6"/>
      <c r="E107" s="6"/>
      <c r="F107" s="7"/>
      <c r="G107" s="114">
        <v>45108</v>
      </c>
      <c r="H107" s="109">
        <v>86.86</v>
      </c>
      <c r="I107" s="109">
        <v>92.32</v>
      </c>
      <c r="J107" s="109">
        <v>84.43</v>
      </c>
      <c r="K107" s="109">
        <v>89.86</v>
      </c>
      <c r="L107" s="109">
        <v>88.02</v>
      </c>
      <c r="M107" s="110">
        <v>489146000</v>
      </c>
      <c r="O107" s="108">
        <v>21</v>
      </c>
      <c r="P107" cm="1">
        <f t="array" ref="P107">INDEX($K$89:$K$149,ROWS(K110:$K$149))</f>
        <v>53.17</v>
      </c>
      <c r="Q107" cm="1">
        <f t="array" ref="Q107">INDEX($Y$89:$Y$149,ROWS(Y110:$Y$149))</f>
        <v>459.25</v>
      </c>
      <c r="R107" s="121">
        <f t="shared" si="2"/>
        <v>9.6514745308310987E-2</v>
      </c>
      <c r="S107" s="122">
        <f t="shared" si="3"/>
        <v>7.0163582979913347E-2</v>
      </c>
      <c r="U107" s="165">
        <v>45108</v>
      </c>
      <c r="V107" s="109">
        <v>442.92</v>
      </c>
      <c r="W107" s="109">
        <v>459.44</v>
      </c>
      <c r="X107" s="109">
        <v>437.06</v>
      </c>
      <c r="Y107" s="109">
        <v>457.79</v>
      </c>
      <c r="Z107" s="109">
        <v>448.58</v>
      </c>
      <c r="AA107" s="166">
        <v>1374632400</v>
      </c>
    </row>
    <row r="108" spans="1:27" ht="18" x14ac:dyDescent="0.2">
      <c r="A108" s="9"/>
      <c r="B108" s="6"/>
      <c r="C108" s="6"/>
      <c r="D108" s="6"/>
      <c r="E108" s="6"/>
      <c r="F108" s="7"/>
      <c r="G108" s="114">
        <v>45078</v>
      </c>
      <c r="H108" s="109">
        <v>80.06</v>
      </c>
      <c r="I108" s="109">
        <v>89</v>
      </c>
      <c r="J108" s="109">
        <v>77.64</v>
      </c>
      <c r="K108" s="109">
        <v>86.74</v>
      </c>
      <c r="L108" s="109">
        <v>84.51</v>
      </c>
      <c r="M108" s="110">
        <v>737363000</v>
      </c>
      <c r="O108" s="105">
        <v>22</v>
      </c>
      <c r="P108" cm="1">
        <f t="array" ref="P108">INDEX($K$89:$K$149,ROWS(K111:$K$149))</f>
        <v>55.37</v>
      </c>
      <c r="Q108" cm="1">
        <f t="array" ref="Q108">INDEX($Y$89:$Y$149,ROWS(Y111:$Y$149))</f>
        <v>455.56</v>
      </c>
      <c r="R108" s="121">
        <f t="shared" si="2"/>
        <v>4.1376716193342031E-2</v>
      </c>
      <c r="S108" s="122">
        <f t="shared" si="3"/>
        <v>-8.0348394120849168E-3</v>
      </c>
      <c r="U108" s="165">
        <v>45078</v>
      </c>
      <c r="V108" s="109">
        <v>418.09</v>
      </c>
      <c r="W108" s="109">
        <v>444.3</v>
      </c>
      <c r="X108" s="109">
        <v>416.79</v>
      </c>
      <c r="Y108" s="109">
        <v>443.28</v>
      </c>
      <c r="Z108" s="109">
        <v>432.76</v>
      </c>
      <c r="AA108" s="166">
        <v>1749755000</v>
      </c>
    </row>
    <row r="109" spans="1:27" ht="18" x14ac:dyDescent="0.2">
      <c r="A109" s="9"/>
      <c r="B109" s="6"/>
      <c r="C109" s="6"/>
      <c r="D109" s="6"/>
      <c r="E109" s="6"/>
      <c r="F109" s="7"/>
      <c r="G109" s="114">
        <v>45047</v>
      </c>
      <c r="H109" s="109">
        <v>62.65</v>
      </c>
      <c r="I109" s="109">
        <v>92.18</v>
      </c>
      <c r="J109" s="109">
        <v>60.13</v>
      </c>
      <c r="K109" s="109">
        <v>80.8</v>
      </c>
      <c r="L109" s="109">
        <v>78.72</v>
      </c>
      <c r="M109" s="110">
        <v>702882000</v>
      </c>
      <c r="O109" s="108">
        <v>23</v>
      </c>
      <c r="P109" cm="1">
        <f t="array" ref="P109">INDEX($K$89:$K$149,ROWS(K112:$K$149))</f>
        <v>66.540000000000006</v>
      </c>
      <c r="Q109" cm="1">
        <f t="array" ref="Q109">INDEX($Y$89:$Y$149,ROWS(Y112:$Y$149))</f>
        <v>474.96</v>
      </c>
      <c r="R109" s="121">
        <f t="shared" si="2"/>
        <v>0.2017337908614775</v>
      </c>
      <c r="S109" s="122">
        <f t="shared" si="3"/>
        <v>4.2584950390727842E-2</v>
      </c>
      <c r="U109" s="165">
        <v>45047</v>
      </c>
      <c r="V109" s="109">
        <v>415.47</v>
      </c>
      <c r="W109" s="109">
        <v>422.58</v>
      </c>
      <c r="X109" s="109">
        <v>403.74</v>
      </c>
      <c r="Y109" s="109">
        <v>417.85</v>
      </c>
      <c r="Z109" s="109">
        <v>407.93</v>
      </c>
      <c r="AA109" s="166">
        <v>1780705600</v>
      </c>
    </row>
    <row r="110" spans="1:27" ht="18" x14ac:dyDescent="0.2">
      <c r="A110" s="9"/>
      <c r="B110" s="6"/>
      <c r="C110" s="6"/>
      <c r="D110" s="6"/>
      <c r="E110" s="6"/>
      <c r="F110" s="7"/>
      <c r="G110" s="114">
        <v>45017</v>
      </c>
      <c r="H110" s="109">
        <v>63.9</v>
      </c>
      <c r="I110" s="109">
        <v>64.42</v>
      </c>
      <c r="J110" s="109">
        <v>60.32</v>
      </c>
      <c r="K110" s="109">
        <v>62.65</v>
      </c>
      <c r="L110" s="109">
        <v>61.04</v>
      </c>
      <c r="M110" s="110">
        <v>313005000</v>
      </c>
      <c r="O110" s="108">
        <v>24</v>
      </c>
      <c r="P110" cm="1">
        <f t="array" ref="P110">INDEX($K$89:$K$149,ROWS(K114:$K$149))</f>
        <v>58.74</v>
      </c>
      <c r="Q110" cm="1">
        <f t="array" ref="Q110">INDEX($Y$89:$Y$149,ROWS(Y113:$Y$149))</f>
        <v>449.91</v>
      </c>
      <c r="R110" s="121">
        <f t="shared" si="2"/>
        <v>-0.11722272317403071</v>
      </c>
      <c r="S110" s="122">
        <f t="shared" si="3"/>
        <v>-5.2741283476503191E-2</v>
      </c>
      <c r="U110" s="165">
        <v>45017</v>
      </c>
      <c r="V110" s="109">
        <v>408.85</v>
      </c>
      <c r="W110" s="109">
        <v>415.94</v>
      </c>
      <c r="X110" s="109">
        <v>403.78</v>
      </c>
      <c r="Y110" s="109">
        <v>415.93</v>
      </c>
      <c r="Z110" s="109">
        <v>406.06</v>
      </c>
      <c r="AA110" s="166">
        <v>1395683000</v>
      </c>
    </row>
    <row r="111" spans="1:27" ht="18" x14ac:dyDescent="0.2">
      <c r="A111" s="9"/>
      <c r="B111" s="6"/>
      <c r="C111" s="6"/>
      <c r="D111" s="6"/>
      <c r="E111" s="6"/>
      <c r="F111" s="7"/>
      <c r="G111" s="114">
        <v>44986</v>
      </c>
      <c r="H111" s="109">
        <v>59.4</v>
      </c>
      <c r="I111" s="109">
        <v>64.849999999999994</v>
      </c>
      <c r="J111" s="109">
        <v>58.61</v>
      </c>
      <c r="K111" s="109">
        <v>64.150000000000006</v>
      </c>
      <c r="L111" s="109">
        <v>62.06</v>
      </c>
      <c r="M111" s="110">
        <v>602645000</v>
      </c>
      <c r="O111" s="108">
        <v>25</v>
      </c>
      <c r="P111" cm="1">
        <f t="array" ref="P111">INDEX($K$89:$K$149,ROWS(K115:$K$149))</f>
        <v>62.97</v>
      </c>
      <c r="Q111" cm="1">
        <f t="array" ref="Q111">INDEX($Y$89:$Y$149,ROWS(Y114:$Y$149))</f>
        <v>436.63</v>
      </c>
      <c r="R111" s="121">
        <f t="shared" si="2"/>
        <v>7.201225740551577E-2</v>
      </c>
      <c r="S111" s="122">
        <f t="shared" si="3"/>
        <v>-2.9517014514013978E-2</v>
      </c>
      <c r="U111" s="165">
        <v>44986</v>
      </c>
      <c r="V111" s="109">
        <v>395.41</v>
      </c>
      <c r="W111" s="109">
        <v>409.7</v>
      </c>
      <c r="X111" s="109">
        <v>380.65</v>
      </c>
      <c r="Y111" s="109">
        <v>409.39</v>
      </c>
      <c r="Z111" s="109">
        <v>398.15</v>
      </c>
      <c r="AA111" s="166">
        <v>2515995800</v>
      </c>
    </row>
    <row r="112" spans="1:27" ht="18" x14ac:dyDescent="0.2">
      <c r="A112" s="9"/>
      <c r="B112" s="6"/>
      <c r="C112" s="6"/>
      <c r="D112" s="6"/>
      <c r="E112" s="6"/>
      <c r="F112" s="7"/>
      <c r="G112" s="114">
        <v>44958</v>
      </c>
      <c r="H112" s="109">
        <v>58.36</v>
      </c>
      <c r="I112" s="109">
        <v>61.7</v>
      </c>
      <c r="J112" s="109">
        <v>57.21</v>
      </c>
      <c r="K112" s="109">
        <v>59.43</v>
      </c>
      <c r="L112" s="109">
        <v>57.49</v>
      </c>
      <c r="M112" s="110">
        <v>376142000</v>
      </c>
      <c r="O112" s="105">
        <v>26</v>
      </c>
      <c r="P112" cm="1">
        <f t="array" ref="P112">INDEX($K$89:$K$149,ROWS(K116:$K$149))</f>
        <v>55.44</v>
      </c>
      <c r="Q112" cm="1">
        <f t="array" ref="Q112">INDEX($Y$89:$Y$149,ROWS(Y115:$Y$149))</f>
        <v>451.64</v>
      </c>
      <c r="R112" s="121">
        <f t="shared" si="2"/>
        <v>-0.11958075273939973</v>
      </c>
      <c r="S112" s="122">
        <f t="shared" si="3"/>
        <v>3.4376932414172161E-2</v>
      </c>
      <c r="U112" s="165">
        <v>44958</v>
      </c>
      <c r="V112" s="109">
        <v>405.21</v>
      </c>
      <c r="W112" s="109">
        <v>418.31</v>
      </c>
      <c r="X112" s="109">
        <v>393.64</v>
      </c>
      <c r="Y112" s="109">
        <v>396.26</v>
      </c>
      <c r="Z112" s="109">
        <v>385.38</v>
      </c>
      <c r="AA112" s="166">
        <v>1603094700</v>
      </c>
    </row>
    <row r="113" spans="1:27" ht="18" x14ac:dyDescent="0.2">
      <c r="A113" s="9"/>
      <c r="B113" s="6"/>
      <c r="C113" s="6"/>
      <c r="D113" s="6"/>
      <c r="E113" s="6"/>
      <c r="F113" s="7"/>
      <c r="G113" s="114">
        <v>44927</v>
      </c>
      <c r="H113" s="109">
        <v>56.5</v>
      </c>
      <c r="I113" s="109">
        <v>60.17</v>
      </c>
      <c r="J113" s="109">
        <v>55</v>
      </c>
      <c r="K113" s="109">
        <v>58.5</v>
      </c>
      <c r="L113" s="109">
        <v>56.59</v>
      </c>
      <c r="M113" s="110">
        <v>445594000</v>
      </c>
      <c r="O113" s="108">
        <v>27</v>
      </c>
      <c r="P113" cm="1">
        <f t="array" ref="P113">INDEX($K$89:$K$149,ROWS(K117:$K$149))</f>
        <v>58.01</v>
      </c>
      <c r="Q113" cm="1">
        <f t="array" ref="Q113">INDEX($Y$89:$Y$149,ROWS(Y116:$Y$149))</f>
        <v>412</v>
      </c>
      <c r="R113" s="121">
        <f t="shared" si="2"/>
        <v>4.6356421356421366E-2</v>
      </c>
      <c r="S113" s="122">
        <f t="shared" si="3"/>
        <v>-8.7769019573111298E-2</v>
      </c>
      <c r="U113" s="165">
        <v>44927</v>
      </c>
      <c r="V113" s="109">
        <v>384.37</v>
      </c>
      <c r="W113" s="109">
        <v>408.16</v>
      </c>
      <c r="X113" s="109">
        <v>377.83</v>
      </c>
      <c r="Y113" s="109">
        <v>406.48</v>
      </c>
      <c r="Z113" s="109">
        <v>395.32</v>
      </c>
      <c r="AA113" s="166">
        <v>1575450100</v>
      </c>
    </row>
    <row r="114" spans="1:27" ht="18" x14ac:dyDescent="0.2">
      <c r="A114" s="9"/>
      <c r="B114" s="6"/>
      <c r="C114" s="6"/>
      <c r="D114" s="6"/>
      <c r="E114" s="6"/>
      <c r="F114" s="7"/>
      <c r="G114" s="114">
        <v>44896</v>
      </c>
      <c r="H114" s="109">
        <v>55.1</v>
      </c>
      <c r="I114" s="109">
        <v>58.56</v>
      </c>
      <c r="J114" s="109">
        <v>51.6</v>
      </c>
      <c r="K114" s="109">
        <v>55.91</v>
      </c>
      <c r="L114" s="109">
        <v>53.64</v>
      </c>
      <c r="M114" s="110">
        <v>533563000</v>
      </c>
      <c r="O114" s="108">
        <v>28</v>
      </c>
      <c r="P114" cm="1">
        <f t="array" ref="P114">INDEX($K$89:$K$149,ROWS(K118:$K$149))</f>
        <v>48.58</v>
      </c>
      <c r="Q114" cm="1">
        <f t="array" ref="Q114">INDEX($Y$89:$Y$149,ROWS(Y117:$Y$149))</f>
        <v>412.93</v>
      </c>
      <c r="R114" s="121">
        <f t="shared" si="2"/>
        <v>-0.16255817962420271</v>
      </c>
      <c r="S114" s="122">
        <f t="shared" si="3"/>
        <v>2.2572815533980746E-3</v>
      </c>
      <c r="U114" s="165">
        <v>44896</v>
      </c>
      <c r="V114" s="109">
        <v>408.77</v>
      </c>
      <c r="W114" s="109">
        <v>410.49</v>
      </c>
      <c r="X114" s="109">
        <v>374.77</v>
      </c>
      <c r="Y114" s="109">
        <v>382.43</v>
      </c>
      <c r="Z114" s="109">
        <v>370.23</v>
      </c>
      <c r="AA114" s="166">
        <v>1735973600</v>
      </c>
    </row>
    <row r="115" spans="1:27" ht="18" x14ac:dyDescent="0.2">
      <c r="A115" s="9"/>
      <c r="B115" s="6"/>
      <c r="C115" s="6"/>
      <c r="D115" s="6"/>
      <c r="E115" s="6"/>
      <c r="F115" s="7"/>
      <c r="G115" s="114">
        <v>44866</v>
      </c>
      <c r="H115" s="109">
        <v>47.58</v>
      </c>
      <c r="I115" s="109">
        <v>55.17</v>
      </c>
      <c r="J115" s="109">
        <v>44.14</v>
      </c>
      <c r="K115" s="109">
        <v>55.1</v>
      </c>
      <c r="L115" s="109">
        <v>52.86</v>
      </c>
      <c r="M115" s="110">
        <v>460743000</v>
      </c>
      <c r="O115" s="108">
        <v>29</v>
      </c>
      <c r="P115" cm="1">
        <f t="array" ref="P115">INDEX($K$89:$K$149,ROWS(K119:$K$149))</f>
        <v>53.55</v>
      </c>
      <c r="Q115" cm="1">
        <f t="array" ref="Q115">INDEX($Y$89:$Y$149,ROWS(Y118:$Y$149))</f>
        <v>377.25</v>
      </c>
      <c r="R115" s="121">
        <f t="shared" si="2"/>
        <v>0.10230547550432274</v>
      </c>
      <c r="S115" s="122">
        <f t="shared" si="3"/>
        <v>-8.6406897052769244E-2</v>
      </c>
      <c r="U115" s="165">
        <v>44866</v>
      </c>
      <c r="V115" s="109">
        <v>390.14</v>
      </c>
      <c r="W115" s="109">
        <v>407.68</v>
      </c>
      <c r="X115" s="109">
        <v>368.79</v>
      </c>
      <c r="Y115" s="109">
        <v>407.68</v>
      </c>
      <c r="Z115" s="109">
        <v>394.68</v>
      </c>
      <c r="AA115" s="166">
        <v>1745985300</v>
      </c>
    </row>
    <row r="116" spans="1:27" ht="18" x14ac:dyDescent="0.2">
      <c r="A116" s="9"/>
      <c r="B116" s="6"/>
      <c r="C116" s="6"/>
      <c r="D116" s="6"/>
      <c r="E116" s="6"/>
      <c r="F116" s="7"/>
      <c r="G116" s="114">
        <v>44835</v>
      </c>
      <c r="H116" s="109">
        <v>44.92</v>
      </c>
      <c r="I116" s="109">
        <v>48.97</v>
      </c>
      <c r="J116" s="109">
        <v>41.51</v>
      </c>
      <c r="K116" s="109">
        <v>47.01</v>
      </c>
      <c r="L116" s="109">
        <v>45.1</v>
      </c>
      <c r="M116" s="110">
        <v>481500000</v>
      </c>
      <c r="O116" s="105">
        <v>30</v>
      </c>
      <c r="P116" cm="1">
        <f t="array" ref="P116">INDEX($K$89:$K$149,ROWS(K120:$K$149))</f>
        <v>49.91</v>
      </c>
      <c r="Q116" cm="1">
        <f t="array" ref="Q116">INDEX($Y$89:$Y$149,ROWS(Y119:$Y$149))</f>
        <v>411.99</v>
      </c>
      <c r="R116" s="121">
        <f t="shared" si="2"/>
        <v>-6.7973856209150335E-2</v>
      </c>
      <c r="S116" s="122">
        <f t="shared" si="3"/>
        <v>9.2087475149105397E-2</v>
      </c>
      <c r="U116" s="165">
        <v>44835</v>
      </c>
      <c r="V116" s="109">
        <v>361.08</v>
      </c>
      <c r="W116" s="109">
        <v>389.52</v>
      </c>
      <c r="X116" s="109">
        <v>348.11</v>
      </c>
      <c r="Y116" s="109">
        <v>386.21</v>
      </c>
      <c r="Z116" s="109">
        <v>373.89</v>
      </c>
      <c r="AA116" s="166">
        <v>2024732000</v>
      </c>
    </row>
    <row r="117" spans="1:27" ht="18" x14ac:dyDescent="0.2">
      <c r="A117" s="9"/>
      <c r="B117" s="6"/>
      <c r="C117" s="6"/>
      <c r="D117" s="6"/>
      <c r="E117" s="6"/>
      <c r="F117" s="7"/>
      <c r="G117" s="114">
        <v>44805</v>
      </c>
      <c r="H117" s="109">
        <v>49.15</v>
      </c>
      <c r="I117" s="109">
        <v>53.13</v>
      </c>
      <c r="J117" s="109">
        <v>44.36</v>
      </c>
      <c r="K117" s="109">
        <v>44.4</v>
      </c>
      <c r="L117" s="109">
        <v>42.24</v>
      </c>
      <c r="M117" s="110">
        <v>573525000</v>
      </c>
      <c r="O117" s="108">
        <v>31</v>
      </c>
      <c r="P117" cm="1">
        <f t="array" ref="P117">INDEX($K$89:$K$149,ROWS(K121:$K$149))</f>
        <v>44.4</v>
      </c>
      <c r="Q117" cm="1">
        <f t="array" ref="Q117">INDEX($Y$89:$Y$149,ROWS(Y120:$Y$149))</f>
        <v>395.18</v>
      </c>
      <c r="R117" s="121">
        <f t="shared" si="2"/>
        <v>-0.11039871769184528</v>
      </c>
      <c r="S117" s="122">
        <f t="shared" si="3"/>
        <v>-4.0801961212650797E-2</v>
      </c>
      <c r="U117" s="165">
        <v>44805</v>
      </c>
      <c r="V117" s="109">
        <v>392.89</v>
      </c>
      <c r="W117" s="109">
        <v>411.73</v>
      </c>
      <c r="X117" s="109">
        <v>357.04</v>
      </c>
      <c r="Y117" s="109">
        <v>357.18</v>
      </c>
      <c r="Z117" s="109">
        <v>344.37</v>
      </c>
      <c r="AA117" s="166">
        <v>1998908600</v>
      </c>
    </row>
    <row r="118" spans="1:27" ht="18" x14ac:dyDescent="0.2">
      <c r="A118" s="9"/>
      <c r="B118" s="6"/>
      <c r="C118" s="6"/>
      <c r="D118" s="6"/>
      <c r="E118" s="6"/>
      <c r="F118" s="7"/>
      <c r="G118" s="114">
        <v>44774</v>
      </c>
      <c r="H118" s="109">
        <v>53.14</v>
      </c>
      <c r="I118" s="109">
        <v>56.06</v>
      </c>
      <c r="J118" s="109">
        <v>49.65</v>
      </c>
      <c r="K118" s="109">
        <v>49.91</v>
      </c>
      <c r="L118" s="109">
        <v>47.48</v>
      </c>
      <c r="M118" s="110">
        <v>398705000</v>
      </c>
      <c r="O118" s="108">
        <v>32</v>
      </c>
      <c r="P118" cm="1">
        <f t="array" ref="P118">INDEX($K$89:$K$149,ROWS(K122:$K$149))</f>
        <v>47.01</v>
      </c>
      <c r="Q118" cm="1">
        <f t="array" ref="Q118">INDEX($Y$89:$Y$149,ROWS(Y121:$Y$149))</f>
        <v>357.18</v>
      </c>
      <c r="R118" s="121">
        <f t="shared" si="2"/>
        <v>5.8783783783783773E-2</v>
      </c>
      <c r="S118" s="122">
        <f t="shared" si="3"/>
        <v>-9.615871248544966E-2</v>
      </c>
      <c r="U118" s="165">
        <v>44774</v>
      </c>
      <c r="V118" s="109">
        <v>409.15</v>
      </c>
      <c r="W118" s="109">
        <v>431.73</v>
      </c>
      <c r="X118" s="109">
        <v>395.04</v>
      </c>
      <c r="Y118" s="109">
        <v>395.18</v>
      </c>
      <c r="Z118" s="109">
        <v>381.01</v>
      </c>
      <c r="AA118" s="166">
        <v>1443394400</v>
      </c>
    </row>
    <row r="119" spans="1:27" ht="18" x14ac:dyDescent="0.2">
      <c r="A119" s="9"/>
      <c r="B119" s="6"/>
      <c r="C119" s="6"/>
      <c r="D119" s="6"/>
      <c r="E119" s="6"/>
      <c r="F119" s="7"/>
      <c r="G119" s="114">
        <v>44743</v>
      </c>
      <c r="H119" s="109">
        <v>47.94</v>
      </c>
      <c r="I119" s="109">
        <v>53.78</v>
      </c>
      <c r="J119" s="109">
        <v>46.39</v>
      </c>
      <c r="K119" s="109">
        <v>53.55</v>
      </c>
      <c r="L119" s="109">
        <v>50.94</v>
      </c>
      <c r="M119" s="110">
        <v>394534000</v>
      </c>
      <c r="O119" s="108">
        <v>33</v>
      </c>
      <c r="P119" cm="1">
        <f t="array" ref="P119">INDEX($K$89:$K$149,ROWS(K123:$K$149))</f>
        <v>55.1</v>
      </c>
      <c r="Q119" cm="1">
        <f t="array" ref="Q119">INDEX($Y$89:$Y$149,ROWS(Y122:$Y$149))</f>
        <v>386.21</v>
      </c>
      <c r="R119" s="121">
        <f t="shared" si="2"/>
        <v>0.17209104445862591</v>
      </c>
      <c r="S119" s="122">
        <f t="shared" si="3"/>
        <v>8.1275547343076238E-2</v>
      </c>
      <c r="U119" s="165">
        <v>44743</v>
      </c>
      <c r="V119" s="109">
        <v>376.56</v>
      </c>
      <c r="W119" s="109">
        <v>413.03</v>
      </c>
      <c r="X119" s="109">
        <v>371.04</v>
      </c>
      <c r="Y119" s="109">
        <v>411.99</v>
      </c>
      <c r="Z119" s="109">
        <v>397.22</v>
      </c>
      <c r="AA119" s="166">
        <v>1437748400</v>
      </c>
    </row>
    <row r="120" spans="1:27" ht="18" x14ac:dyDescent="0.2">
      <c r="A120" s="9"/>
      <c r="B120" s="6"/>
      <c r="C120" s="6"/>
      <c r="D120" s="6"/>
      <c r="E120" s="6"/>
      <c r="F120" s="7"/>
      <c r="G120" s="114">
        <v>44713</v>
      </c>
      <c r="H120" s="109">
        <v>58.76</v>
      </c>
      <c r="I120" s="109">
        <v>59.09</v>
      </c>
      <c r="J120" s="109">
        <v>48.07</v>
      </c>
      <c r="K120" s="109">
        <v>48.58</v>
      </c>
      <c r="L120" s="109">
        <v>45.84</v>
      </c>
      <c r="M120" s="110">
        <v>468282000</v>
      </c>
      <c r="O120" s="105">
        <v>34</v>
      </c>
      <c r="P120" cm="1">
        <f t="array" ref="P120">INDEX($K$89:$K$149,ROWS(K124:$K$149))</f>
        <v>55.91</v>
      </c>
      <c r="Q120" cm="1">
        <f t="array" ref="Q120">INDEX($Y$89:$Y$149,ROWS(Y123:$Y$149))</f>
        <v>407.68</v>
      </c>
      <c r="R120" s="121">
        <f t="shared" si="2"/>
        <v>1.4700544464609713E-2</v>
      </c>
      <c r="S120" s="122">
        <f t="shared" si="3"/>
        <v>5.5591517568162475E-2</v>
      </c>
      <c r="U120" s="165">
        <v>44713</v>
      </c>
      <c r="V120" s="109">
        <v>415.17</v>
      </c>
      <c r="W120" s="109">
        <v>417.44</v>
      </c>
      <c r="X120" s="109">
        <v>362.17</v>
      </c>
      <c r="Y120" s="109">
        <v>377.25</v>
      </c>
      <c r="Z120" s="109">
        <v>362.16</v>
      </c>
      <c r="AA120" s="166">
        <v>1958611900</v>
      </c>
    </row>
    <row r="121" spans="1:27" ht="18" x14ac:dyDescent="0.2">
      <c r="A121" s="9"/>
      <c r="B121" s="6"/>
      <c r="C121" s="6"/>
      <c r="D121" s="6"/>
      <c r="E121" s="6"/>
      <c r="F121" s="7"/>
      <c r="G121" s="114">
        <v>44682</v>
      </c>
      <c r="H121" s="109">
        <v>55.71</v>
      </c>
      <c r="I121" s="109">
        <v>60.9</v>
      </c>
      <c r="J121" s="109">
        <v>51.24</v>
      </c>
      <c r="K121" s="109">
        <v>58.01</v>
      </c>
      <c r="L121" s="109">
        <v>54.74</v>
      </c>
      <c r="M121" s="110">
        <v>609803000</v>
      </c>
      <c r="O121" s="108">
        <v>35</v>
      </c>
      <c r="P121" cm="1">
        <f t="array" ref="P121">INDEX($K$89:$K$149,ROWS(K125:$K$149))</f>
        <v>58.5</v>
      </c>
      <c r="Q121" cm="1">
        <f t="array" ref="Q121">INDEX($Y$89:$Y$149,ROWS(Y124:$Y$149))</f>
        <v>382.43</v>
      </c>
      <c r="R121" s="121">
        <f t="shared" si="2"/>
        <v>4.6324450008943009E-2</v>
      </c>
      <c r="S121" s="122">
        <f t="shared" si="3"/>
        <v>-6.1935832025117737E-2</v>
      </c>
      <c r="U121" s="165">
        <v>44682</v>
      </c>
      <c r="V121" s="109">
        <v>412.07</v>
      </c>
      <c r="W121" s="109">
        <v>429.66</v>
      </c>
      <c r="X121" s="109">
        <v>380.54</v>
      </c>
      <c r="Y121" s="109">
        <v>412.93</v>
      </c>
      <c r="Z121" s="109">
        <v>396.41</v>
      </c>
      <c r="AA121" s="166">
        <v>2418478100</v>
      </c>
    </row>
    <row r="122" spans="1:27" ht="18" x14ac:dyDescent="0.2">
      <c r="A122" s="9"/>
      <c r="B122" s="6"/>
      <c r="C122" s="6"/>
      <c r="D122" s="6"/>
      <c r="E122" s="6"/>
      <c r="F122" s="7"/>
      <c r="G122" s="114">
        <v>44652</v>
      </c>
      <c r="H122" s="109">
        <v>63.17</v>
      </c>
      <c r="I122" s="109">
        <v>63.67</v>
      </c>
      <c r="J122" s="109">
        <v>55.34</v>
      </c>
      <c r="K122" s="109">
        <v>55.44</v>
      </c>
      <c r="L122" s="109">
        <v>52.31</v>
      </c>
      <c r="M122" s="110">
        <v>425646000</v>
      </c>
      <c r="O122" s="108">
        <v>36</v>
      </c>
      <c r="P122" cm="1">
        <f t="array" ref="P122">INDEX($K$89:$K$149,ROWS(K126:$K$149))</f>
        <v>59.43</v>
      </c>
      <c r="Q122" cm="1">
        <f t="array" ref="Q122">INDEX($Y$89:$Y$149,ROWS(Y125:$Y$149))</f>
        <v>406.48</v>
      </c>
      <c r="R122" s="121">
        <f t="shared" si="2"/>
        <v>1.5897435897435891E-2</v>
      </c>
      <c r="S122" s="122">
        <f t="shared" si="3"/>
        <v>6.2887325785111026E-2</v>
      </c>
      <c r="U122" s="165">
        <v>44652</v>
      </c>
      <c r="V122" s="109">
        <v>453.31</v>
      </c>
      <c r="W122" s="109">
        <v>457.83</v>
      </c>
      <c r="X122" s="109">
        <v>411.21</v>
      </c>
      <c r="Y122" s="109">
        <v>412</v>
      </c>
      <c r="Z122" s="109">
        <v>395.52</v>
      </c>
      <c r="AA122" s="166">
        <v>1856757400</v>
      </c>
    </row>
    <row r="123" spans="1:27" ht="18" x14ac:dyDescent="0.2">
      <c r="A123" s="9"/>
      <c r="B123" s="6"/>
      <c r="C123" s="6"/>
      <c r="D123" s="6"/>
      <c r="E123" s="6"/>
      <c r="F123" s="7"/>
      <c r="G123" s="114">
        <v>44621</v>
      </c>
      <c r="H123" s="109">
        <v>58.48</v>
      </c>
      <c r="I123" s="109">
        <v>64.53</v>
      </c>
      <c r="J123" s="109">
        <v>56.36</v>
      </c>
      <c r="K123" s="109">
        <v>62.97</v>
      </c>
      <c r="L123" s="109">
        <v>59.01</v>
      </c>
      <c r="M123" s="110">
        <v>552952000</v>
      </c>
      <c r="O123" s="108">
        <v>37</v>
      </c>
      <c r="P123" cm="1">
        <f t="array" ref="P123">INDEX($K$89:$K$149,ROWS(K127:$K$149))</f>
        <v>64.150000000000006</v>
      </c>
      <c r="Q123" cm="1">
        <f t="array" ref="Q123">INDEX($Y$89:$Y$149,ROWS(Y126:$Y$149))</f>
        <v>396.26</v>
      </c>
      <c r="R123" s="121">
        <f t="shared" si="2"/>
        <v>7.9421167760390474E-2</v>
      </c>
      <c r="S123" s="122">
        <f t="shared" si="3"/>
        <v>-2.5142688447156138E-2</v>
      </c>
      <c r="U123" s="165">
        <v>44621</v>
      </c>
      <c r="V123" s="109">
        <v>435.04</v>
      </c>
      <c r="W123" s="109">
        <v>462.07</v>
      </c>
      <c r="X123" s="109">
        <v>415.12</v>
      </c>
      <c r="Y123" s="109">
        <v>451.64</v>
      </c>
      <c r="Z123" s="109">
        <v>432.23</v>
      </c>
      <c r="AA123" s="166">
        <v>2380929500</v>
      </c>
    </row>
    <row r="124" spans="1:27" ht="18" x14ac:dyDescent="0.2">
      <c r="A124" s="9"/>
      <c r="B124" s="6"/>
      <c r="C124" s="6"/>
      <c r="D124" s="6"/>
      <c r="E124" s="6"/>
      <c r="F124" s="7"/>
      <c r="G124" s="114">
        <v>44593</v>
      </c>
      <c r="H124" s="109">
        <v>58.59</v>
      </c>
      <c r="I124" s="109">
        <v>61.46</v>
      </c>
      <c r="J124" s="109">
        <v>54.9</v>
      </c>
      <c r="K124" s="109">
        <v>58.74</v>
      </c>
      <c r="L124" s="109">
        <v>55.05</v>
      </c>
      <c r="M124" s="110">
        <v>451717000</v>
      </c>
      <c r="O124" s="105">
        <v>38</v>
      </c>
      <c r="P124" cm="1">
        <f t="array" ref="P124">INDEX($K$89:$K$149,ROWS(K128:$K$149))</f>
        <v>62.65</v>
      </c>
      <c r="Q124" cm="1">
        <f t="array" ref="Q124">INDEX($Y$89:$Y$149,ROWS(Y127:$Y$149))</f>
        <v>409.39</v>
      </c>
      <c r="R124" s="121">
        <f t="shared" si="2"/>
        <v>-2.3382696804364878E-2</v>
      </c>
      <c r="S124" s="122">
        <f t="shared" si="3"/>
        <v>3.3134810477968998E-2</v>
      </c>
      <c r="U124" s="165">
        <v>44593</v>
      </c>
      <c r="V124" s="109">
        <v>450.68</v>
      </c>
      <c r="W124" s="109">
        <v>458.12</v>
      </c>
      <c r="X124" s="109">
        <v>410.64</v>
      </c>
      <c r="Y124" s="109">
        <v>436.63</v>
      </c>
      <c r="Z124" s="109">
        <v>417.87</v>
      </c>
      <c r="AA124" s="166">
        <v>2297975100</v>
      </c>
    </row>
    <row r="125" spans="1:27" ht="18" x14ac:dyDescent="0.2">
      <c r="A125" s="9"/>
      <c r="B125" s="6"/>
      <c r="C125" s="6"/>
      <c r="D125" s="6"/>
      <c r="E125" s="6"/>
      <c r="F125" s="7"/>
      <c r="G125" s="114">
        <v>44562</v>
      </c>
      <c r="H125" s="109">
        <v>66.63</v>
      </c>
      <c r="I125" s="109">
        <v>67.22</v>
      </c>
      <c r="J125" s="109">
        <v>51.34</v>
      </c>
      <c r="K125" s="109">
        <v>58.59</v>
      </c>
      <c r="L125" s="109">
        <v>54.91</v>
      </c>
      <c r="M125" s="110">
        <v>627019000</v>
      </c>
      <c r="O125" s="108">
        <v>39</v>
      </c>
      <c r="P125" cm="1">
        <f t="array" ref="P125">INDEX($K$89:$K$149,ROWS(K129:$K$149))</f>
        <v>80.8</v>
      </c>
      <c r="Q125" cm="1">
        <f t="array" ref="Q125">INDEX($Y$89:$Y$149,ROWS(Y128:$Y$149))</f>
        <v>415.93</v>
      </c>
      <c r="R125" s="121">
        <f t="shared" si="2"/>
        <v>0.28970470869912207</v>
      </c>
      <c r="S125" s="122">
        <f t="shared" si="3"/>
        <v>1.5974987176042454E-2</v>
      </c>
      <c r="U125" s="165">
        <v>44562</v>
      </c>
      <c r="V125" s="109">
        <v>476.3</v>
      </c>
      <c r="W125" s="109">
        <v>479.98</v>
      </c>
      <c r="X125" s="109">
        <v>420.76</v>
      </c>
      <c r="Y125" s="109">
        <v>449.91</v>
      </c>
      <c r="Z125" s="109">
        <v>430.58</v>
      </c>
      <c r="AA125" s="166">
        <v>2485167800</v>
      </c>
    </row>
    <row r="126" spans="1:27" ht="18" x14ac:dyDescent="0.2">
      <c r="A126" s="9"/>
      <c r="B126" s="6"/>
      <c r="C126" s="6"/>
      <c r="D126" s="6"/>
      <c r="E126" s="6"/>
      <c r="F126" s="7"/>
      <c r="G126" s="114">
        <v>44531</v>
      </c>
      <c r="H126" s="109">
        <v>56.35</v>
      </c>
      <c r="I126" s="109">
        <v>67.78</v>
      </c>
      <c r="J126" s="109">
        <v>54.4</v>
      </c>
      <c r="K126" s="109">
        <v>66.540000000000006</v>
      </c>
      <c r="L126" s="109">
        <v>61.97</v>
      </c>
      <c r="M126" s="110">
        <v>602756000</v>
      </c>
      <c r="O126" s="108">
        <v>40</v>
      </c>
      <c r="P126" cm="1">
        <f t="array" ref="P126">INDEX($K$89:$K$149,ROWS(K130:$K$149))</f>
        <v>86.74</v>
      </c>
      <c r="Q126" cm="1">
        <f t="array" ref="Q126">INDEX($Y$89:$Y$149,ROWS(Y129:$Y$149))</f>
        <v>417.85</v>
      </c>
      <c r="R126" s="121">
        <f t="shared" si="2"/>
        <v>7.3514851485148483E-2</v>
      </c>
      <c r="S126" s="122">
        <f t="shared" si="3"/>
        <v>4.6161613733080465E-3</v>
      </c>
      <c r="U126" s="165">
        <v>44531</v>
      </c>
      <c r="V126" s="109">
        <v>461.64</v>
      </c>
      <c r="W126" s="109">
        <v>479</v>
      </c>
      <c r="X126" s="109">
        <v>448.92</v>
      </c>
      <c r="Y126" s="109">
        <v>474.96</v>
      </c>
      <c r="Z126" s="109">
        <v>452.96</v>
      </c>
      <c r="AA126" s="166">
        <v>1927433900</v>
      </c>
    </row>
    <row r="127" spans="1:27" ht="18" x14ac:dyDescent="0.2">
      <c r="A127" s="9"/>
      <c r="B127" s="6"/>
      <c r="C127" s="6"/>
      <c r="D127" s="6"/>
      <c r="E127" s="6"/>
      <c r="F127" s="7"/>
      <c r="G127" s="114">
        <v>44501</v>
      </c>
      <c r="H127" s="109">
        <v>53.03</v>
      </c>
      <c r="I127" s="109">
        <v>57.72</v>
      </c>
      <c r="J127" s="109">
        <v>52.49</v>
      </c>
      <c r="K127" s="109">
        <v>55.37</v>
      </c>
      <c r="L127" s="109">
        <v>51.56</v>
      </c>
      <c r="M127" s="110">
        <v>343703000</v>
      </c>
      <c r="O127" s="108">
        <v>41</v>
      </c>
      <c r="P127" cm="1">
        <f t="array" ref="P127">INDEX($K$89:$K$149,ROWS(K131:$K$149))</f>
        <v>89.86</v>
      </c>
      <c r="Q127" cm="1">
        <f t="array" ref="Q127">INDEX($Y$89:$Y$149,ROWS(Y130:$Y$149))</f>
        <v>443.28</v>
      </c>
      <c r="R127" s="121">
        <f t="shared" si="2"/>
        <v>3.5969564214895146E-2</v>
      </c>
      <c r="S127" s="122">
        <f t="shared" si="3"/>
        <v>6.0859159985640655E-2</v>
      </c>
      <c r="U127" s="165">
        <v>44501</v>
      </c>
      <c r="V127" s="109">
        <v>460.3</v>
      </c>
      <c r="W127" s="109">
        <v>473.54</v>
      </c>
      <c r="X127" s="109">
        <v>455.3</v>
      </c>
      <c r="Y127" s="109">
        <v>455.56</v>
      </c>
      <c r="Z127" s="109">
        <v>434.46</v>
      </c>
      <c r="AA127" s="166">
        <v>1335351500</v>
      </c>
    </row>
    <row r="128" spans="1:27" ht="18" x14ac:dyDescent="0.2">
      <c r="A128" s="9"/>
      <c r="B128" s="6"/>
      <c r="C128" s="6"/>
      <c r="D128" s="6"/>
      <c r="E128" s="6"/>
      <c r="F128" s="7"/>
      <c r="G128" s="114">
        <v>44470</v>
      </c>
      <c r="H128" s="109">
        <v>48.78</v>
      </c>
      <c r="I128" s="109">
        <v>53.61</v>
      </c>
      <c r="J128" s="109">
        <v>47.28</v>
      </c>
      <c r="K128" s="109">
        <v>53.17</v>
      </c>
      <c r="L128" s="109">
        <v>49.51</v>
      </c>
      <c r="M128" s="110">
        <v>341653000</v>
      </c>
      <c r="O128" s="105">
        <v>42</v>
      </c>
      <c r="P128" cm="1">
        <f t="array" ref="P128">INDEX($K$89:$K$149,ROWS(K132:$K$149))</f>
        <v>92.29</v>
      </c>
      <c r="Q128" cm="1">
        <f t="array" ref="Q128">INDEX($Y$89:$Y$149,ROWS(Y131:$Y$149))</f>
        <v>457.79</v>
      </c>
      <c r="R128" s="121">
        <f t="shared" si="2"/>
        <v>2.7042065435121377E-2</v>
      </c>
      <c r="S128" s="122">
        <f t="shared" si="3"/>
        <v>3.273326114419791E-2</v>
      </c>
      <c r="U128" s="165">
        <v>44470</v>
      </c>
      <c r="V128" s="109">
        <v>430.98</v>
      </c>
      <c r="W128" s="109">
        <v>459.56</v>
      </c>
      <c r="X128" s="109">
        <v>426.36</v>
      </c>
      <c r="Y128" s="109">
        <v>459.25</v>
      </c>
      <c r="Z128" s="109">
        <v>437.98</v>
      </c>
      <c r="AA128" s="166">
        <v>1508665200</v>
      </c>
    </row>
    <row r="129" spans="1:27" ht="18" x14ac:dyDescent="0.2">
      <c r="A129" s="9"/>
      <c r="B129" s="6"/>
      <c r="C129" s="6"/>
      <c r="D129" s="6"/>
      <c r="E129" s="6"/>
      <c r="F129" s="7"/>
      <c r="G129" s="114">
        <v>44440</v>
      </c>
      <c r="H129" s="109">
        <v>49.63</v>
      </c>
      <c r="I129" s="109">
        <v>51.07</v>
      </c>
      <c r="J129" s="109">
        <v>48.45</v>
      </c>
      <c r="K129" s="109">
        <v>48.49</v>
      </c>
      <c r="L129" s="109">
        <v>44.83</v>
      </c>
      <c r="M129" s="110">
        <v>372981000</v>
      </c>
      <c r="O129" s="108">
        <v>43</v>
      </c>
      <c r="P129" cm="1">
        <f t="array" ref="P129">INDEX($K$89:$K$149,ROWS(K133:$K$149))</f>
        <v>83.06</v>
      </c>
      <c r="Q129" cm="1">
        <f t="array" ref="Q129">INDEX($Y$89:$Y$149,ROWS(Y132:$Y$149))</f>
        <v>450.35</v>
      </c>
      <c r="R129" s="121">
        <f t="shared" si="2"/>
        <v>-0.10001083541012031</v>
      </c>
      <c r="S129" s="122">
        <f t="shared" si="3"/>
        <v>-1.6251993272024284E-2</v>
      </c>
      <c r="U129" s="165">
        <v>44440</v>
      </c>
      <c r="V129" s="109">
        <v>452.56</v>
      </c>
      <c r="W129" s="109">
        <v>454.05</v>
      </c>
      <c r="X129" s="109">
        <v>428.78</v>
      </c>
      <c r="Y129" s="109">
        <v>429.14</v>
      </c>
      <c r="Z129" s="109">
        <v>407.95</v>
      </c>
      <c r="AA129" s="166">
        <v>1745559600</v>
      </c>
    </row>
    <row r="130" spans="1:27" ht="18" x14ac:dyDescent="0.2">
      <c r="A130" s="9"/>
      <c r="B130" s="6"/>
      <c r="C130" s="6"/>
      <c r="D130" s="6"/>
      <c r="E130" s="6"/>
      <c r="F130" s="7"/>
      <c r="G130" s="114">
        <v>44409</v>
      </c>
      <c r="H130" s="109">
        <v>48.9</v>
      </c>
      <c r="I130" s="109">
        <v>50.78</v>
      </c>
      <c r="J130" s="109">
        <v>46.27</v>
      </c>
      <c r="K130" s="109">
        <v>49.72</v>
      </c>
      <c r="L130" s="109">
        <v>45.97</v>
      </c>
      <c r="M130" s="110">
        <v>264378000</v>
      </c>
      <c r="O130" s="108">
        <v>44</v>
      </c>
      <c r="P130" cm="1">
        <f t="array" ref="P130">INDEX($K$89:$K$149,ROWS(K134:$K$149))</f>
        <v>84.14</v>
      </c>
      <c r="Q130" cm="1">
        <f t="array" ref="Q130">INDEX($Y$89:$Y$149,ROWS(Y133:$Y$149))</f>
        <v>427.48</v>
      </c>
      <c r="R130" s="121">
        <f t="shared" si="2"/>
        <v>1.3002648687695621E-2</v>
      </c>
      <c r="S130" s="122">
        <f t="shared" si="3"/>
        <v>-5.0782724547574119E-2</v>
      </c>
      <c r="U130" s="165">
        <v>44409</v>
      </c>
      <c r="V130" s="109">
        <v>440.34</v>
      </c>
      <c r="W130" s="109">
        <v>453.07</v>
      </c>
      <c r="X130" s="109">
        <v>436.1</v>
      </c>
      <c r="Y130" s="109">
        <v>451.56</v>
      </c>
      <c r="Z130" s="109">
        <v>429.27</v>
      </c>
      <c r="AA130" s="166">
        <v>1254001400</v>
      </c>
    </row>
    <row r="131" spans="1:27" ht="18" x14ac:dyDescent="0.2">
      <c r="A131" s="9"/>
      <c r="B131" s="6"/>
      <c r="C131" s="6"/>
      <c r="D131" s="6"/>
      <c r="E131" s="6"/>
      <c r="F131" s="7"/>
      <c r="G131" s="114">
        <v>44378</v>
      </c>
      <c r="H131" s="109">
        <v>47.78</v>
      </c>
      <c r="I131" s="109">
        <v>49.4</v>
      </c>
      <c r="J131" s="109">
        <v>45.57</v>
      </c>
      <c r="K131" s="109">
        <v>48.54</v>
      </c>
      <c r="L131" s="109">
        <v>44.87</v>
      </c>
      <c r="M131" s="110">
        <v>323364000</v>
      </c>
      <c r="O131" s="108">
        <v>45</v>
      </c>
      <c r="P131" cm="1">
        <f t="array" ref="P131">INDEX($K$89:$K$149,ROWS(K135:$K$149))</f>
        <v>92.57</v>
      </c>
      <c r="Q131" cm="1">
        <f t="array" ref="Q131">INDEX($Y$89:$Y$149,ROWS(Y134:$Y$149))</f>
        <v>418.2</v>
      </c>
      <c r="R131" s="121">
        <f t="shared" si="2"/>
        <v>0.10019015925837881</v>
      </c>
      <c r="S131" s="122">
        <f t="shared" si="3"/>
        <v>-2.1708617947038527E-2</v>
      </c>
      <c r="U131" s="165">
        <v>44378</v>
      </c>
      <c r="V131" s="109">
        <v>428.87</v>
      </c>
      <c r="W131" s="109">
        <v>441.8</v>
      </c>
      <c r="X131" s="109">
        <v>421.97</v>
      </c>
      <c r="Y131" s="109">
        <v>438.51</v>
      </c>
      <c r="Z131" s="109">
        <v>416.86</v>
      </c>
      <c r="AA131" s="166">
        <v>1422104700</v>
      </c>
    </row>
    <row r="132" spans="1:27" ht="18" x14ac:dyDescent="0.2">
      <c r="A132" s="9"/>
      <c r="B132" s="6"/>
      <c r="C132" s="6"/>
      <c r="D132" s="6"/>
      <c r="E132" s="6"/>
      <c r="F132" s="7"/>
      <c r="G132" s="114">
        <v>44348</v>
      </c>
      <c r="H132" s="109">
        <v>47.54</v>
      </c>
      <c r="I132" s="109">
        <v>47.86</v>
      </c>
      <c r="J132" s="109">
        <v>45.84</v>
      </c>
      <c r="K132" s="109">
        <v>47.68</v>
      </c>
      <c r="L132" s="109">
        <v>43.74</v>
      </c>
      <c r="M132" s="110">
        <v>377423000</v>
      </c>
      <c r="O132" s="105">
        <v>46</v>
      </c>
      <c r="P132" cm="1">
        <f t="array" ref="P132">INDEX($K$89:$K$149,ROWS(K136:$K$149))</f>
        <v>111.63</v>
      </c>
      <c r="Q132" cm="1">
        <f t="array" ref="Q132">INDEX($Y$89:$Y$149,ROWS(Y135:$Y$149))</f>
        <v>456.4</v>
      </c>
      <c r="R132" s="121">
        <f t="shared" si="2"/>
        <v>0.2058982391703576</v>
      </c>
      <c r="S132" s="122">
        <f t="shared" si="3"/>
        <v>9.134385461501672E-2</v>
      </c>
      <c r="U132" s="165">
        <v>44348</v>
      </c>
      <c r="V132" s="109">
        <v>422.57</v>
      </c>
      <c r="W132" s="109">
        <v>428.78</v>
      </c>
      <c r="X132" s="109">
        <v>414.7</v>
      </c>
      <c r="Y132" s="109">
        <v>428.06</v>
      </c>
      <c r="Z132" s="109">
        <v>405.6</v>
      </c>
      <c r="AA132" s="166">
        <v>1282152400</v>
      </c>
    </row>
    <row r="133" spans="1:27" ht="18" x14ac:dyDescent="0.2">
      <c r="A133" s="9"/>
      <c r="B133" s="6"/>
      <c r="C133" s="6"/>
      <c r="D133" s="6"/>
      <c r="E133" s="6"/>
      <c r="F133" s="7"/>
      <c r="G133" s="114">
        <v>44317</v>
      </c>
      <c r="H133" s="109">
        <v>45.97</v>
      </c>
      <c r="I133" s="109">
        <v>47.46</v>
      </c>
      <c r="J133" s="109">
        <v>41.91</v>
      </c>
      <c r="K133" s="109">
        <v>47.23</v>
      </c>
      <c r="L133" s="109">
        <v>43.33</v>
      </c>
      <c r="M133" s="110">
        <v>355018000</v>
      </c>
      <c r="O133" s="108">
        <v>47</v>
      </c>
      <c r="P133" cm="1">
        <f t="array" ref="P133">INDEX($K$89:$K$149,ROWS(K137:$K$149))</f>
        <v>118</v>
      </c>
      <c r="Q133" cm="1">
        <f t="array" ref="Q133">INDEX($Y$89:$Y$149,ROWS(Y136:$Y$149))</f>
        <v>475.31</v>
      </c>
      <c r="R133" s="121">
        <f t="shared" si="2"/>
        <v>5.7063513392457271E-2</v>
      </c>
      <c r="S133" s="122">
        <f t="shared" si="3"/>
        <v>4.1432953549518023E-2</v>
      </c>
      <c r="U133" s="165">
        <v>44317</v>
      </c>
      <c r="V133" s="109">
        <v>419.43</v>
      </c>
      <c r="W133" s="109">
        <v>422.82</v>
      </c>
      <c r="X133" s="109">
        <v>404</v>
      </c>
      <c r="Y133" s="109">
        <v>420.04</v>
      </c>
      <c r="Z133" s="109">
        <v>398</v>
      </c>
      <c r="AA133" s="166">
        <v>1547235900</v>
      </c>
    </row>
    <row r="134" spans="1:27" ht="18" x14ac:dyDescent="0.2">
      <c r="A134" s="9"/>
      <c r="B134" s="6"/>
      <c r="C134" s="6"/>
      <c r="D134" s="6"/>
      <c r="E134" s="6"/>
      <c r="F134" s="7"/>
      <c r="G134" s="114">
        <v>44287</v>
      </c>
      <c r="H134" s="109">
        <v>47.21</v>
      </c>
      <c r="I134" s="109">
        <v>48.96</v>
      </c>
      <c r="J134" s="109">
        <v>44.9</v>
      </c>
      <c r="K134" s="109">
        <v>45.62</v>
      </c>
      <c r="L134" s="109">
        <v>41.85</v>
      </c>
      <c r="M134" s="110">
        <v>405583000</v>
      </c>
      <c r="O134" s="108">
        <v>48</v>
      </c>
      <c r="P134" cm="1">
        <f t="array" ref="P134">INDEX($K$89:$K$149,ROWS(K138:$K$149))</f>
        <v>130.05000000000001</v>
      </c>
      <c r="Q134" cm="1">
        <f t="array" ref="Q134">INDEX($Y$89:$Y$149,ROWS(Y137:$Y$149))</f>
        <v>482.88</v>
      </c>
      <c r="R134" s="121">
        <f t="shared" si="2"/>
        <v>0.10211864406779671</v>
      </c>
      <c r="S134" s="122">
        <f t="shared" si="3"/>
        <v>1.5926448002356344E-2</v>
      </c>
      <c r="U134" s="165">
        <v>44287</v>
      </c>
      <c r="V134" s="109">
        <v>398.4</v>
      </c>
      <c r="W134" s="109">
        <v>420.72</v>
      </c>
      <c r="X134" s="109">
        <v>398.18</v>
      </c>
      <c r="Y134" s="109">
        <v>417.3</v>
      </c>
      <c r="Z134" s="109">
        <v>395.4</v>
      </c>
      <c r="AA134" s="166">
        <v>1462106600</v>
      </c>
    </row>
    <row r="135" spans="1:27" ht="18" x14ac:dyDescent="0.2">
      <c r="A135" s="9"/>
      <c r="B135" s="6"/>
      <c r="C135" s="6"/>
      <c r="D135" s="6"/>
      <c r="E135" s="6"/>
      <c r="F135" s="7"/>
      <c r="G135" s="114">
        <v>44256</v>
      </c>
      <c r="H135" s="109">
        <v>47.97</v>
      </c>
      <c r="I135" s="109">
        <v>49.09</v>
      </c>
      <c r="J135" s="109">
        <v>41.93</v>
      </c>
      <c r="K135" s="109">
        <v>46.37</v>
      </c>
      <c r="L135" s="109">
        <v>42.2</v>
      </c>
      <c r="M135" s="110">
        <v>724725000</v>
      </c>
      <c r="O135" s="108">
        <v>49</v>
      </c>
      <c r="P135" cm="1">
        <f t="array" ref="P135">INDEX($K$89:$K$149,ROWS(K139:$K$149))</f>
        <v>132.54</v>
      </c>
      <c r="Q135" cm="1">
        <f t="array" ref="Q135">INDEX($Y$89:$Y$149,ROWS(Y138:$Y$149))</f>
        <v>508.08</v>
      </c>
      <c r="R135" s="121">
        <f t="shared" si="2"/>
        <v>1.9146482122260517E-2</v>
      </c>
      <c r="S135" s="122">
        <f t="shared" si="3"/>
        <v>5.2186878727634174E-2</v>
      </c>
      <c r="U135" s="165">
        <v>44256</v>
      </c>
      <c r="V135" s="109">
        <v>385.59</v>
      </c>
      <c r="W135" s="109">
        <v>398.12</v>
      </c>
      <c r="X135" s="109">
        <v>371.88</v>
      </c>
      <c r="Y135" s="109">
        <v>396.33</v>
      </c>
      <c r="Z135" s="109">
        <v>374.31</v>
      </c>
      <c r="AA135" s="166">
        <v>2401715800</v>
      </c>
    </row>
    <row r="136" spans="1:27" ht="18" x14ac:dyDescent="0.2">
      <c r="A136" s="9"/>
      <c r="B136" s="6"/>
      <c r="C136" s="6"/>
      <c r="D136" s="6"/>
      <c r="E136" s="6"/>
      <c r="F136" s="7"/>
      <c r="G136" s="114">
        <v>44228</v>
      </c>
      <c r="H136" s="109">
        <v>45.58</v>
      </c>
      <c r="I136" s="109">
        <v>49.51</v>
      </c>
      <c r="J136" s="109">
        <v>45.36</v>
      </c>
      <c r="K136" s="109">
        <v>46.99</v>
      </c>
      <c r="L136" s="109">
        <v>42.77</v>
      </c>
      <c r="M136" s="110">
        <v>317522000</v>
      </c>
      <c r="O136" s="105">
        <v>50</v>
      </c>
      <c r="P136" cm="1">
        <f t="array" ref="P136">INDEX($K$89:$K$149,ROWS(K140:$K$149))</f>
        <v>130.03</v>
      </c>
      <c r="Q136" cm="1">
        <f t="array" ref="Q136">INDEX($Y$89:$Y$149,ROWS(Y139:$Y$149))</f>
        <v>523.07000000000005</v>
      </c>
      <c r="R136" s="121">
        <f t="shared" si="2"/>
        <v>-1.8937679191187499E-2</v>
      </c>
      <c r="S136" s="122">
        <f t="shared" si="3"/>
        <v>2.9503227838135856E-2</v>
      </c>
      <c r="U136" s="165">
        <v>44228</v>
      </c>
      <c r="V136" s="109">
        <v>373.72</v>
      </c>
      <c r="W136" s="109">
        <v>394.17</v>
      </c>
      <c r="X136" s="109">
        <v>370.38</v>
      </c>
      <c r="Y136" s="109">
        <v>380.36</v>
      </c>
      <c r="Z136" s="109">
        <v>359.23</v>
      </c>
      <c r="AA136" s="166">
        <v>1307806200</v>
      </c>
    </row>
    <row r="137" spans="1:27" ht="18" x14ac:dyDescent="0.2">
      <c r="A137" s="9"/>
      <c r="B137" s="6"/>
      <c r="C137" s="6"/>
      <c r="D137" s="6"/>
      <c r="E137" s="6"/>
      <c r="F137" s="7"/>
      <c r="G137" s="114">
        <v>44197</v>
      </c>
      <c r="H137" s="109">
        <v>43.93</v>
      </c>
      <c r="I137" s="109">
        <v>47</v>
      </c>
      <c r="J137" s="109">
        <v>42.05</v>
      </c>
      <c r="K137" s="109">
        <v>45.05</v>
      </c>
      <c r="L137" s="109">
        <v>41</v>
      </c>
      <c r="M137" s="110">
        <v>321317000</v>
      </c>
      <c r="O137" s="108">
        <v>51</v>
      </c>
      <c r="P137" cm="1">
        <f t="array" ref="P137">INDEX($K$89:$K$149,ROWS(K141:$K$149))</f>
        <v>132.85</v>
      </c>
      <c r="Q137" cm="1">
        <f t="array" ref="Q137">INDEX($Y$89:$Y$149,ROWS(Y140:$Y$149))</f>
        <v>501.98</v>
      </c>
      <c r="R137" s="121">
        <f t="shared" si="2"/>
        <v>2.1687302930093001E-2</v>
      </c>
      <c r="S137" s="122">
        <f t="shared" si="3"/>
        <v>-4.031965128950242E-2</v>
      </c>
      <c r="U137" s="165">
        <v>44197</v>
      </c>
      <c r="V137" s="109">
        <v>375.31</v>
      </c>
      <c r="W137" s="109">
        <v>385.85</v>
      </c>
      <c r="X137" s="109">
        <v>364.82</v>
      </c>
      <c r="Y137" s="109">
        <v>370.07</v>
      </c>
      <c r="Z137" s="109">
        <v>349.51</v>
      </c>
      <c r="AA137" s="166">
        <v>1402265400</v>
      </c>
    </row>
    <row r="138" spans="1:27" ht="18" x14ac:dyDescent="0.2">
      <c r="A138" s="9"/>
      <c r="B138" s="6"/>
      <c r="C138" s="6"/>
      <c r="D138" s="6"/>
      <c r="E138" s="6"/>
      <c r="F138" s="7"/>
      <c r="G138" s="114">
        <v>44166</v>
      </c>
      <c r="H138" s="109">
        <v>40.35</v>
      </c>
      <c r="I138" s="109">
        <v>43.85</v>
      </c>
      <c r="J138" s="109">
        <v>39.81</v>
      </c>
      <c r="K138" s="109">
        <v>43.78</v>
      </c>
      <c r="L138" s="109">
        <v>39.520000000000003</v>
      </c>
      <c r="M138" s="110">
        <v>401600000</v>
      </c>
      <c r="O138" s="108">
        <v>52</v>
      </c>
      <c r="P138" cm="1">
        <f t="array" ref="P138">INDEX($K$89:$K$149,ROWS(K142:$K$149))</f>
        <v>160.55000000000001</v>
      </c>
      <c r="Q138" cm="1">
        <f t="array" ref="Q138">INDEX($Y$89:$Y$149,ROWS(Y141:$Y$149))</f>
        <v>527.37</v>
      </c>
      <c r="R138" s="121">
        <f t="shared" si="2"/>
        <v>0.2085058336469704</v>
      </c>
      <c r="S138" s="122">
        <f t="shared" si="3"/>
        <v>5.0579704370692029E-2</v>
      </c>
      <c r="U138" s="165">
        <v>44166</v>
      </c>
      <c r="V138" s="109">
        <v>365.57</v>
      </c>
      <c r="W138" s="109">
        <v>378.46</v>
      </c>
      <c r="X138" s="109">
        <v>362.03</v>
      </c>
      <c r="Y138" s="109">
        <v>373.88</v>
      </c>
      <c r="Z138" s="109">
        <v>351.61</v>
      </c>
      <c r="AA138" s="166">
        <v>1344541500</v>
      </c>
    </row>
    <row r="139" spans="1:27" ht="18" x14ac:dyDescent="0.2">
      <c r="A139" s="9"/>
      <c r="B139" s="6"/>
      <c r="C139" s="6"/>
      <c r="D139" s="6"/>
      <c r="E139" s="6"/>
      <c r="F139" s="7"/>
      <c r="G139" s="114">
        <v>44136</v>
      </c>
      <c r="H139" s="109">
        <v>35.5</v>
      </c>
      <c r="I139" s="109">
        <v>40.22</v>
      </c>
      <c r="J139" s="109">
        <v>34.67</v>
      </c>
      <c r="K139" s="109">
        <v>40.159999999999997</v>
      </c>
      <c r="L139" s="109">
        <v>36.24</v>
      </c>
      <c r="M139" s="110">
        <v>300997000</v>
      </c>
      <c r="O139" s="108">
        <v>53</v>
      </c>
      <c r="P139" cm="1">
        <f t="array" ref="P139">INDEX($K$89:$K$149,ROWS(K143:$K$149))</f>
        <v>160.68</v>
      </c>
      <c r="Q139" cm="1">
        <f t="array" ref="Q139">INDEX($Y$89:$Y$149,ROWS(Y142:$Y$149))</f>
        <v>544.22</v>
      </c>
      <c r="R139" s="121">
        <f t="shared" si="2"/>
        <v>8.0971659919025507E-4</v>
      </c>
      <c r="S139" s="122">
        <f t="shared" si="3"/>
        <v>3.1951002142708199E-2</v>
      </c>
      <c r="U139" s="165">
        <v>44136</v>
      </c>
      <c r="V139" s="109">
        <v>330.2</v>
      </c>
      <c r="W139" s="109">
        <v>364.38</v>
      </c>
      <c r="X139" s="109">
        <v>327.24</v>
      </c>
      <c r="Y139" s="109">
        <v>362.06</v>
      </c>
      <c r="Z139" s="109">
        <v>340.49</v>
      </c>
      <c r="AA139" s="166">
        <v>1535244300</v>
      </c>
    </row>
    <row r="140" spans="1:27" ht="18" x14ac:dyDescent="0.2">
      <c r="A140" s="9"/>
      <c r="B140" s="6"/>
      <c r="C140" s="6"/>
      <c r="D140" s="6"/>
      <c r="E140" s="6"/>
      <c r="F140" s="7"/>
      <c r="G140" s="114">
        <v>44105</v>
      </c>
      <c r="H140" s="109">
        <v>36.9</v>
      </c>
      <c r="I140" s="109">
        <v>38.78</v>
      </c>
      <c r="J140" s="109">
        <v>34.44</v>
      </c>
      <c r="K140" s="109">
        <v>34.96</v>
      </c>
      <c r="L140" s="109">
        <v>31.55</v>
      </c>
      <c r="M140" s="110">
        <v>337378000</v>
      </c>
      <c r="O140" s="105">
        <v>54</v>
      </c>
      <c r="P140" cm="1">
        <f t="array" ref="P140">INDEX($K$89:$K$149,ROWS(K144:$K$149))</f>
        <v>162.82</v>
      </c>
      <c r="Q140" cm="1">
        <f t="array" ref="Q140">INDEX($Y$89:$Y$149,ROWS(Y143:$Y$149))</f>
        <v>550.80999999999995</v>
      </c>
      <c r="R140" s="121">
        <f t="shared" si="2"/>
        <v>1.331839681354236E-2</v>
      </c>
      <c r="S140" s="122">
        <f t="shared" si="3"/>
        <v>1.210907353643732E-2</v>
      </c>
      <c r="U140" s="165">
        <v>44105</v>
      </c>
      <c r="V140" s="109">
        <v>337.69</v>
      </c>
      <c r="W140" s="109">
        <v>354.02</v>
      </c>
      <c r="X140" s="109">
        <v>322.60000000000002</v>
      </c>
      <c r="Y140" s="109">
        <v>326.54000000000002</v>
      </c>
      <c r="Z140" s="109">
        <v>307.08999999999997</v>
      </c>
      <c r="AA140" s="166">
        <v>1629016100</v>
      </c>
    </row>
    <row r="141" spans="1:27" ht="18" x14ac:dyDescent="0.2">
      <c r="A141" s="9"/>
      <c r="B141" s="6"/>
      <c r="C141" s="6"/>
      <c r="D141" s="6"/>
      <c r="E141" s="6"/>
      <c r="F141" s="7"/>
      <c r="G141" s="114">
        <v>44075</v>
      </c>
      <c r="H141" s="109">
        <v>35</v>
      </c>
      <c r="I141" s="109">
        <v>37.9</v>
      </c>
      <c r="J141" s="109">
        <v>34.35</v>
      </c>
      <c r="K141" s="109">
        <v>36.43</v>
      </c>
      <c r="L141" s="109">
        <v>32.58</v>
      </c>
      <c r="M141" s="110">
        <v>518809000</v>
      </c>
      <c r="O141" s="108">
        <v>55</v>
      </c>
      <c r="P141" cm="1">
        <f t="array" ref="P141">INDEX($K$89:$K$149,ROWS(K145:$K$149))</f>
        <v>172.5</v>
      </c>
      <c r="Q141" cm="1">
        <f t="array" ref="Q141">INDEX($Y$89:$Y$149,ROWS(Y144:$Y$149))</f>
        <v>563.67999999999995</v>
      </c>
      <c r="R141" s="121">
        <f t="shared" si="2"/>
        <v>5.9452155754821316E-2</v>
      </c>
      <c r="S141" s="122">
        <f t="shared" si="3"/>
        <v>2.3365588860042495E-2</v>
      </c>
      <c r="U141" s="165">
        <v>44075</v>
      </c>
      <c r="V141" s="109">
        <v>350.21</v>
      </c>
      <c r="W141" s="109">
        <v>358.75</v>
      </c>
      <c r="X141" s="109">
        <v>319.8</v>
      </c>
      <c r="Y141" s="109">
        <v>334.89</v>
      </c>
      <c r="Z141" s="109">
        <v>313.68</v>
      </c>
      <c r="AA141" s="166">
        <v>1814712700</v>
      </c>
    </row>
    <row r="142" spans="1:27" ht="18" x14ac:dyDescent="0.2">
      <c r="A142" s="9"/>
      <c r="B142" s="6"/>
      <c r="C142" s="6"/>
      <c r="D142" s="6"/>
      <c r="E142" s="6"/>
      <c r="F142" s="7"/>
      <c r="G142" s="114">
        <v>44044</v>
      </c>
      <c r="H142" s="109">
        <v>31.8</v>
      </c>
      <c r="I142" s="109">
        <v>35.06</v>
      </c>
      <c r="J142" s="109">
        <v>31.73</v>
      </c>
      <c r="K142" s="109">
        <v>34.72</v>
      </c>
      <c r="L142" s="109">
        <v>31.05</v>
      </c>
      <c r="M142" s="110">
        <v>310241000</v>
      </c>
      <c r="O142" s="108">
        <v>56</v>
      </c>
      <c r="P142" cm="1">
        <f t="array" ref="P142">INDEX($K$89:$K$149,ROWS(K146:$K$149))</f>
        <v>169.77</v>
      </c>
      <c r="Q142" cm="1">
        <f t="array" ref="Q142">INDEX($Y$89:$Y$149,ROWS(Y145:$Y$149))</f>
        <v>573.76</v>
      </c>
      <c r="R142" s="121">
        <f t="shared" si="2"/>
        <v>-1.5826086956521681E-2</v>
      </c>
      <c r="S142" s="122">
        <f t="shared" si="3"/>
        <v>1.7882486517172939E-2</v>
      </c>
      <c r="U142" s="165">
        <v>44044</v>
      </c>
      <c r="V142" s="109">
        <v>328.32</v>
      </c>
      <c r="W142" s="109">
        <v>351.3</v>
      </c>
      <c r="X142" s="109">
        <v>327.73</v>
      </c>
      <c r="Y142" s="109">
        <v>349.31</v>
      </c>
      <c r="Z142" s="109">
        <v>327.19</v>
      </c>
      <c r="AA142" s="166">
        <v>1045563300</v>
      </c>
    </row>
    <row r="143" spans="1:27" ht="18" x14ac:dyDescent="0.2">
      <c r="A143" s="9"/>
      <c r="B143" s="6"/>
      <c r="C143" s="6"/>
      <c r="D143" s="6"/>
      <c r="E143" s="6"/>
      <c r="F143" s="7"/>
      <c r="G143" s="114">
        <v>44013</v>
      </c>
      <c r="H143" s="109">
        <v>31.51</v>
      </c>
      <c r="I143" s="109">
        <v>32.43</v>
      </c>
      <c r="J143" s="109">
        <v>30.42</v>
      </c>
      <c r="K143" s="109">
        <v>31.67</v>
      </c>
      <c r="L143" s="109">
        <v>28.33</v>
      </c>
      <c r="M143" s="110">
        <v>379233000</v>
      </c>
      <c r="O143" s="108">
        <v>57</v>
      </c>
      <c r="P143" cm="1">
        <f t="array" ref="P143">INDEX($K$89:$K$149,ROWS(K147:$K$149))</f>
        <v>162.08000000000001</v>
      </c>
      <c r="Q143" cm="1">
        <f t="array" ref="Q143">INDEX($Y$89:$Y$149,ROWS(Y146:$Y$149))</f>
        <v>568.64</v>
      </c>
      <c r="R143" s="121">
        <f t="shared" si="2"/>
        <v>-4.529657772280142E-2</v>
      </c>
      <c r="S143" s="122">
        <f t="shared" si="3"/>
        <v>-8.9235917456776427E-3</v>
      </c>
      <c r="U143" s="165">
        <v>44013</v>
      </c>
      <c r="V143" s="109">
        <v>309.57</v>
      </c>
      <c r="W143" s="109">
        <v>327.23</v>
      </c>
      <c r="X143" s="109">
        <v>309.07</v>
      </c>
      <c r="Y143" s="109">
        <v>326.52</v>
      </c>
      <c r="Z143" s="109">
        <v>305.83999999999997</v>
      </c>
      <c r="AA143" s="166">
        <v>1505145300</v>
      </c>
    </row>
    <row r="144" spans="1:27" ht="18" x14ac:dyDescent="0.2">
      <c r="A144" s="9"/>
      <c r="B144" s="6"/>
      <c r="C144" s="6"/>
      <c r="D144" s="6"/>
      <c r="E144" s="6"/>
      <c r="F144" s="7"/>
      <c r="G144" s="114">
        <v>43983</v>
      </c>
      <c r="H144" s="109">
        <v>29.04</v>
      </c>
      <c r="I144" s="109">
        <v>32.81</v>
      </c>
      <c r="J144" s="109">
        <v>28.74</v>
      </c>
      <c r="K144" s="109">
        <v>31.56</v>
      </c>
      <c r="L144" s="109">
        <v>27.94</v>
      </c>
      <c r="M144" s="110">
        <v>652276000</v>
      </c>
      <c r="O144" s="105">
        <v>58</v>
      </c>
      <c r="P144" cm="1">
        <f t="array" ref="P144">INDEX($K$89:$K$149,ROWS(K148:$K$149))</f>
        <v>220.79</v>
      </c>
      <c r="Q144" cm="1">
        <f t="array" ref="Q144">INDEX($Y$89:$Y$149,ROWS(Y147:$Y$149))</f>
        <v>602.54999999999995</v>
      </c>
      <c r="R144" s="121">
        <f t="shared" si="2"/>
        <v>0.36222852912142134</v>
      </c>
      <c r="S144" s="122">
        <f t="shared" si="3"/>
        <v>5.9633511536297076E-2</v>
      </c>
      <c r="U144" s="165">
        <v>43983</v>
      </c>
      <c r="V144" s="109">
        <v>303.62</v>
      </c>
      <c r="W144" s="109">
        <v>323.41000000000003</v>
      </c>
      <c r="X144" s="109">
        <v>296.74</v>
      </c>
      <c r="Y144" s="109">
        <v>308.36</v>
      </c>
      <c r="Z144" s="109">
        <v>287.57</v>
      </c>
      <c r="AA144" s="166">
        <v>2358674500</v>
      </c>
    </row>
    <row r="145" spans="1:27" ht="19" thickBot="1" x14ac:dyDescent="0.25">
      <c r="A145" s="9"/>
      <c r="B145" s="6"/>
      <c r="C145" s="6"/>
      <c r="D145" s="6"/>
      <c r="E145" s="6"/>
      <c r="F145" s="7"/>
      <c r="G145" s="114">
        <v>43952</v>
      </c>
      <c r="H145" s="109">
        <v>26.6</v>
      </c>
      <c r="I145" s="109">
        <v>29.2</v>
      </c>
      <c r="J145" s="109">
        <v>25.48</v>
      </c>
      <c r="K145" s="109">
        <v>29.13</v>
      </c>
      <c r="L145" s="109">
        <v>25.78</v>
      </c>
      <c r="M145" s="110">
        <v>419535000</v>
      </c>
      <c r="O145" s="111">
        <v>59</v>
      </c>
      <c r="P145" s="28" cm="1">
        <f t="array" ref="P145">INDEX($K$89:$K$149,ROWS(K149:$K$149))</f>
        <v>220.79</v>
      </c>
      <c r="Q145" cm="1">
        <f t="array" ref="Q145">INDEX($Y$89:$Y$149,ROWS(Y148:$Y$149))</f>
        <v>591.15</v>
      </c>
      <c r="R145" s="123">
        <f>(P145-P144)/P144</f>
        <v>0</v>
      </c>
      <c r="S145" s="124">
        <f>(Q145-Q144)/Q144</f>
        <v>-1.8919591735125679E-2</v>
      </c>
      <c r="U145" s="165">
        <v>43952</v>
      </c>
      <c r="V145" s="109">
        <v>285.31</v>
      </c>
      <c r="W145" s="109">
        <v>306.83999999999997</v>
      </c>
      <c r="X145" s="109">
        <v>272.99</v>
      </c>
      <c r="Y145" s="109">
        <v>304.32</v>
      </c>
      <c r="Z145" s="109">
        <v>283.8</v>
      </c>
      <c r="AA145" s="166">
        <v>1910460500</v>
      </c>
    </row>
    <row r="146" spans="1:27" ht="18" x14ac:dyDescent="0.2">
      <c r="A146" s="9"/>
      <c r="B146" s="6"/>
      <c r="C146" s="6"/>
      <c r="D146" s="6"/>
      <c r="E146" s="6"/>
      <c r="F146" s="7"/>
      <c r="G146" s="114">
        <v>43922</v>
      </c>
      <c r="H146" s="109">
        <v>22.8</v>
      </c>
      <c r="I146" s="109">
        <v>27.7</v>
      </c>
      <c r="J146" s="109">
        <v>21.97</v>
      </c>
      <c r="K146" s="109">
        <v>27.16</v>
      </c>
      <c r="L146" s="109">
        <v>24.04</v>
      </c>
      <c r="M146" s="110">
        <v>619989000</v>
      </c>
      <c r="U146" s="165">
        <v>43922</v>
      </c>
      <c r="V146" s="109">
        <v>247.98</v>
      </c>
      <c r="W146" s="109">
        <v>294.88</v>
      </c>
      <c r="X146" s="109">
        <v>243.9</v>
      </c>
      <c r="Y146" s="109">
        <v>290.48</v>
      </c>
      <c r="Z146" s="109">
        <v>270.89</v>
      </c>
      <c r="AA146" s="166">
        <v>2819312300</v>
      </c>
    </row>
    <row r="147" spans="1:27" ht="18" x14ac:dyDescent="0.2">
      <c r="A147" s="9"/>
      <c r="B147" s="6"/>
      <c r="C147" s="6"/>
      <c r="D147" s="6"/>
      <c r="E147" s="6"/>
      <c r="F147" s="7"/>
      <c r="G147" s="114">
        <v>43891</v>
      </c>
      <c r="H147" s="109">
        <v>27.68</v>
      </c>
      <c r="I147" s="109">
        <v>28.85</v>
      </c>
      <c r="J147" s="109">
        <v>15.57</v>
      </c>
      <c r="K147" s="109">
        <v>23.71</v>
      </c>
      <c r="L147" s="109">
        <v>20.64</v>
      </c>
      <c r="M147" s="110">
        <v>1195556000</v>
      </c>
      <c r="U147" s="165">
        <v>43891</v>
      </c>
      <c r="V147" s="109">
        <v>298.20999999999998</v>
      </c>
      <c r="W147" s="109">
        <v>313.83999999999997</v>
      </c>
      <c r="X147" s="109">
        <v>218.26</v>
      </c>
      <c r="Y147" s="109">
        <v>257.75</v>
      </c>
      <c r="Z147" s="109">
        <v>238.97</v>
      </c>
      <c r="AA147" s="166">
        <v>5926017600</v>
      </c>
    </row>
    <row r="148" spans="1:27" ht="18" x14ac:dyDescent="0.2">
      <c r="A148" s="9"/>
      <c r="B148" s="6"/>
      <c r="C148" s="6"/>
      <c r="D148" s="6"/>
      <c r="E148" s="6"/>
      <c r="F148" s="7"/>
      <c r="G148" s="114">
        <v>43862</v>
      </c>
      <c r="H148" s="109">
        <v>30.56</v>
      </c>
      <c r="I148" s="109">
        <v>32.57</v>
      </c>
      <c r="J148" s="109">
        <v>26.27</v>
      </c>
      <c r="K148" s="109">
        <v>27.26</v>
      </c>
      <c r="L148" s="109">
        <v>23.73</v>
      </c>
      <c r="M148" s="110">
        <v>458786000</v>
      </c>
      <c r="U148" s="165">
        <v>43862</v>
      </c>
      <c r="V148" s="109">
        <v>323.35000000000002</v>
      </c>
      <c r="W148" s="109">
        <v>339.08</v>
      </c>
      <c r="X148" s="109">
        <v>285.54000000000002</v>
      </c>
      <c r="Y148" s="109">
        <v>296.26</v>
      </c>
      <c r="Z148" s="109">
        <v>274.67</v>
      </c>
      <c r="AA148" s="166">
        <v>2110214900</v>
      </c>
    </row>
    <row r="149" spans="1:27" ht="19" thickBot="1" x14ac:dyDescent="0.25">
      <c r="A149" s="9"/>
      <c r="B149" s="6"/>
      <c r="C149" s="6"/>
      <c r="D149" s="6"/>
      <c r="E149" s="6"/>
      <c r="F149" s="7"/>
      <c r="G149" s="115">
        <v>43831</v>
      </c>
      <c r="H149" s="112">
        <v>31.93</v>
      </c>
      <c r="I149" s="112">
        <v>33.159999999999997</v>
      </c>
      <c r="J149" s="112">
        <v>29.88</v>
      </c>
      <c r="K149" s="112">
        <v>30.52</v>
      </c>
      <c r="L149" s="112">
        <v>26.56</v>
      </c>
      <c r="M149" s="113">
        <v>585943000</v>
      </c>
      <c r="U149" s="165">
        <v>43831</v>
      </c>
      <c r="V149" s="109">
        <v>323.54000000000002</v>
      </c>
      <c r="W149" s="109">
        <v>332.95</v>
      </c>
      <c r="X149" s="109">
        <v>320.36</v>
      </c>
      <c r="Y149" s="109">
        <v>321.73</v>
      </c>
      <c r="Z149" s="109">
        <v>298.27999999999997</v>
      </c>
      <c r="AA149" s="166">
        <v>1392003800</v>
      </c>
    </row>
    <row r="150" spans="1:27" x14ac:dyDescent="0.2">
      <c r="A150" s="9"/>
      <c r="B150" s="6"/>
      <c r="C150" s="6"/>
      <c r="D150" s="6"/>
      <c r="E150" s="6"/>
      <c r="F150" s="7"/>
      <c r="G150" s="8"/>
    </row>
    <row r="151" spans="1:27" x14ac:dyDescent="0.2">
      <c r="A151" s="9"/>
      <c r="B151" s="6"/>
      <c r="C151" s="6"/>
      <c r="D151" s="6"/>
      <c r="E151" s="6"/>
      <c r="F151" s="7"/>
      <c r="G151" s="8"/>
    </row>
    <row r="152" spans="1:27" x14ac:dyDescent="0.2">
      <c r="A152" s="9"/>
      <c r="B152" s="6"/>
      <c r="C152" s="6"/>
      <c r="D152" s="6"/>
      <c r="E152" s="6"/>
      <c r="F152" s="7"/>
      <c r="G152" s="8"/>
    </row>
    <row r="153" spans="1:27" x14ac:dyDescent="0.2">
      <c r="A153" s="9"/>
      <c r="B153" s="6"/>
      <c r="C153" s="6"/>
      <c r="D153" s="6"/>
      <c r="E153" s="6"/>
      <c r="F153" s="7"/>
      <c r="G153" s="8"/>
    </row>
    <row r="154" spans="1:27" x14ac:dyDescent="0.2">
      <c r="A154" s="9"/>
      <c r="B154" s="6"/>
      <c r="C154" s="6"/>
      <c r="D154" s="6"/>
      <c r="E154" s="6"/>
      <c r="F154" s="7"/>
      <c r="G154" s="8"/>
    </row>
    <row r="155" spans="1:27" x14ac:dyDescent="0.2">
      <c r="A155" s="9"/>
      <c r="B155" s="6"/>
      <c r="C155" s="6"/>
      <c r="D155" s="6"/>
      <c r="E155" s="6"/>
      <c r="F155" s="7"/>
      <c r="G155" s="8"/>
    </row>
    <row r="156" spans="1:27" x14ac:dyDescent="0.2">
      <c r="A156" s="9"/>
      <c r="B156" s="6"/>
      <c r="C156" s="6"/>
      <c r="D156" s="6"/>
      <c r="E156" s="6"/>
      <c r="F156" s="7"/>
      <c r="G156" s="8"/>
    </row>
    <row r="157" spans="1:27" x14ac:dyDescent="0.2">
      <c r="A157" s="9"/>
      <c r="B157" s="6"/>
      <c r="C157" s="6"/>
      <c r="D157" s="6"/>
      <c r="E157" s="6"/>
      <c r="F157" s="7"/>
      <c r="G157" s="8"/>
    </row>
    <row r="158" spans="1:27" x14ac:dyDescent="0.2">
      <c r="A158" s="9"/>
      <c r="B158" s="6"/>
      <c r="C158" s="6"/>
      <c r="D158" s="6"/>
      <c r="E158" s="6"/>
      <c r="F158" s="7"/>
      <c r="G158" s="8"/>
    </row>
    <row r="159" spans="1:27" x14ac:dyDescent="0.2">
      <c r="A159" s="9"/>
      <c r="B159" s="6"/>
      <c r="C159" s="6"/>
      <c r="D159" s="6"/>
      <c r="E159" s="6"/>
      <c r="F159" s="7"/>
      <c r="G159" s="8"/>
    </row>
    <row r="160" spans="1:27" x14ac:dyDescent="0.2">
      <c r="A160" s="9"/>
      <c r="B160" s="6"/>
      <c r="C160" s="6"/>
      <c r="D160" s="6"/>
      <c r="E160" s="6"/>
      <c r="F160" s="7"/>
      <c r="G160" s="8"/>
    </row>
    <row r="161" spans="1:7" x14ac:dyDescent="0.2">
      <c r="A161" s="9"/>
      <c r="B161" s="6"/>
      <c r="C161" s="6"/>
      <c r="D161" s="6"/>
      <c r="E161" s="6"/>
      <c r="F161" s="7"/>
      <c r="G161" s="8"/>
    </row>
    <row r="162" spans="1:7" x14ac:dyDescent="0.2">
      <c r="A162" s="9"/>
      <c r="B162" s="6"/>
      <c r="C162" s="6"/>
      <c r="D162" s="6"/>
      <c r="E162" s="6"/>
      <c r="F162" s="7"/>
      <c r="G162" s="8"/>
    </row>
    <row r="163" spans="1:7" x14ac:dyDescent="0.2">
      <c r="A163" s="9"/>
      <c r="B163" s="6"/>
      <c r="C163" s="6"/>
      <c r="D163" s="6"/>
      <c r="E163" s="6"/>
      <c r="F163" s="7"/>
      <c r="G163" s="8"/>
    </row>
    <row r="164" spans="1:7" x14ac:dyDescent="0.2">
      <c r="A164" s="9"/>
      <c r="B164" s="6"/>
      <c r="C164" s="6"/>
      <c r="D164" s="6"/>
      <c r="E164" s="6"/>
      <c r="F164" s="7"/>
      <c r="G164" s="8"/>
    </row>
    <row r="165" spans="1:7" x14ac:dyDescent="0.2">
      <c r="A165" s="9"/>
      <c r="B165" s="6"/>
      <c r="C165" s="6"/>
      <c r="D165" s="6"/>
      <c r="E165" s="6"/>
      <c r="F165" s="7"/>
      <c r="G165" s="8"/>
    </row>
    <row r="166" spans="1:7" x14ac:dyDescent="0.2">
      <c r="A166" s="9"/>
      <c r="B166" s="6"/>
      <c r="C166" s="6"/>
      <c r="D166" s="6"/>
      <c r="E166" s="6"/>
      <c r="F166" s="7"/>
      <c r="G166" s="8"/>
    </row>
    <row r="167" spans="1:7" x14ac:dyDescent="0.2">
      <c r="A167" s="9"/>
      <c r="B167" s="6"/>
      <c r="C167" s="6"/>
      <c r="D167" s="6"/>
      <c r="E167" s="6"/>
      <c r="F167" s="7"/>
      <c r="G167" s="8"/>
    </row>
    <row r="168" spans="1:7" x14ac:dyDescent="0.2">
      <c r="A168" s="9"/>
      <c r="B168" s="6"/>
      <c r="C168" s="6"/>
      <c r="D168" s="6"/>
      <c r="E168" s="6"/>
      <c r="F168" s="7"/>
      <c r="G168" s="8"/>
    </row>
    <row r="169" spans="1:7" x14ac:dyDescent="0.2">
      <c r="A169" s="9"/>
      <c r="B169" s="6"/>
      <c r="C169" s="6"/>
      <c r="D169" s="6"/>
      <c r="E169" s="6"/>
      <c r="F169" s="7"/>
      <c r="G169" s="8"/>
    </row>
    <row r="170" spans="1:7" x14ac:dyDescent="0.2">
      <c r="A170" s="9"/>
      <c r="B170" s="6"/>
      <c r="C170" s="6"/>
      <c r="D170" s="6"/>
      <c r="E170" s="6"/>
      <c r="F170" s="7"/>
      <c r="G170" s="8"/>
    </row>
    <row r="171" spans="1:7" x14ac:dyDescent="0.2">
      <c r="A171" s="9"/>
      <c r="B171" s="6"/>
      <c r="C171" s="6"/>
      <c r="D171" s="6"/>
      <c r="E171" s="6"/>
      <c r="F171" s="7"/>
      <c r="G171" s="8"/>
    </row>
    <row r="172" spans="1:7" x14ac:dyDescent="0.2">
      <c r="A172" s="9"/>
      <c r="B172" s="6"/>
      <c r="C172" s="6"/>
      <c r="D172" s="6"/>
      <c r="E172" s="6"/>
      <c r="F172" s="7"/>
      <c r="G172" s="8"/>
    </row>
    <row r="173" spans="1:7" x14ac:dyDescent="0.2">
      <c r="A173" s="9"/>
      <c r="B173" s="6"/>
      <c r="C173" s="6"/>
      <c r="D173" s="6"/>
      <c r="E173" s="6"/>
      <c r="F173" s="7"/>
      <c r="G173" s="8"/>
    </row>
    <row r="174" spans="1:7" x14ac:dyDescent="0.2">
      <c r="A174" s="9"/>
      <c r="B174" s="6"/>
      <c r="C174" s="6"/>
      <c r="D174" s="6"/>
      <c r="E174" s="6"/>
      <c r="F174" s="7"/>
      <c r="G174" s="8"/>
    </row>
    <row r="175" spans="1:7" x14ac:dyDescent="0.2">
      <c r="A175" s="9"/>
      <c r="B175" s="6"/>
      <c r="C175" s="6"/>
      <c r="D175" s="6"/>
      <c r="E175" s="6"/>
      <c r="F175" s="7"/>
      <c r="G175" s="8"/>
    </row>
    <row r="176" spans="1:7" x14ac:dyDescent="0.2">
      <c r="A176" s="9"/>
      <c r="B176" s="6"/>
      <c r="C176" s="6"/>
      <c r="D176" s="6"/>
      <c r="E176" s="6"/>
      <c r="F176" s="7"/>
      <c r="G176" s="8"/>
    </row>
    <row r="177" spans="1:7" x14ac:dyDescent="0.2">
      <c r="A177" s="9"/>
      <c r="B177" s="6"/>
      <c r="C177" s="6"/>
      <c r="D177" s="6"/>
      <c r="E177" s="6"/>
      <c r="F177" s="7"/>
      <c r="G177" s="8"/>
    </row>
    <row r="178" spans="1:7" x14ac:dyDescent="0.2">
      <c r="A178" s="9"/>
      <c r="B178" s="6"/>
      <c r="C178" s="6"/>
      <c r="D178" s="6"/>
      <c r="E178" s="6"/>
      <c r="F178" s="7"/>
      <c r="G178" s="8"/>
    </row>
    <row r="179" spans="1:7" x14ac:dyDescent="0.2">
      <c r="A179" s="9"/>
      <c r="B179" s="6"/>
      <c r="C179" s="6"/>
      <c r="D179" s="6"/>
      <c r="E179" s="6"/>
      <c r="F179" s="7"/>
      <c r="G179" s="8"/>
    </row>
    <row r="180" spans="1:7" x14ac:dyDescent="0.2">
      <c r="A180" s="9"/>
      <c r="B180" s="6"/>
      <c r="C180" s="6"/>
      <c r="D180" s="6"/>
      <c r="E180" s="6"/>
      <c r="F180" s="7"/>
      <c r="G180" s="8"/>
    </row>
    <row r="181" spans="1:7" x14ac:dyDescent="0.2">
      <c r="A181" s="9"/>
      <c r="B181" s="6"/>
      <c r="C181" s="6"/>
      <c r="D181" s="6"/>
      <c r="E181" s="6"/>
      <c r="F181" s="7"/>
      <c r="G181" s="8"/>
    </row>
    <row r="182" spans="1:7" x14ac:dyDescent="0.2">
      <c r="A182" s="9"/>
      <c r="B182" s="6"/>
      <c r="C182" s="6"/>
      <c r="D182" s="6"/>
      <c r="E182" s="7"/>
      <c r="F182" s="7"/>
      <c r="G182" s="8"/>
    </row>
    <row r="183" spans="1:7" x14ac:dyDescent="0.2">
      <c r="A183" s="9"/>
      <c r="B183" s="6"/>
      <c r="C183" s="7"/>
      <c r="D183" s="6"/>
      <c r="E183" s="7"/>
      <c r="F183" s="7"/>
      <c r="G183" s="8"/>
    </row>
    <row r="184" spans="1:7" x14ac:dyDescent="0.2">
      <c r="A184" s="9"/>
      <c r="B184" s="7"/>
      <c r="C184" s="7"/>
      <c r="D184" s="7"/>
      <c r="E184" s="7"/>
      <c r="F184" s="7"/>
      <c r="G184" s="8"/>
    </row>
    <row r="185" spans="1:7" x14ac:dyDescent="0.2">
      <c r="A185" s="9"/>
      <c r="B185" s="7"/>
      <c r="C185" s="7"/>
      <c r="D185" s="7"/>
      <c r="E185" s="7"/>
      <c r="F185" s="7"/>
      <c r="G185" s="8"/>
    </row>
    <row r="186" spans="1:7" x14ac:dyDescent="0.2">
      <c r="A186" s="9"/>
      <c r="B186" s="7"/>
      <c r="C186" s="7"/>
      <c r="D186" s="7"/>
      <c r="E186" s="7"/>
      <c r="F186" s="7"/>
      <c r="G186" s="8"/>
    </row>
    <row r="187" spans="1:7" x14ac:dyDescent="0.2">
      <c r="A187" s="9"/>
      <c r="B187" s="7"/>
      <c r="C187" s="7"/>
      <c r="D187" s="7"/>
      <c r="E187" s="7"/>
      <c r="F187" s="7"/>
      <c r="G187" s="8"/>
    </row>
    <row r="188" spans="1:7" x14ac:dyDescent="0.2">
      <c r="A188" s="9"/>
      <c r="B188" s="7"/>
      <c r="C188" s="7"/>
      <c r="D188" s="7"/>
      <c r="E188" s="7"/>
      <c r="F188" s="7"/>
      <c r="G188" s="8"/>
    </row>
    <row r="189" spans="1:7" x14ac:dyDescent="0.2">
      <c r="A189" s="9"/>
      <c r="B189" s="7"/>
      <c r="C189" s="7"/>
      <c r="D189" s="7"/>
      <c r="E189" s="7"/>
      <c r="F189" s="7"/>
      <c r="G189" s="8"/>
    </row>
    <row r="190" spans="1:7" x14ac:dyDescent="0.2">
      <c r="A190" s="9"/>
      <c r="B190" s="7"/>
      <c r="C190" s="7"/>
      <c r="D190" s="7"/>
      <c r="E190" s="7"/>
      <c r="F190" s="7"/>
      <c r="G190" s="8"/>
    </row>
    <row r="191" spans="1:7" x14ac:dyDescent="0.2">
      <c r="A191" s="9"/>
      <c r="B191" s="7"/>
      <c r="C191" s="7"/>
      <c r="D191" s="7"/>
      <c r="E191" s="7"/>
      <c r="F191" s="7"/>
      <c r="G191" s="8"/>
    </row>
    <row r="192" spans="1:7" x14ac:dyDescent="0.2">
      <c r="A192" s="9"/>
      <c r="B192" s="7"/>
      <c r="C192" s="7"/>
      <c r="D192" s="6"/>
      <c r="E192" s="7"/>
      <c r="F192" s="7"/>
      <c r="G192" s="8"/>
    </row>
    <row r="193" spans="1:7" x14ac:dyDescent="0.2">
      <c r="A193" s="9"/>
      <c r="B193" s="7"/>
      <c r="C193" s="6"/>
      <c r="D193" s="6"/>
      <c r="E193" s="7"/>
      <c r="F193" s="7"/>
      <c r="G193" s="8"/>
    </row>
    <row r="194" spans="1:7" x14ac:dyDescent="0.2">
      <c r="A194" s="9"/>
      <c r="B194" s="6"/>
      <c r="C194" s="6"/>
      <c r="D194" s="6"/>
      <c r="E194" s="6"/>
      <c r="F194" s="7"/>
      <c r="G194" s="8"/>
    </row>
    <row r="195" spans="1:7" x14ac:dyDescent="0.2">
      <c r="A195" s="9"/>
      <c r="B195" s="6"/>
      <c r="C195" s="6"/>
      <c r="D195" s="6"/>
      <c r="E195" s="6"/>
      <c r="F195" s="7"/>
      <c r="G195" s="8"/>
    </row>
    <row r="196" spans="1:7" x14ac:dyDescent="0.2">
      <c r="A196" s="9"/>
      <c r="B196" s="6"/>
      <c r="C196" s="6"/>
      <c r="D196" s="6"/>
      <c r="E196" s="6"/>
      <c r="F196" s="7"/>
      <c r="G196" s="8"/>
    </row>
    <row r="197" spans="1:7" x14ac:dyDescent="0.2">
      <c r="A197" s="9"/>
      <c r="B197" s="6"/>
      <c r="C197" s="6"/>
      <c r="D197" s="6"/>
      <c r="E197" s="6"/>
      <c r="F197" s="7"/>
      <c r="G197" s="8"/>
    </row>
    <row r="198" spans="1:7" x14ac:dyDescent="0.2">
      <c r="A198" s="9"/>
      <c r="B198" s="6"/>
      <c r="C198" s="6"/>
      <c r="D198" s="6"/>
      <c r="E198" s="6"/>
      <c r="F198" s="7"/>
      <c r="G198" s="8"/>
    </row>
    <row r="199" spans="1:7" x14ac:dyDescent="0.2">
      <c r="A199" s="9"/>
      <c r="B199" s="6"/>
      <c r="C199" s="6"/>
      <c r="D199" s="6"/>
      <c r="E199" s="6"/>
      <c r="F199" s="7"/>
      <c r="G199" s="8"/>
    </row>
    <row r="200" spans="1:7" x14ac:dyDescent="0.2">
      <c r="A200" s="9"/>
      <c r="B200" s="6"/>
      <c r="C200" s="6"/>
      <c r="D200" s="6"/>
      <c r="E200" s="6"/>
      <c r="F200" s="7"/>
      <c r="G200" s="8"/>
    </row>
    <row r="201" spans="1:7" x14ac:dyDescent="0.2">
      <c r="A201" s="9"/>
      <c r="B201" s="6"/>
      <c r="C201" s="6"/>
      <c r="D201" s="6"/>
      <c r="E201" s="6"/>
      <c r="F201" s="7"/>
      <c r="G201" s="8"/>
    </row>
    <row r="202" spans="1:7" x14ac:dyDescent="0.2">
      <c r="A202" s="9"/>
      <c r="B202" s="6"/>
      <c r="C202" s="6"/>
      <c r="D202" s="6"/>
      <c r="E202" s="6"/>
      <c r="F202" s="7"/>
      <c r="G202" s="8"/>
    </row>
    <row r="203" spans="1:7" x14ac:dyDescent="0.2">
      <c r="A203" s="9"/>
      <c r="B203" s="6"/>
      <c r="C203" s="6"/>
      <c r="D203" s="6"/>
      <c r="E203" s="6"/>
      <c r="F203" s="7"/>
      <c r="G203" s="8"/>
    </row>
    <row r="204" spans="1:7" x14ac:dyDescent="0.2">
      <c r="A204" s="9"/>
      <c r="B204" s="6"/>
      <c r="C204" s="6"/>
      <c r="D204" s="6"/>
      <c r="E204" s="6"/>
      <c r="F204" s="7"/>
      <c r="G204" s="8"/>
    </row>
    <row r="205" spans="1:7" x14ac:dyDescent="0.2">
      <c r="A205" s="9"/>
      <c r="B205" s="6"/>
      <c r="C205" s="6"/>
      <c r="D205" s="6"/>
      <c r="E205" s="6"/>
      <c r="F205" s="7"/>
      <c r="G205" s="8"/>
    </row>
    <row r="206" spans="1:7" x14ac:dyDescent="0.2">
      <c r="A206" s="9"/>
      <c r="B206" s="6"/>
      <c r="C206" s="6"/>
      <c r="D206" s="6"/>
      <c r="E206" s="6"/>
      <c r="F206" s="7"/>
      <c r="G206" s="8"/>
    </row>
    <row r="207" spans="1:7" x14ac:dyDescent="0.2">
      <c r="A207" s="9"/>
      <c r="B207" s="6"/>
      <c r="C207" s="6"/>
      <c r="D207" s="6"/>
      <c r="E207" s="6"/>
      <c r="F207" s="7"/>
      <c r="G207" s="8"/>
    </row>
    <row r="208" spans="1:7" x14ac:dyDescent="0.2">
      <c r="A208" s="9"/>
      <c r="B208" s="6"/>
      <c r="C208" s="6"/>
      <c r="D208" s="6"/>
      <c r="E208" s="6"/>
      <c r="F208" s="7"/>
      <c r="G208" s="8"/>
    </row>
    <row r="209" spans="1:7" x14ac:dyDescent="0.2">
      <c r="A209" s="9"/>
      <c r="B209" s="6"/>
      <c r="C209" s="6"/>
      <c r="D209" s="6"/>
      <c r="E209" s="6"/>
      <c r="F209" s="7"/>
      <c r="G209" s="8"/>
    </row>
    <row r="210" spans="1:7" x14ac:dyDescent="0.2">
      <c r="A210" s="9"/>
      <c r="B210" s="6"/>
      <c r="C210" s="6"/>
      <c r="D210" s="6"/>
      <c r="E210" s="6"/>
      <c r="F210" s="7"/>
      <c r="G210" s="8"/>
    </row>
    <row r="211" spans="1:7" x14ac:dyDescent="0.2">
      <c r="A211" s="9"/>
      <c r="B211" s="6"/>
      <c r="C211" s="6"/>
      <c r="D211" s="6"/>
      <c r="E211" s="6"/>
      <c r="F211" s="7"/>
      <c r="G211" s="8"/>
    </row>
    <row r="212" spans="1:7" x14ac:dyDescent="0.2">
      <c r="A212" s="9"/>
      <c r="B212" s="6"/>
      <c r="C212" s="6"/>
      <c r="D212" s="6"/>
      <c r="E212" s="6"/>
      <c r="F212" s="7"/>
      <c r="G212" s="8"/>
    </row>
    <row r="213" spans="1:7" x14ac:dyDescent="0.2">
      <c r="A213" s="9"/>
      <c r="B213" s="6"/>
      <c r="C213" s="6"/>
      <c r="D213" s="6"/>
      <c r="E213" s="6"/>
      <c r="F213" s="7"/>
      <c r="G213" s="8"/>
    </row>
    <row r="214" spans="1:7" x14ac:dyDescent="0.2">
      <c r="A214" s="9"/>
      <c r="B214" s="6"/>
      <c r="C214" s="6"/>
      <c r="D214" s="6"/>
      <c r="E214" s="6"/>
      <c r="F214" s="7"/>
      <c r="G214" s="8"/>
    </row>
    <row r="215" spans="1:7" x14ac:dyDescent="0.2">
      <c r="A215" s="9"/>
      <c r="B215" s="6"/>
      <c r="C215" s="6"/>
      <c r="D215" s="6"/>
      <c r="E215" s="6"/>
      <c r="F215" s="7"/>
      <c r="G215" s="8"/>
    </row>
    <row r="216" spans="1:7" x14ac:dyDescent="0.2">
      <c r="A216" s="9"/>
      <c r="B216" s="6"/>
      <c r="C216" s="6"/>
      <c r="D216" s="6"/>
      <c r="E216" s="6"/>
      <c r="F216" s="7"/>
      <c r="G216" s="8"/>
    </row>
    <row r="217" spans="1:7" x14ac:dyDescent="0.2">
      <c r="A217" s="9"/>
      <c r="B217" s="6"/>
      <c r="C217" s="6"/>
      <c r="D217" s="6"/>
      <c r="E217" s="6"/>
      <c r="F217" s="7"/>
      <c r="G217" s="8"/>
    </row>
    <row r="218" spans="1:7" x14ac:dyDescent="0.2">
      <c r="A218" s="9"/>
      <c r="B218" s="6"/>
      <c r="C218" s="6"/>
      <c r="D218" s="6"/>
      <c r="E218" s="6"/>
      <c r="F218" s="7"/>
      <c r="G218" s="8"/>
    </row>
    <row r="219" spans="1:7" x14ac:dyDescent="0.2">
      <c r="A219" s="9"/>
      <c r="B219" s="6"/>
      <c r="C219" s="6"/>
      <c r="D219" s="6"/>
      <c r="E219" s="6"/>
      <c r="F219" s="7"/>
      <c r="G219" s="8"/>
    </row>
    <row r="220" spans="1:7" x14ac:dyDescent="0.2">
      <c r="A220" s="9"/>
      <c r="B220" s="6"/>
      <c r="C220" s="6"/>
      <c r="D220" s="6"/>
      <c r="E220" s="6"/>
      <c r="F220" s="7"/>
      <c r="G220" s="8"/>
    </row>
    <row r="221" spans="1:7" x14ac:dyDescent="0.2">
      <c r="A221" s="9"/>
      <c r="B221" s="6"/>
      <c r="C221" s="6"/>
      <c r="D221" s="6"/>
      <c r="E221" s="6"/>
      <c r="F221" s="7"/>
      <c r="G221" s="8"/>
    </row>
    <row r="222" spans="1:7" x14ac:dyDescent="0.2">
      <c r="A222" s="9"/>
      <c r="B222" s="6"/>
      <c r="C222" s="6"/>
      <c r="D222" s="6"/>
      <c r="E222" s="6"/>
      <c r="F222" s="7"/>
      <c r="G222" s="8"/>
    </row>
    <row r="223" spans="1:7" x14ac:dyDescent="0.2">
      <c r="A223" s="9"/>
      <c r="B223" s="6"/>
      <c r="C223" s="6"/>
      <c r="D223" s="6"/>
      <c r="E223" s="6"/>
      <c r="F223" s="7"/>
      <c r="G223" s="8"/>
    </row>
    <row r="224" spans="1:7" x14ac:dyDescent="0.2">
      <c r="A224" s="9"/>
      <c r="B224" s="6"/>
      <c r="C224" s="6"/>
      <c r="D224" s="6"/>
      <c r="E224" s="6"/>
      <c r="F224" s="7"/>
      <c r="G224" s="8"/>
    </row>
    <row r="225" spans="1:7" x14ac:dyDescent="0.2">
      <c r="A225" s="9"/>
      <c r="B225" s="6"/>
      <c r="C225" s="6"/>
      <c r="D225" s="6"/>
      <c r="E225" s="6"/>
      <c r="F225" s="7"/>
      <c r="G225" s="8"/>
    </row>
    <row r="226" spans="1:7" x14ac:dyDescent="0.2">
      <c r="A226" s="9"/>
      <c r="B226" s="6"/>
      <c r="C226" s="6"/>
      <c r="D226" s="6"/>
      <c r="E226" s="6"/>
      <c r="F226" s="7"/>
      <c r="G226" s="8"/>
    </row>
    <row r="227" spans="1:7" x14ac:dyDescent="0.2">
      <c r="A227" s="9"/>
      <c r="B227" s="6"/>
      <c r="C227" s="6"/>
      <c r="D227" s="6"/>
      <c r="E227" s="6"/>
      <c r="F227" s="7"/>
      <c r="G227" s="8"/>
    </row>
    <row r="228" spans="1:7" x14ac:dyDescent="0.2">
      <c r="A228" s="9"/>
      <c r="B228" s="6"/>
      <c r="C228" s="6"/>
      <c r="D228" s="6"/>
      <c r="E228" s="6"/>
      <c r="F228" s="7"/>
      <c r="G228" s="8"/>
    </row>
    <row r="229" spans="1:7" x14ac:dyDescent="0.2">
      <c r="A229" s="9"/>
      <c r="B229" s="6"/>
      <c r="C229" s="6"/>
      <c r="D229" s="6"/>
      <c r="E229" s="6"/>
      <c r="F229" s="7"/>
      <c r="G229" s="8"/>
    </row>
    <row r="230" spans="1:7" x14ac:dyDescent="0.2">
      <c r="A230" s="9"/>
      <c r="B230" s="6"/>
      <c r="C230" s="6"/>
      <c r="D230" s="6"/>
      <c r="E230" s="6"/>
      <c r="F230" s="7"/>
      <c r="G230" s="8"/>
    </row>
    <row r="231" spans="1:7" x14ac:dyDescent="0.2">
      <c r="A231" s="9"/>
      <c r="B231" s="6"/>
      <c r="C231" s="6"/>
      <c r="D231" s="6"/>
      <c r="E231" s="6"/>
      <c r="F231" s="7"/>
      <c r="G231" s="8"/>
    </row>
    <row r="232" spans="1:7" x14ac:dyDescent="0.2">
      <c r="A232" s="9"/>
      <c r="B232" s="6"/>
      <c r="C232" s="6"/>
      <c r="D232" s="6"/>
      <c r="E232" s="6"/>
      <c r="F232" s="7"/>
      <c r="G232" s="8"/>
    </row>
    <row r="233" spans="1:7" x14ac:dyDescent="0.2">
      <c r="A233" s="9"/>
      <c r="B233" s="6"/>
      <c r="C233" s="6"/>
      <c r="D233" s="6"/>
      <c r="E233" s="6"/>
      <c r="F233" s="7"/>
      <c r="G233" s="8"/>
    </row>
    <row r="234" spans="1:7" x14ac:dyDescent="0.2">
      <c r="A234" s="9"/>
      <c r="B234" s="6"/>
      <c r="C234" s="6"/>
      <c r="D234" s="6"/>
      <c r="E234" s="6"/>
      <c r="F234" s="7"/>
      <c r="G234" s="8"/>
    </row>
    <row r="235" spans="1:7" x14ac:dyDescent="0.2">
      <c r="A235" s="9"/>
      <c r="B235" s="6"/>
      <c r="C235" s="6"/>
      <c r="D235" s="6"/>
      <c r="E235" s="6"/>
      <c r="F235" s="7"/>
      <c r="G235" s="8"/>
    </row>
    <row r="236" spans="1:7" x14ac:dyDescent="0.2">
      <c r="A236" s="9"/>
      <c r="B236" s="6"/>
      <c r="C236" s="6"/>
      <c r="D236" s="6"/>
      <c r="E236" s="6"/>
      <c r="F236" s="7"/>
      <c r="G236" s="8"/>
    </row>
    <row r="237" spans="1:7" x14ac:dyDescent="0.2">
      <c r="A237" s="9"/>
      <c r="B237" s="6"/>
      <c r="C237" s="6"/>
      <c r="D237" s="6"/>
      <c r="E237" s="6"/>
      <c r="F237" s="7"/>
      <c r="G237" s="8"/>
    </row>
    <row r="238" spans="1:7" x14ac:dyDescent="0.2">
      <c r="A238" s="9"/>
      <c r="B238" s="6"/>
      <c r="C238" s="6"/>
      <c r="D238" s="6"/>
      <c r="E238" s="6"/>
      <c r="F238" s="7"/>
      <c r="G238" s="8"/>
    </row>
    <row r="239" spans="1:7" x14ac:dyDescent="0.2">
      <c r="A239" s="9"/>
      <c r="B239" s="6"/>
      <c r="C239" s="6"/>
      <c r="D239" s="6"/>
      <c r="E239" s="6"/>
      <c r="F239" s="7"/>
      <c r="G239" s="8"/>
    </row>
    <row r="240" spans="1:7" x14ac:dyDescent="0.2">
      <c r="A240" s="9"/>
      <c r="B240" s="6"/>
      <c r="C240" s="6"/>
      <c r="D240" s="6"/>
      <c r="E240" s="6"/>
      <c r="F240" s="7"/>
      <c r="G240" s="8"/>
    </row>
    <row r="241" spans="1:7" x14ac:dyDescent="0.2">
      <c r="A241" s="9"/>
      <c r="B241" s="6"/>
      <c r="C241" s="6"/>
      <c r="D241" s="6"/>
      <c r="E241" s="6"/>
      <c r="F241" s="7"/>
      <c r="G241" s="8"/>
    </row>
    <row r="242" spans="1:7" x14ac:dyDescent="0.2">
      <c r="A242" s="9"/>
      <c r="B242" s="6"/>
      <c r="C242" s="6"/>
      <c r="D242" s="6"/>
      <c r="E242" s="6"/>
      <c r="F242" s="7"/>
      <c r="G242" s="8"/>
    </row>
    <row r="243" spans="1:7" x14ac:dyDescent="0.2">
      <c r="A243" s="9"/>
      <c r="B243" s="6"/>
      <c r="C243" s="6"/>
      <c r="D243" s="6"/>
      <c r="E243" s="6"/>
      <c r="F243" s="7"/>
      <c r="G243" s="8"/>
    </row>
    <row r="244" spans="1:7" x14ac:dyDescent="0.2">
      <c r="A244" s="9"/>
      <c r="B244" s="6"/>
      <c r="C244" s="6"/>
      <c r="D244" s="6"/>
      <c r="E244" s="6"/>
      <c r="F244" s="7"/>
      <c r="G244" s="8"/>
    </row>
    <row r="245" spans="1:7" x14ac:dyDescent="0.2">
      <c r="A245" s="9"/>
      <c r="B245" s="6"/>
      <c r="C245" s="6"/>
      <c r="D245" s="6"/>
      <c r="E245" s="6"/>
      <c r="F245" s="7"/>
      <c r="G245" s="8"/>
    </row>
    <row r="246" spans="1:7" x14ac:dyDescent="0.2">
      <c r="A246" s="9"/>
      <c r="B246" s="6"/>
      <c r="C246" s="6"/>
      <c r="D246" s="6"/>
      <c r="E246" s="6"/>
      <c r="F246" s="7"/>
      <c r="G246" s="8"/>
    </row>
    <row r="247" spans="1:7" x14ac:dyDescent="0.2">
      <c r="A247" s="9"/>
      <c r="B247" s="6"/>
      <c r="C247" s="6"/>
      <c r="D247" s="6"/>
      <c r="E247" s="6"/>
      <c r="F247" s="7"/>
      <c r="G247" s="8"/>
    </row>
    <row r="248" spans="1:7" x14ac:dyDescent="0.2">
      <c r="A248" s="9"/>
      <c r="B248" s="6"/>
      <c r="C248" s="6"/>
      <c r="D248" s="6"/>
      <c r="E248" s="6"/>
      <c r="F248" s="7"/>
      <c r="G248" s="8"/>
    </row>
    <row r="249" spans="1:7" x14ac:dyDescent="0.2">
      <c r="A249" s="9"/>
      <c r="B249" s="6"/>
      <c r="C249" s="6"/>
      <c r="D249" s="6"/>
      <c r="E249" s="6"/>
      <c r="F249" s="7"/>
      <c r="G249" s="8"/>
    </row>
    <row r="250" spans="1:7" x14ac:dyDescent="0.2">
      <c r="A250" s="9"/>
      <c r="B250" s="6"/>
      <c r="C250" s="6"/>
      <c r="D250" s="6"/>
      <c r="E250" s="6"/>
      <c r="F250" s="7"/>
      <c r="G250" s="8"/>
    </row>
    <row r="251" spans="1:7" x14ac:dyDescent="0.2">
      <c r="A251" s="9"/>
      <c r="B251" s="6"/>
      <c r="C251" s="6"/>
      <c r="D251" s="6"/>
      <c r="E251" s="6"/>
      <c r="F251" s="7"/>
      <c r="G251" s="8"/>
    </row>
    <row r="252" spans="1:7" x14ac:dyDescent="0.2">
      <c r="A252" s="9"/>
      <c r="B252" s="6"/>
      <c r="C252" s="6"/>
      <c r="D252" s="6"/>
      <c r="E252" s="6"/>
      <c r="F252" s="7"/>
      <c r="G252" s="8"/>
    </row>
    <row r="253" spans="1:7" x14ac:dyDescent="0.2">
      <c r="A253" s="9"/>
      <c r="B253" s="6"/>
      <c r="C253" s="7"/>
      <c r="D253" s="6"/>
      <c r="E253" s="7"/>
      <c r="F253" s="7"/>
      <c r="G253" s="8"/>
    </row>
    <row r="254" spans="1:7" x14ac:dyDescent="0.2">
      <c r="A254" s="9"/>
      <c r="B254" s="7"/>
      <c r="C254" s="6"/>
      <c r="D254" s="6"/>
      <c r="E254" s="7"/>
      <c r="F254" s="7"/>
      <c r="G254" s="8"/>
    </row>
    <row r="255" spans="1:7" x14ac:dyDescent="0.2">
      <c r="A255" s="9"/>
      <c r="B255" s="6"/>
      <c r="C255" s="7"/>
      <c r="D255" s="6"/>
      <c r="E255" s="7"/>
      <c r="F255" s="7"/>
      <c r="G255" s="8"/>
    </row>
    <row r="256" spans="1:7" x14ac:dyDescent="0.2">
      <c r="A256" s="9"/>
      <c r="B256" s="7"/>
      <c r="C256" s="7"/>
      <c r="D256" s="6"/>
      <c r="E256" s="7"/>
      <c r="F256" s="7"/>
      <c r="G256" s="8"/>
    </row>
    <row r="257" spans="1:7" x14ac:dyDescent="0.2">
      <c r="A257" s="9"/>
      <c r="B257" s="7"/>
      <c r="C257" s="7"/>
      <c r="D257" s="6"/>
      <c r="E257" s="7"/>
      <c r="F257" s="7"/>
      <c r="G257" s="8"/>
    </row>
    <row r="258" spans="1:7" x14ac:dyDescent="0.2">
      <c r="A258" s="9"/>
      <c r="B258" s="7"/>
      <c r="C258" s="7"/>
      <c r="D258" s="7"/>
      <c r="E258" s="7"/>
      <c r="F258" s="7"/>
      <c r="G258" s="8"/>
    </row>
    <row r="259" spans="1:7" x14ac:dyDescent="0.2">
      <c r="A259" s="9"/>
      <c r="B259" s="7"/>
      <c r="C259" s="7"/>
      <c r="D259" s="7"/>
      <c r="E259" s="7"/>
      <c r="F259" s="7"/>
      <c r="G259" s="8"/>
    </row>
    <row r="260" spans="1:7" x14ac:dyDescent="0.2">
      <c r="A260" s="9"/>
      <c r="B260" s="7"/>
      <c r="C260" s="7"/>
      <c r="D260" s="7"/>
      <c r="E260" s="7"/>
      <c r="F260" s="7"/>
      <c r="G260" s="8"/>
    </row>
    <row r="261" spans="1:7" x14ac:dyDescent="0.2">
      <c r="A261" s="9"/>
      <c r="B261" s="7"/>
      <c r="C261" s="7"/>
      <c r="D261" s="7"/>
      <c r="E261" s="7"/>
      <c r="F261" s="7"/>
      <c r="G261" s="8"/>
    </row>
    <row r="262" spans="1:7" x14ac:dyDescent="0.2">
      <c r="A262" s="9"/>
      <c r="B262" s="7"/>
      <c r="C262" s="7"/>
      <c r="D262" s="7"/>
      <c r="E262" s="7"/>
      <c r="F262" s="7"/>
      <c r="G262" s="8"/>
    </row>
    <row r="263" spans="1:7" x14ac:dyDescent="0.2">
      <c r="A263" s="9"/>
      <c r="B263" s="7"/>
      <c r="C263" s="7"/>
      <c r="D263" s="7"/>
      <c r="E263" s="7"/>
      <c r="F263" s="7"/>
      <c r="G263" s="8"/>
    </row>
    <row r="264" spans="1:7" x14ac:dyDescent="0.2">
      <c r="A264" s="9"/>
      <c r="B264" s="7"/>
      <c r="C264" s="7"/>
      <c r="D264" s="7"/>
      <c r="E264" s="7"/>
      <c r="F264" s="7"/>
      <c r="G264" s="8"/>
    </row>
    <row r="265" spans="1:7" x14ac:dyDescent="0.2">
      <c r="A265" s="9"/>
      <c r="B265" s="7"/>
      <c r="C265" s="7"/>
      <c r="D265" s="7"/>
      <c r="E265" s="7"/>
      <c r="F265" s="7"/>
      <c r="G265" s="8"/>
    </row>
    <row r="266" spans="1:7" x14ac:dyDescent="0.2">
      <c r="A266" s="9"/>
      <c r="B266" s="7"/>
      <c r="C266" s="7"/>
      <c r="D266" s="7"/>
      <c r="E266" s="7"/>
      <c r="F266" s="7"/>
      <c r="G266" s="8"/>
    </row>
    <row r="267" spans="1:7" x14ac:dyDescent="0.2">
      <c r="A267" s="9"/>
      <c r="B267" s="7"/>
      <c r="C267" s="7"/>
      <c r="D267" s="7"/>
      <c r="E267" s="7"/>
      <c r="F267" s="7"/>
      <c r="G267" s="8"/>
    </row>
    <row r="268" spans="1:7" x14ac:dyDescent="0.2">
      <c r="A268" s="9"/>
      <c r="B268" s="7"/>
      <c r="C268" s="7"/>
      <c r="D268" s="7"/>
      <c r="E268" s="7"/>
      <c r="F268" s="7"/>
      <c r="G268" s="8"/>
    </row>
    <row r="269" spans="1:7" x14ac:dyDescent="0.2">
      <c r="A269" s="9"/>
      <c r="B269" s="7"/>
      <c r="C269" s="6"/>
      <c r="D269" s="6"/>
      <c r="E269" s="7"/>
      <c r="F269" s="7"/>
      <c r="G269" s="8"/>
    </row>
    <row r="270" spans="1:7" x14ac:dyDescent="0.2">
      <c r="A270" s="9"/>
      <c r="B270" s="6"/>
      <c r="C270" s="6"/>
      <c r="D270" s="6"/>
      <c r="E270" s="6"/>
      <c r="F270" s="7"/>
      <c r="G270" s="8"/>
    </row>
    <row r="271" spans="1:7" x14ac:dyDescent="0.2">
      <c r="A271" s="9"/>
      <c r="B271" s="6"/>
      <c r="C271" s="6"/>
      <c r="D271" s="6"/>
      <c r="E271" s="6"/>
      <c r="F271" s="7"/>
      <c r="G271" s="8"/>
    </row>
    <row r="272" spans="1:7" x14ac:dyDescent="0.2">
      <c r="A272" s="9"/>
      <c r="B272" s="6"/>
      <c r="C272" s="6"/>
      <c r="D272" s="6"/>
      <c r="E272" s="6"/>
      <c r="F272" s="7"/>
      <c r="G272" s="8"/>
    </row>
    <row r="273" spans="1:7" x14ac:dyDescent="0.2">
      <c r="A273" s="9"/>
      <c r="B273" s="6"/>
      <c r="C273" s="6"/>
      <c r="D273" s="6"/>
      <c r="E273" s="6"/>
      <c r="F273" s="7"/>
      <c r="G273" s="8"/>
    </row>
    <row r="274" spans="1:7" x14ac:dyDescent="0.2">
      <c r="A274" s="9"/>
      <c r="B274" s="6"/>
      <c r="C274" s="6"/>
      <c r="D274" s="6"/>
      <c r="E274" s="6"/>
      <c r="F274" s="7"/>
      <c r="G274" s="8"/>
    </row>
    <row r="275" spans="1:7" x14ac:dyDescent="0.2">
      <c r="A275" s="9"/>
      <c r="B275" s="6"/>
      <c r="C275" s="6"/>
      <c r="D275" s="6"/>
      <c r="E275" s="6"/>
      <c r="F275" s="7"/>
      <c r="G275" s="8"/>
    </row>
    <row r="276" spans="1:7" x14ac:dyDescent="0.2">
      <c r="A276" s="9"/>
      <c r="B276" s="6"/>
      <c r="C276" s="6"/>
      <c r="D276" s="6"/>
      <c r="E276" s="6"/>
      <c r="F276" s="7"/>
      <c r="G276" s="8"/>
    </row>
    <row r="277" spans="1:7" x14ac:dyDescent="0.2">
      <c r="A277" s="9"/>
      <c r="B277" s="6"/>
      <c r="C277" s="6"/>
      <c r="D277" s="6"/>
      <c r="E277" s="6"/>
      <c r="F277" s="7"/>
      <c r="G277" s="8"/>
    </row>
    <row r="278" spans="1:7" x14ac:dyDescent="0.2">
      <c r="A278" s="9"/>
      <c r="B278" s="6"/>
      <c r="C278" s="6"/>
      <c r="D278" s="6"/>
      <c r="E278" s="7"/>
      <c r="F278" s="7"/>
      <c r="G278" s="8"/>
    </row>
    <row r="279" spans="1:7" x14ac:dyDescent="0.2">
      <c r="A279" s="9"/>
      <c r="B279" s="6"/>
      <c r="C279" s="6"/>
      <c r="D279" s="6"/>
      <c r="E279" s="6"/>
      <c r="F279" s="7"/>
      <c r="G279" s="8"/>
    </row>
    <row r="280" spans="1:7" x14ac:dyDescent="0.2">
      <c r="A280" s="9"/>
      <c r="B280" s="6"/>
      <c r="C280" s="6"/>
      <c r="D280" s="6"/>
      <c r="E280" s="6"/>
      <c r="F280" s="7"/>
      <c r="G280" s="8"/>
    </row>
    <row r="281" spans="1:7" x14ac:dyDescent="0.2">
      <c r="A281" s="9"/>
      <c r="B281" s="6"/>
      <c r="C281" s="6"/>
      <c r="D281" s="6"/>
      <c r="E281" s="6"/>
      <c r="F281" s="7"/>
      <c r="G281" s="8"/>
    </row>
    <row r="282" spans="1:7" x14ac:dyDescent="0.2">
      <c r="A282" s="9"/>
      <c r="B282" s="6"/>
      <c r="C282" s="6"/>
      <c r="D282" s="6"/>
      <c r="E282" s="6"/>
      <c r="F282" s="7"/>
      <c r="G282" s="8"/>
    </row>
    <row r="283" spans="1:7" x14ac:dyDescent="0.2">
      <c r="A283" s="9"/>
      <c r="B283" s="6"/>
      <c r="C283" s="6"/>
      <c r="D283" s="6"/>
      <c r="E283" s="6"/>
      <c r="F283" s="7"/>
      <c r="G283" s="8"/>
    </row>
    <row r="284" spans="1:7" x14ac:dyDescent="0.2">
      <c r="A284" s="9"/>
      <c r="B284" s="6"/>
      <c r="C284" s="6"/>
      <c r="D284" s="6"/>
      <c r="E284" s="6"/>
      <c r="F284" s="7"/>
      <c r="G284" s="8"/>
    </row>
    <row r="285" spans="1:7" x14ac:dyDescent="0.2">
      <c r="A285" s="9"/>
      <c r="B285" s="6"/>
      <c r="C285" s="6"/>
      <c r="D285" s="6"/>
      <c r="E285" s="6"/>
      <c r="F285" s="7"/>
      <c r="G285" s="8"/>
    </row>
    <row r="286" spans="1:7" x14ac:dyDescent="0.2">
      <c r="A286" s="9"/>
      <c r="B286" s="6"/>
      <c r="C286" s="6"/>
      <c r="D286" s="6"/>
      <c r="E286" s="6"/>
      <c r="F286" s="7"/>
      <c r="G286" s="8"/>
    </row>
    <row r="287" spans="1:7" x14ac:dyDescent="0.2">
      <c r="A287" s="9"/>
      <c r="B287" s="6"/>
      <c r="C287" s="6"/>
      <c r="D287" s="6"/>
      <c r="E287" s="6"/>
      <c r="F287" s="7"/>
      <c r="G287" s="8"/>
    </row>
    <row r="288" spans="1:7" x14ac:dyDescent="0.2">
      <c r="A288" s="9"/>
      <c r="B288" s="6"/>
      <c r="C288" s="6"/>
      <c r="D288" s="6"/>
      <c r="E288" s="6"/>
      <c r="F288" s="7"/>
      <c r="G288" s="8"/>
    </row>
    <row r="289" spans="1:7" x14ac:dyDescent="0.2">
      <c r="A289" s="9"/>
      <c r="B289" s="6"/>
      <c r="C289" s="6"/>
      <c r="D289" s="6"/>
      <c r="E289" s="6"/>
      <c r="F289" s="7"/>
      <c r="G289" s="8"/>
    </row>
    <row r="290" spans="1:7" x14ac:dyDescent="0.2">
      <c r="A290" s="9"/>
      <c r="B290" s="6"/>
      <c r="C290" s="6"/>
      <c r="D290" s="6"/>
      <c r="E290" s="6"/>
      <c r="F290" s="7"/>
      <c r="G290" s="8"/>
    </row>
    <row r="291" spans="1:7" x14ac:dyDescent="0.2">
      <c r="A291" s="9"/>
      <c r="B291" s="6"/>
      <c r="C291" s="6"/>
      <c r="D291" s="6"/>
      <c r="E291" s="6"/>
      <c r="F291" s="7"/>
      <c r="G291" s="8"/>
    </row>
    <row r="292" spans="1:7" x14ac:dyDescent="0.2">
      <c r="A292" s="9"/>
      <c r="B292" s="6"/>
      <c r="C292" s="6"/>
      <c r="D292" s="6"/>
      <c r="E292" s="6"/>
      <c r="F292" s="7"/>
      <c r="G292" s="8"/>
    </row>
    <row r="293" spans="1:7" x14ac:dyDescent="0.2">
      <c r="A293" s="9"/>
      <c r="B293" s="6"/>
      <c r="C293" s="6"/>
      <c r="D293" s="6"/>
      <c r="E293" s="6"/>
      <c r="F293" s="7"/>
      <c r="G293" s="8"/>
    </row>
    <row r="294" spans="1:7" x14ac:dyDescent="0.2">
      <c r="A294" s="9"/>
      <c r="B294" s="6"/>
      <c r="C294" s="6"/>
      <c r="D294" s="6"/>
      <c r="E294" s="6"/>
      <c r="F294" s="7"/>
      <c r="G294" s="8"/>
    </row>
    <row r="295" spans="1:7" x14ac:dyDescent="0.2">
      <c r="A295" s="9"/>
      <c r="B295" s="6"/>
      <c r="C295" s="6"/>
      <c r="D295" s="6"/>
      <c r="E295" s="6"/>
      <c r="F295" s="7"/>
      <c r="G295" s="8"/>
    </row>
    <row r="296" spans="1:7" x14ac:dyDescent="0.2">
      <c r="A296" s="9"/>
      <c r="B296" s="6"/>
      <c r="C296" s="6"/>
      <c r="D296" s="6"/>
      <c r="E296" s="6"/>
      <c r="F296" s="7"/>
      <c r="G296" s="8"/>
    </row>
    <row r="297" spans="1:7" x14ac:dyDescent="0.2">
      <c r="A297" s="9"/>
      <c r="B297" s="6"/>
      <c r="C297" s="6"/>
      <c r="D297" s="6"/>
      <c r="E297" s="6"/>
      <c r="F297" s="7"/>
      <c r="G297" s="8"/>
    </row>
    <row r="298" spans="1:7" x14ac:dyDescent="0.2">
      <c r="A298" s="9"/>
      <c r="B298" s="6"/>
      <c r="C298" s="6"/>
      <c r="D298" s="6"/>
      <c r="E298" s="6"/>
      <c r="F298" s="7"/>
      <c r="G298" s="8"/>
    </row>
    <row r="299" spans="1:7" x14ac:dyDescent="0.2">
      <c r="A299" s="9"/>
      <c r="B299" s="6"/>
      <c r="C299" s="6"/>
      <c r="D299" s="6"/>
      <c r="E299" s="6"/>
      <c r="F299" s="7"/>
      <c r="G299" s="8"/>
    </row>
    <row r="300" spans="1:7" x14ac:dyDescent="0.2">
      <c r="A300" s="9"/>
      <c r="B300" s="6"/>
      <c r="C300" s="6"/>
      <c r="D300" s="6"/>
      <c r="E300" s="6"/>
      <c r="F300" s="7"/>
      <c r="G300" s="8"/>
    </row>
    <row r="301" spans="1:7" x14ac:dyDescent="0.2">
      <c r="A301" s="9"/>
      <c r="B301" s="6"/>
      <c r="C301" s="6"/>
      <c r="D301" s="6"/>
      <c r="E301" s="6"/>
      <c r="F301" s="7"/>
      <c r="G301" s="8"/>
    </row>
    <row r="302" spans="1:7" x14ac:dyDescent="0.2">
      <c r="A302" s="9"/>
      <c r="B302" s="6"/>
      <c r="C302" s="6"/>
      <c r="D302" s="6"/>
      <c r="E302" s="6"/>
      <c r="F302" s="7"/>
      <c r="G302" s="8"/>
    </row>
    <row r="303" spans="1:7" x14ac:dyDescent="0.2">
      <c r="A303" s="9"/>
      <c r="B303" s="6"/>
      <c r="C303" s="6"/>
      <c r="D303" s="6"/>
      <c r="E303" s="6"/>
      <c r="F303" s="7"/>
      <c r="G303" s="8"/>
    </row>
    <row r="304" spans="1:7" x14ac:dyDescent="0.2">
      <c r="A304" s="9"/>
      <c r="B304" s="6"/>
      <c r="C304" s="6"/>
      <c r="D304" s="6"/>
      <c r="E304" s="6"/>
      <c r="F304" s="7"/>
      <c r="G304" s="8"/>
    </row>
    <row r="305" spans="1:7" x14ac:dyDescent="0.2">
      <c r="A305" s="9"/>
      <c r="B305" s="6"/>
      <c r="C305" s="6"/>
      <c r="D305" s="6"/>
      <c r="E305" s="6"/>
      <c r="F305" s="7"/>
      <c r="G305" s="8"/>
    </row>
    <row r="306" spans="1:7" x14ac:dyDescent="0.2">
      <c r="A306" s="9"/>
      <c r="B306" s="6"/>
      <c r="C306" s="6"/>
      <c r="D306" s="6"/>
      <c r="E306" s="6"/>
      <c r="F306" s="7"/>
      <c r="G306" s="8"/>
    </row>
    <row r="307" spans="1:7" x14ac:dyDescent="0.2">
      <c r="A307" s="9"/>
      <c r="B307" s="6"/>
      <c r="C307" s="6"/>
      <c r="D307" s="6"/>
      <c r="E307" s="6"/>
      <c r="F307" s="7"/>
      <c r="G307" s="8"/>
    </row>
    <row r="308" spans="1:7" x14ac:dyDescent="0.2">
      <c r="A308" s="9"/>
      <c r="B308" s="6"/>
      <c r="C308" s="6"/>
      <c r="D308" s="6"/>
      <c r="E308" s="6"/>
      <c r="F308" s="7"/>
      <c r="G308" s="8"/>
    </row>
    <row r="309" spans="1:7" x14ac:dyDescent="0.2">
      <c r="A309" s="9"/>
      <c r="B309" s="6"/>
      <c r="C309" s="6"/>
      <c r="D309" s="6"/>
      <c r="E309" s="6"/>
      <c r="F309" s="7"/>
      <c r="G309" s="8"/>
    </row>
    <row r="310" spans="1:7" x14ac:dyDescent="0.2">
      <c r="A310" s="9"/>
      <c r="B310" s="6"/>
      <c r="C310" s="6"/>
      <c r="D310" s="6"/>
      <c r="E310" s="6"/>
      <c r="F310" s="7"/>
      <c r="G310" s="8"/>
    </row>
    <row r="311" spans="1:7" x14ac:dyDescent="0.2">
      <c r="A311" s="9"/>
      <c r="B311" s="6"/>
      <c r="C311" s="6"/>
      <c r="D311" s="6"/>
      <c r="E311" s="6"/>
      <c r="F311" s="7"/>
      <c r="G311" s="8"/>
    </row>
    <row r="312" spans="1:7" x14ac:dyDescent="0.2">
      <c r="A312" s="9"/>
      <c r="B312" s="6"/>
      <c r="C312" s="6"/>
      <c r="D312" s="6"/>
      <c r="E312" s="6"/>
      <c r="F312" s="7"/>
      <c r="G312" s="8"/>
    </row>
    <row r="313" spans="1:7" x14ac:dyDescent="0.2">
      <c r="A313" s="9"/>
      <c r="B313" s="6"/>
      <c r="C313" s="6"/>
      <c r="D313" s="6"/>
      <c r="E313" s="7"/>
      <c r="F313" s="7"/>
      <c r="G313" s="8"/>
    </row>
    <row r="314" spans="1:7" x14ac:dyDescent="0.2">
      <c r="A314" s="9"/>
      <c r="B314" s="6"/>
      <c r="C314" s="7"/>
      <c r="D314" s="6"/>
      <c r="E314" s="7"/>
      <c r="F314" s="7"/>
      <c r="G314" s="8"/>
    </row>
    <row r="315" spans="1:7" x14ac:dyDescent="0.2">
      <c r="A315" s="9"/>
      <c r="B315" s="7"/>
      <c r="C315" s="6"/>
      <c r="D315" s="6"/>
      <c r="E315" s="7"/>
      <c r="F315" s="7"/>
      <c r="G315" s="8"/>
    </row>
    <row r="316" spans="1:7" x14ac:dyDescent="0.2">
      <c r="A316" s="9"/>
      <c r="B316" s="6"/>
      <c r="C316" s="6"/>
      <c r="D316" s="6"/>
      <c r="E316" s="6"/>
      <c r="F316" s="7"/>
      <c r="G316" s="8"/>
    </row>
    <row r="317" spans="1:7" x14ac:dyDescent="0.2">
      <c r="A317" s="9"/>
      <c r="B317" s="6"/>
      <c r="C317" s="6"/>
      <c r="D317" s="6"/>
      <c r="E317" s="6"/>
      <c r="F317" s="7"/>
      <c r="G317" s="8"/>
    </row>
    <row r="318" spans="1:7" x14ac:dyDescent="0.2">
      <c r="A318" s="9"/>
      <c r="B318" s="6"/>
      <c r="C318" s="6"/>
      <c r="D318" s="6"/>
      <c r="E318" s="6"/>
      <c r="F318" s="7"/>
      <c r="G318" s="8"/>
    </row>
    <row r="319" spans="1:7" x14ac:dyDescent="0.2">
      <c r="A319" s="9"/>
      <c r="B319" s="6"/>
      <c r="C319" s="6"/>
      <c r="D319" s="6"/>
      <c r="E319" s="6"/>
      <c r="F319" s="7"/>
      <c r="G319" s="8"/>
    </row>
    <row r="320" spans="1:7" x14ac:dyDescent="0.2">
      <c r="A320" s="9"/>
      <c r="B320" s="6"/>
      <c r="C320" s="6"/>
      <c r="D320" s="6"/>
      <c r="E320" s="6"/>
      <c r="F320" s="7"/>
      <c r="G320" s="8"/>
    </row>
    <row r="321" spans="1:7" x14ac:dyDescent="0.2">
      <c r="A321" s="9"/>
      <c r="B321" s="6"/>
      <c r="C321" s="7"/>
      <c r="D321" s="6"/>
      <c r="E321" s="7"/>
      <c r="F321" s="7"/>
      <c r="G321" s="8"/>
    </row>
    <row r="322" spans="1:7" x14ac:dyDescent="0.2">
      <c r="A322" s="9"/>
      <c r="B322" s="7"/>
      <c r="C322" s="7"/>
      <c r="D322" s="7"/>
      <c r="E322" s="7"/>
      <c r="F322" s="7"/>
      <c r="G322" s="8"/>
    </row>
    <row r="323" spans="1:7" x14ac:dyDescent="0.2">
      <c r="A323" s="9"/>
      <c r="B323" s="7"/>
      <c r="C323" s="7"/>
      <c r="D323" s="7"/>
      <c r="E323" s="7"/>
      <c r="F323" s="7"/>
      <c r="G323" s="8"/>
    </row>
    <row r="324" spans="1:7" x14ac:dyDescent="0.2">
      <c r="A324" s="9"/>
      <c r="B324" s="7"/>
      <c r="C324" s="7"/>
      <c r="D324" s="7"/>
      <c r="E324" s="7"/>
      <c r="F324" s="7"/>
      <c r="G324" s="8"/>
    </row>
    <row r="325" spans="1:7" x14ac:dyDescent="0.2">
      <c r="A325" s="9"/>
      <c r="B325" s="7"/>
      <c r="C325" s="7"/>
      <c r="D325" s="7"/>
      <c r="E325" s="7"/>
      <c r="F325" s="7"/>
      <c r="G325" s="8"/>
    </row>
    <row r="326" spans="1:7" x14ac:dyDescent="0.2">
      <c r="A326" s="9"/>
      <c r="B326" s="7"/>
      <c r="C326" s="7"/>
      <c r="D326" s="7"/>
      <c r="E326" s="7"/>
      <c r="F326" s="7"/>
      <c r="G326" s="8"/>
    </row>
    <row r="327" spans="1:7" x14ac:dyDescent="0.2">
      <c r="A327" s="9"/>
      <c r="B327" s="7"/>
      <c r="C327" s="7"/>
      <c r="D327" s="7"/>
      <c r="E327" s="7"/>
      <c r="F327" s="7"/>
      <c r="G327" s="8"/>
    </row>
    <row r="328" spans="1:7" x14ac:dyDescent="0.2">
      <c r="A328" s="9"/>
      <c r="B328" s="7"/>
      <c r="C328" s="7"/>
      <c r="D328" s="7"/>
      <c r="E328" s="7"/>
      <c r="F328" s="7"/>
      <c r="G328" s="8"/>
    </row>
    <row r="329" spans="1:7" x14ac:dyDescent="0.2">
      <c r="A329" s="9"/>
      <c r="B329" s="7"/>
      <c r="C329" s="7"/>
      <c r="D329" s="7"/>
      <c r="E329" s="7"/>
      <c r="F329" s="7"/>
      <c r="G329" s="8"/>
    </row>
    <row r="330" spans="1:7" x14ac:dyDescent="0.2">
      <c r="A330" s="9"/>
      <c r="B330" s="7"/>
      <c r="C330" s="7"/>
      <c r="D330" s="7"/>
      <c r="E330" s="7"/>
      <c r="F330" s="7"/>
      <c r="G330" s="8"/>
    </row>
    <row r="331" spans="1:7" x14ac:dyDescent="0.2">
      <c r="A331" s="9"/>
      <c r="B331" s="7"/>
      <c r="C331" s="7"/>
      <c r="D331" s="7"/>
      <c r="E331" s="7"/>
      <c r="F331" s="7"/>
      <c r="G331" s="8"/>
    </row>
    <row r="332" spans="1:7" x14ac:dyDescent="0.2">
      <c r="A332" s="9"/>
      <c r="B332" s="7"/>
      <c r="C332" s="7"/>
      <c r="D332" s="7"/>
      <c r="E332" s="7"/>
      <c r="F332" s="7"/>
      <c r="G332" s="8"/>
    </row>
    <row r="333" spans="1:7" x14ac:dyDescent="0.2">
      <c r="A333" s="9"/>
      <c r="B333" s="7"/>
      <c r="C333" s="7"/>
      <c r="D333" s="7"/>
      <c r="E333" s="7"/>
      <c r="F333" s="7"/>
      <c r="G333" s="8"/>
    </row>
    <row r="334" spans="1:7" x14ac:dyDescent="0.2">
      <c r="A334" s="9"/>
      <c r="B334" s="7"/>
      <c r="C334" s="7"/>
      <c r="D334" s="7"/>
      <c r="E334" s="7"/>
      <c r="F334" s="7"/>
      <c r="G334" s="8"/>
    </row>
    <row r="335" spans="1:7" x14ac:dyDescent="0.2">
      <c r="A335" s="9"/>
      <c r="B335" s="7"/>
      <c r="C335" s="7"/>
      <c r="D335" s="7"/>
      <c r="E335" s="7"/>
      <c r="F335" s="7"/>
      <c r="G335" s="8"/>
    </row>
    <row r="336" spans="1:7" x14ac:dyDescent="0.2">
      <c r="A336" s="9"/>
      <c r="B336" s="7"/>
      <c r="C336" s="7"/>
      <c r="D336" s="7"/>
      <c r="E336" s="7"/>
      <c r="F336" s="7"/>
      <c r="G336" s="8"/>
    </row>
    <row r="337" spans="1:7" x14ac:dyDescent="0.2">
      <c r="A337" s="9"/>
      <c r="B337" s="7"/>
      <c r="C337" s="7"/>
      <c r="D337" s="7"/>
      <c r="E337" s="7"/>
      <c r="F337" s="7"/>
      <c r="G337" s="8"/>
    </row>
    <row r="338" spans="1:7" x14ac:dyDescent="0.2">
      <c r="A338" s="9"/>
      <c r="B338" s="7"/>
      <c r="C338" s="7"/>
      <c r="D338" s="7"/>
      <c r="E338" s="7"/>
      <c r="F338" s="7"/>
      <c r="G338" s="8"/>
    </row>
    <row r="339" spans="1:7" x14ac:dyDescent="0.2">
      <c r="A339" s="9"/>
      <c r="B339" s="7"/>
      <c r="C339" s="7"/>
      <c r="D339" s="7"/>
      <c r="E339" s="7"/>
      <c r="F339" s="7"/>
      <c r="G339" s="8"/>
    </row>
    <row r="340" spans="1:7" x14ac:dyDescent="0.2">
      <c r="A340" s="9"/>
      <c r="B340" s="7"/>
      <c r="C340" s="7"/>
      <c r="D340" s="7"/>
      <c r="E340" s="7"/>
      <c r="F340" s="7"/>
      <c r="G340" s="8"/>
    </row>
    <row r="341" spans="1:7" x14ac:dyDescent="0.2">
      <c r="A341" s="9"/>
      <c r="B341" s="7"/>
      <c r="C341" s="7"/>
      <c r="D341" s="7"/>
      <c r="E341" s="7"/>
      <c r="F341" s="7"/>
      <c r="G341" s="8"/>
    </row>
    <row r="342" spans="1:7" x14ac:dyDescent="0.2">
      <c r="A342" s="9"/>
      <c r="B342" s="7"/>
      <c r="C342" s="7"/>
      <c r="D342" s="7"/>
      <c r="E342" s="7"/>
      <c r="F342" s="7"/>
      <c r="G342" s="8"/>
    </row>
    <row r="343" spans="1:7" x14ac:dyDescent="0.2">
      <c r="A343" s="9"/>
      <c r="B343" s="7"/>
      <c r="C343" s="7"/>
      <c r="D343" s="7"/>
      <c r="E343" s="7"/>
      <c r="F343" s="7"/>
      <c r="G343" s="8"/>
    </row>
    <row r="344" spans="1:7" x14ac:dyDescent="0.2">
      <c r="A344" s="9"/>
      <c r="B344" s="7"/>
      <c r="C344" s="7"/>
      <c r="D344" s="7"/>
      <c r="E344" s="7"/>
      <c r="F344" s="7"/>
      <c r="G344" s="8"/>
    </row>
    <row r="345" spans="1:7" x14ac:dyDescent="0.2">
      <c r="A345" s="9"/>
      <c r="B345" s="7"/>
      <c r="C345" s="7"/>
      <c r="D345" s="7"/>
      <c r="E345" s="7"/>
      <c r="F345" s="7"/>
      <c r="G345" s="8"/>
    </row>
    <row r="346" spans="1:7" x14ac:dyDescent="0.2">
      <c r="A346" s="9"/>
      <c r="B346" s="7"/>
      <c r="C346" s="7"/>
      <c r="D346" s="7"/>
      <c r="E346" s="7"/>
      <c r="F346" s="7"/>
      <c r="G346" s="8"/>
    </row>
    <row r="347" spans="1:7" x14ac:dyDescent="0.2">
      <c r="A347" s="9"/>
      <c r="B347" s="7"/>
      <c r="C347" s="7"/>
      <c r="D347" s="7"/>
      <c r="E347" s="7"/>
      <c r="F347" s="7"/>
      <c r="G347" s="8"/>
    </row>
    <row r="348" spans="1:7" x14ac:dyDescent="0.2">
      <c r="A348" s="9"/>
      <c r="B348" s="7"/>
      <c r="C348" s="7"/>
      <c r="D348" s="7"/>
      <c r="E348" s="7"/>
      <c r="F348" s="7"/>
      <c r="G348" s="8"/>
    </row>
    <row r="349" spans="1:7" x14ac:dyDescent="0.2">
      <c r="A349" s="9"/>
      <c r="B349" s="7"/>
      <c r="C349" s="7"/>
      <c r="D349" s="7"/>
      <c r="E349" s="7"/>
      <c r="F349" s="7"/>
      <c r="G349" s="8"/>
    </row>
    <row r="350" spans="1:7" x14ac:dyDescent="0.2">
      <c r="A350" s="9"/>
      <c r="B350" s="7"/>
      <c r="C350" s="7"/>
      <c r="D350" s="7"/>
      <c r="E350" s="7"/>
      <c r="F350" s="7"/>
      <c r="G350" s="8"/>
    </row>
    <row r="351" spans="1:7" x14ac:dyDescent="0.2">
      <c r="A351" s="9"/>
      <c r="B351" s="7"/>
      <c r="C351" s="7"/>
      <c r="D351" s="7"/>
      <c r="E351" s="7"/>
      <c r="F351" s="7"/>
      <c r="G351" s="8"/>
    </row>
    <row r="352" spans="1:7" x14ac:dyDescent="0.2">
      <c r="A352" s="9"/>
      <c r="B352" s="7"/>
      <c r="C352" s="7"/>
      <c r="D352" s="7"/>
      <c r="E352" s="7"/>
      <c r="F352" s="7"/>
      <c r="G352" s="8"/>
    </row>
    <row r="353" spans="1:7" x14ac:dyDescent="0.2">
      <c r="A353" s="9"/>
      <c r="B353" s="7"/>
      <c r="C353" s="7"/>
      <c r="D353" s="7"/>
      <c r="E353" s="7"/>
      <c r="F353" s="7"/>
      <c r="G353" s="8"/>
    </row>
    <row r="354" spans="1:7" x14ac:dyDescent="0.2">
      <c r="A354" s="9"/>
      <c r="B354" s="7"/>
      <c r="C354" s="7"/>
      <c r="D354" s="7"/>
      <c r="E354" s="7"/>
      <c r="F354" s="7"/>
      <c r="G354" s="8"/>
    </row>
    <row r="355" spans="1:7" x14ac:dyDescent="0.2">
      <c r="A355" s="9"/>
      <c r="B355" s="7"/>
      <c r="C355" s="7"/>
      <c r="D355" s="7"/>
      <c r="E355" s="7"/>
      <c r="F355" s="7"/>
      <c r="G355" s="8"/>
    </row>
    <row r="356" spans="1:7" x14ac:dyDescent="0.2">
      <c r="A356" s="9"/>
      <c r="B356" s="7"/>
      <c r="C356" s="7"/>
      <c r="D356" s="7"/>
      <c r="E356" s="7"/>
      <c r="F356" s="7"/>
      <c r="G356" s="8"/>
    </row>
    <row r="357" spans="1:7" x14ac:dyDescent="0.2">
      <c r="A357" s="9"/>
      <c r="B357" s="7"/>
      <c r="C357" s="7"/>
      <c r="D357" s="7"/>
      <c r="E357" s="7"/>
      <c r="F357" s="7"/>
      <c r="G357" s="8"/>
    </row>
    <row r="358" spans="1:7" x14ac:dyDescent="0.2">
      <c r="A358" s="9"/>
      <c r="B358" s="7"/>
      <c r="C358" s="7"/>
      <c r="D358" s="7"/>
      <c r="E358" s="7"/>
      <c r="F358" s="7"/>
      <c r="G358" s="8"/>
    </row>
    <row r="359" spans="1:7" x14ac:dyDescent="0.2">
      <c r="A359" s="9"/>
      <c r="B359" s="7"/>
      <c r="C359" s="7"/>
      <c r="D359" s="7"/>
      <c r="E359" s="7"/>
      <c r="F359" s="7"/>
      <c r="G359" s="8"/>
    </row>
    <row r="360" spans="1:7" x14ac:dyDescent="0.2">
      <c r="A360" s="9"/>
      <c r="B360" s="7"/>
      <c r="C360" s="7"/>
      <c r="D360" s="7"/>
      <c r="E360" s="7"/>
      <c r="F360" s="7"/>
      <c r="G360" s="8"/>
    </row>
    <row r="361" spans="1:7" x14ac:dyDescent="0.2">
      <c r="A361" s="9"/>
      <c r="B361" s="7"/>
      <c r="C361" s="7"/>
      <c r="D361" s="7"/>
      <c r="E361" s="7"/>
      <c r="F361" s="7"/>
      <c r="G361" s="8"/>
    </row>
    <row r="362" spans="1:7" x14ac:dyDescent="0.2">
      <c r="A362" s="9"/>
      <c r="B362" s="7"/>
      <c r="C362" s="7"/>
      <c r="D362" s="7"/>
      <c r="E362" s="7"/>
      <c r="F362" s="7"/>
      <c r="G362" s="8"/>
    </row>
    <row r="363" spans="1:7" x14ac:dyDescent="0.2">
      <c r="A363" s="9"/>
      <c r="B363" s="7"/>
      <c r="C363" s="7"/>
      <c r="D363" s="7"/>
      <c r="E363" s="7"/>
      <c r="F363" s="7"/>
      <c r="G363" s="8"/>
    </row>
    <row r="364" spans="1:7" x14ac:dyDescent="0.2">
      <c r="A364" s="9"/>
      <c r="B364" s="7"/>
      <c r="C364" s="7"/>
      <c r="D364" s="7"/>
      <c r="E364" s="7"/>
      <c r="F364" s="7"/>
      <c r="G364" s="8"/>
    </row>
    <row r="365" spans="1:7" x14ac:dyDescent="0.2">
      <c r="A365" s="9"/>
      <c r="B365" s="7"/>
      <c r="C365" s="7"/>
      <c r="D365" s="7"/>
      <c r="E365" s="7"/>
      <c r="F365" s="7"/>
      <c r="G365" s="8"/>
    </row>
    <row r="366" spans="1:7" x14ac:dyDescent="0.2">
      <c r="A366" s="9"/>
      <c r="B366" s="7"/>
      <c r="C366" s="7"/>
      <c r="D366" s="7"/>
      <c r="E366" s="7"/>
      <c r="F366" s="7"/>
      <c r="G366" s="8"/>
    </row>
    <row r="367" spans="1:7" x14ac:dyDescent="0.2">
      <c r="A367" s="9"/>
      <c r="B367" s="7"/>
      <c r="C367" s="7"/>
      <c r="D367" s="7"/>
      <c r="E367" s="7"/>
      <c r="F367" s="7"/>
      <c r="G367" s="8"/>
    </row>
    <row r="368" spans="1:7" x14ac:dyDescent="0.2">
      <c r="A368" s="9"/>
      <c r="B368" s="7"/>
      <c r="C368" s="7"/>
      <c r="D368" s="7"/>
      <c r="E368" s="7"/>
      <c r="F368" s="7"/>
      <c r="G368" s="8"/>
    </row>
    <row r="369" spans="1:7" x14ac:dyDescent="0.2">
      <c r="A369" s="9"/>
      <c r="B369" s="7"/>
      <c r="C369" s="7"/>
      <c r="D369" s="7"/>
      <c r="E369" s="7"/>
      <c r="F369" s="7"/>
      <c r="G369" s="8"/>
    </row>
    <row r="370" spans="1:7" x14ac:dyDescent="0.2">
      <c r="A370" s="9"/>
      <c r="B370" s="7"/>
      <c r="C370" s="7"/>
      <c r="D370" s="7"/>
      <c r="E370" s="7"/>
      <c r="F370" s="7"/>
      <c r="G370" s="8"/>
    </row>
    <row r="371" spans="1:7" x14ac:dyDescent="0.2">
      <c r="A371" s="9"/>
      <c r="B371" s="7"/>
      <c r="C371" s="7"/>
      <c r="D371" s="7"/>
      <c r="E371" s="7"/>
      <c r="F371" s="7"/>
      <c r="G371" s="8"/>
    </row>
    <row r="372" spans="1:7" x14ac:dyDescent="0.2">
      <c r="A372" s="9"/>
      <c r="B372" s="7"/>
      <c r="C372" s="7"/>
      <c r="D372" s="7"/>
      <c r="E372" s="7"/>
      <c r="F372" s="7"/>
      <c r="G372" s="8"/>
    </row>
    <row r="373" spans="1:7" x14ac:dyDescent="0.2">
      <c r="A373" s="9"/>
      <c r="B373" s="7"/>
      <c r="C373" s="7"/>
      <c r="D373" s="7"/>
      <c r="E373" s="7"/>
      <c r="F373" s="7"/>
      <c r="G373" s="8"/>
    </row>
    <row r="374" spans="1:7" x14ac:dyDescent="0.2">
      <c r="A374" s="9"/>
      <c r="B374" s="7"/>
      <c r="C374" s="7"/>
      <c r="D374" s="7"/>
      <c r="E374" s="7"/>
      <c r="F374" s="7"/>
      <c r="G374" s="8"/>
    </row>
    <row r="375" spans="1:7" x14ac:dyDescent="0.2">
      <c r="A375" s="9"/>
      <c r="B375" s="7"/>
      <c r="C375" s="7"/>
      <c r="D375" s="7"/>
      <c r="E375" s="7"/>
      <c r="F375" s="7"/>
      <c r="G375" s="8"/>
    </row>
    <row r="376" spans="1:7" x14ac:dyDescent="0.2">
      <c r="A376" s="9"/>
      <c r="B376" s="7"/>
      <c r="C376" s="7"/>
      <c r="D376" s="7"/>
      <c r="E376" s="7"/>
      <c r="F376" s="7"/>
      <c r="G376" s="8"/>
    </row>
    <row r="377" spans="1:7" x14ac:dyDescent="0.2">
      <c r="A377" s="9"/>
      <c r="B377" s="7"/>
      <c r="C377" s="7"/>
      <c r="D377" s="7"/>
      <c r="E377" s="7"/>
      <c r="F377" s="7"/>
      <c r="G377" s="8"/>
    </row>
    <row r="378" spans="1:7" x14ac:dyDescent="0.2">
      <c r="A378" s="9"/>
      <c r="B378" s="7"/>
      <c r="C378" s="7"/>
      <c r="D378" s="7"/>
      <c r="E378" s="7"/>
      <c r="F378" s="7"/>
      <c r="G378" s="8"/>
    </row>
    <row r="379" spans="1:7" x14ac:dyDescent="0.2">
      <c r="A379" s="9"/>
      <c r="B379" s="7"/>
      <c r="C379" s="7"/>
      <c r="D379" s="7"/>
      <c r="E379" s="7"/>
      <c r="F379" s="7"/>
      <c r="G379" s="8"/>
    </row>
    <row r="380" spans="1:7" x14ac:dyDescent="0.2">
      <c r="A380" s="9"/>
      <c r="B380" s="7"/>
      <c r="C380" s="7"/>
      <c r="D380" s="7"/>
      <c r="E380" s="7"/>
      <c r="F380" s="7"/>
      <c r="G380" s="8"/>
    </row>
    <row r="381" spans="1:7" x14ac:dyDescent="0.2">
      <c r="A381" s="9"/>
      <c r="B381" s="7"/>
      <c r="C381" s="7"/>
      <c r="D381" s="7"/>
      <c r="E381" s="7"/>
      <c r="F381" s="7"/>
      <c r="G381" s="8"/>
    </row>
    <row r="382" spans="1:7" x14ac:dyDescent="0.2">
      <c r="A382" s="9"/>
      <c r="B382" s="7"/>
      <c r="C382" s="7"/>
      <c r="D382" s="7"/>
      <c r="E382" s="7"/>
      <c r="F382" s="7"/>
      <c r="G382" s="8"/>
    </row>
    <row r="383" spans="1:7" x14ac:dyDescent="0.2">
      <c r="A383" s="9"/>
      <c r="B383" s="7"/>
      <c r="C383" s="7"/>
      <c r="D383" s="7"/>
      <c r="E383" s="7"/>
      <c r="F383" s="7"/>
      <c r="G383" s="8"/>
    </row>
    <row r="384" spans="1:7" x14ac:dyDescent="0.2">
      <c r="A384" s="9"/>
      <c r="B384" s="7"/>
      <c r="C384" s="7"/>
      <c r="D384" s="7"/>
      <c r="E384" s="7"/>
      <c r="F384" s="7"/>
      <c r="G384" s="8"/>
    </row>
    <row r="385" spans="1:7" x14ac:dyDescent="0.2">
      <c r="A385" s="9"/>
      <c r="B385" s="7"/>
      <c r="C385" s="7"/>
      <c r="D385" s="7"/>
      <c r="E385" s="7"/>
      <c r="F385" s="7"/>
      <c r="G385" s="8"/>
    </row>
    <row r="386" spans="1:7" x14ac:dyDescent="0.2">
      <c r="A386" s="9"/>
      <c r="B386" s="7"/>
      <c r="C386" s="7"/>
      <c r="D386" s="7"/>
      <c r="E386" s="7"/>
      <c r="F386" s="7"/>
      <c r="G386" s="8"/>
    </row>
    <row r="387" spans="1:7" x14ac:dyDescent="0.2">
      <c r="A387" s="9"/>
      <c r="B387" s="7"/>
      <c r="C387" s="7"/>
      <c r="D387" s="7"/>
      <c r="E387" s="7"/>
      <c r="F387" s="7"/>
      <c r="G387" s="8"/>
    </row>
    <row r="388" spans="1:7" x14ac:dyDescent="0.2">
      <c r="A388" s="9"/>
      <c r="B388" s="7"/>
      <c r="C388" s="7"/>
      <c r="D388" s="7"/>
      <c r="E388" s="7"/>
      <c r="F388" s="7"/>
      <c r="G388" s="8"/>
    </row>
    <row r="389" spans="1:7" x14ac:dyDescent="0.2">
      <c r="A389" s="9"/>
      <c r="B389" s="7"/>
      <c r="C389" s="7"/>
      <c r="D389" s="7"/>
      <c r="E389" s="7"/>
      <c r="F389" s="7"/>
      <c r="G389" s="8"/>
    </row>
    <row r="390" spans="1:7" x14ac:dyDescent="0.2">
      <c r="A390" s="9"/>
      <c r="B390" s="7"/>
      <c r="C390" s="7"/>
      <c r="D390" s="7"/>
      <c r="E390" s="7"/>
      <c r="F390" s="7"/>
      <c r="G390" s="8"/>
    </row>
    <row r="391" spans="1:7" x14ac:dyDescent="0.2">
      <c r="A391" s="9"/>
      <c r="B391" s="7"/>
      <c r="C391" s="7"/>
      <c r="D391" s="7"/>
      <c r="E391" s="7"/>
      <c r="F391" s="7"/>
      <c r="G391" s="8"/>
    </row>
    <row r="392" spans="1:7" x14ac:dyDescent="0.2">
      <c r="A392" s="9"/>
      <c r="B392" s="7"/>
      <c r="C392" s="7"/>
      <c r="D392" s="7"/>
      <c r="E392" s="7"/>
      <c r="F392" s="7"/>
      <c r="G392" s="8"/>
    </row>
    <row r="393" spans="1:7" x14ac:dyDescent="0.2">
      <c r="A393" s="9"/>
      <c r="B393" s="7"/>
      <c r="C393" s="7"/>
      <c r="D393" s="7"/>
      <c r="E393" s="7"/>
      <c r="F393" s="7"/>
      <c r="G393" s="8"/>
    </row>
    <row r="394" spans="1:7" x14ac:dyDescent="0.2">
      <c r="A394" s="9"/>
      <c r="B394" s="7"/>
      <c r="C394" s="7"/>
      <c r="D394" s="7"/>
      <c r="E394" s="7"/>
      <c r="F394" s="7"/>
      <c r="G394" s="8"/>
    </row>
    <row r="395" spans="1:7" x14ac:dyDescent="0.2">
      <c r="A395" s="9"/>
      <c r="B395" s="7"/>
      <c r="C395" s="7"/>
      <c r="D395" s="7"/>
      <c r="E395" s="7"/>
      <c r="F395" s="7"/>
      <c r="G395" s="8"/>
    </row>
    <row r="396" spans="1:7" x14ac:dyDescent="0.2">
      <c r="A396" s="9"/>
      <c r="B396" s="7"/>
      <c r="C396" s="7"/>
      <c r="D396" s="7"/>
      <c r="E396" s="7"/>
      <c r="F396" s="7"/>
      <c r="G396" s="8"/>
    </row>
    <row r="397" spans="1:7" x14ac:dyDescent="0.2">
      <c r="A397" s="9"/>
      <c r="B397" s="7"/>
      <c r="C397" s="7"/>
      <c r="D397" s="7"/>
      <c r="E397" s="7"/>
      <c r="F397" s="7"/>
      <c r="G397" s="8"/>
    </row>
    <row r="398" spans="1:7" x14ac:dyDescent="0.2">
      <c r="A398" s="9"/>
      <c r="B398" s="7"/>
      <c r="C398" s="7"/>
      <c r="D398" s="7"/>
      <c r="E398" s="7"/>
      <c r="F398" s="7"/>
      <c r="G398" s="8"/>
    </row>
    <row r="399" spans="1:7" x14ac:dyDescent="0.2">
      <c r="A399" s="9"/>
      <c r="B399" s="7"/>
      <c r="C399" s="7"/>
      <c r="D399" s="7"/>
      <c r="E399" s="7"/>
      <c r="F399" s="7"/>
      <c r="G399" s="8"/>
    </row>
    <row r="400" spans="1:7" x14ac:dyDescent="0.2">
      <c r="A400" s="9"/>
      <c r="B400" s="7"/>
      <c r="C400" s="7"/>
      <c r="D400" s="7"/>
      <c r="E400" s="7"/>
      <c r="F400" s="7"/>
      <c r="G400" s="8"/>
    </row>
    <row r="401" spans="1:7" x14ac:dyDescent="0.2">
      <c r="A401" s="9"/>
      <c r="B401" s="7"/>
      <c r="C401" s="7"/>
      <c r="D401" s="7"/>
      <c r="E401" s="7"/>
      <c r="F401" s="7"/>
      <c r="G401" s="8"/>
    </row>
    <row r="402" spans="1:7" x14ac:dyDescent="0.2">
      <c r="A402" s="9"/>
      <c r="B402" s="7"/>
      <c r="C402" s="7"/>
      <c r="D402" s="7"/>
      <c r="E402" s="7"/>
      <c r="F402" s="7"/>
      <c r="G402" s="8"/>
    </row>
    <row r="403" spans="1:7" x14ac:dyDescent="0.2">
      <c r="A403" s="9"/>
      <c r="B403" s="7"/>
      <c r="C403" s="7"/>
      <c r="D403" s="7"/>
      <c r="E403" s="7"/>
      <c r="F403" s="7"/>
      <c r="G403" s="8"/>
    </row>
    <row r="404" spans="1:7" x14ac:dyDescent="0.2">
      <c r="A404" s="9"/>
      <c r="B404" s="7"/>
      <c r="C404" s="7"/>
      <c r="D404" s="7"/>
      <c r="E404" s="7"/>
      <c r="F404" s="7"/>
      <c r="G404" s="8"/>
    </row>
    <row r="405" spans="1:7" x14ac:dyDescent="0.2">
      <c r="A405" s="9"/>
      <c r="B405" s="7"/>
      <c r="C405" s="7"/>
      <c r="D405" s="7"/>
      <c r="E405" s="7"/>
      <c r="F405" s="7"/>
      <c r="G405" s="8"/>
    </row>
    <row r="406" spans="1:7" x14ac:dyDescent="0.2">
      <c r="A406" s="9"/>
      <c r="B406" s="7"/>
      <c r="C406" s="7"/>
      <c r="D406" s="7"/>
      <c r="E406" s="7"/>
      <c r="F406" s="7"/>
      <c r="G406" s="8"/>
    </row>
    <row r="407" spans="1:7" x14ac:dyDescent="0.2">
      <c r="A407" s="9"/>
      <c r="B407" s="7"/>
      <c r="C407" s="7"/>
      <c r="D407" s="7"/>
      <c r="E407" s="7"/>
      <c r="F407" s="7"/>
      <c r="G407" s="8"/>
    </row>
    <row r="408" spans="1:7" x14ac:dyDescent="0.2">
      <c r="A408" s="9"/>
      <c r="B408" s="7"/>
      <c r="C408" s="7"/>
      <c r="D408" s="7"/>
      <c r="E408" s="7"/>
      <c r="F408" s="7"/>
      <c r="G408" s="8"/>
    </row>
    <row r="409" spans="1:7" x14ac:dyDescent="0.2">
      <c r="A409" s="9"/>
      <c r="B409" s="7"/>
      <c r="C409" s="7"/>
      <c r="D409" s="7"/>
      <c r="E409" s="7"/>
      <c r="F409" s="7"/>
      <c r="G409" s="8"/>
    </row>
    <row r="410" spans="1:7" x14ac:dyDescent="0.2">
      <c r="A410" s="9"/>
      <c r="B410" s="7"/>
      <c r="C410" s="7"/>
      <c r="D410" s="7"/>
      <c r="E410" s="7"/>
      <c r="F410" s="7"/>
      <c r="G410" s="8"/>
    </row>
    <row r="411" spans="1:7" x14ac:dyDescent="0.2">
      <c r="A411" s="9"/>
      <c r="B411" s="7"/>
      <c r="C411" s="7"/>
      <c r="D411" s="7"/>
      <c r="E411" s="7"/>
      <c r="F411" s="7"/>
      <c r="G411" s="8"/>
    </row>
    <row r="412" spans="1:7" x14ac:dyDescent="0.2">
      <c r="A412" s="9"/>
      <c r="B412" s="7"/>
      <c r="C412" s="7"/>
      <c r="D412" s="7"/>
      <c r="E412" s="7"/>
      <c r="F412" s="7"/>
      <c r="G412" s="8"/>
    </row>
    <row r="413" spans="1:7" x14ac:dyDescent="0.2">
      <c r="A413" s="9"/>
      <c r="B413" s="7"/>
      <c r="C413" s="7"/>
      <c r="D413" s="7"/>
      <c r="E413" s="7"/>
      <c r="F413" s="7"/>
      <c r="G413" s="8"/>
    </row>
    <row r="414" spans="1:7" x14ac:dyDescent="0.2">
      <c r="A414" s="9"/>
      <c r="B414" s="7"/>
      <c r="C414" s="7"/>
      <c r="D414" s="7"/>
      <c r="E414" s="7"/>
      <c r="F414" s="7"/>
      <c r="G414" s="8"/>
    </row>
    <row r="415" spans="1:7" x14ac:dyDescent="0.2">
      <c r="A415" s="9"/>
      <c r="B415" s="7"/>
      <c r="C415" s="7"/>
      <c r="D415" s="7"/>
      <c r="E415" s="7"/>
      <c r="F415" s="7"/>
      <c r="G415" s="8"/>
    </row>
    <row r="416" spans="1:7" x14ac:dyDescent="0.2">
      <c r="A416" s="9"/>
      <c r="B416" s="7"/>
      <c r="C416" s="7"/>
      <c r="D416" s="7"/>
      <c r="E416" s="7"/>
      <c r="F416" s="7"/>
      <c r="G416" s="8"/>
    </row>
    <row r="417" spans="1:7" x14ac:dyDescent="0.2">
      <c r="A417" s="9"/>
      <c r="B417" s="7"/>
      <c r="C417" s="7"/>
      <c r="D417" s="7"/>
      <c r="E417" s="7"/>
      <c r="F417" s="7"/>
      <c r="G417" s="8"/>
    </row>
    <row r="418" spans="1:7" x14ac:dyDescent="0.2">
      <c r="A418" s="9"/>
      <c r="B418" s="7"/>
      <c r="C418" s="7"/>
      <c r="D418" s="7"/>
      <c r="E418" s="7"/>
      <c r="F418" s="7"/>
      <c r="G418" s="8"/>
    </row>
    <row r="419" spans="1:7" x14ac:dyDescent="0.2">
      <c r="A419" s="9"/>
      <c r="B419" s="7"/>
      <c r="C419" s="7"/>
      <c r="D419" s="7"/>
      <c r="E419" s="7"/>
      <c r="F419" s="7"/>
      <c r="G419" s="8"/>
    </row>
    <row r="420" spans="1:7" x14ac:dyDescent="0.2">
      <c r="A420" s="9"/>
      <c r="B420" s="7"/>
      <c r="C420" s="7"/>
      <c r="D420" s="7"/>
      <c r="E420" s="7"/>
      <c r="F420" s="7"/>
      <c r="G420" s="8"/>
    </row>
    <row r="421" spans="1:7" x14ac:dyDescent="0.2">
      <c r="A421" s="9"/>
      <c r="B421" s="7"/>
      <c r="C421" s="7"/>
      <c r="D421" s="7"/>
      <c r="E421" s="7"/>
      <c r="F421" s="7"/>
      <c r="G421" s="8"/>
    </row>
    <row r="422" spans="1:7" x14ac:dyDescent="0.2">
      <c r="A422" s="9"/>
      <c r="B422" s="7"/>
      <c r="C422" s="7"/>
      <c r="D422" s="7"/>
      <c r="E422" s="7"/>
      <c r="F422" s="7"/>
      <c r="G422" s="8"/>
    </row>
    <row r="423" spans="1:7" x14ac:dyDescent="0.2">
      <c r="A423" s="9"/>
      <c r="B423" s="7"/>
      <c r="C423" s="7"/>
      <c r="D423" s="7"/>
      <c r="E423" s="7"/>
      <c r="F423" s="7"/>
      <c r="G423" s="8"/>
    </row>
    <row r="424" spans="1:7" x14ac:dyDescent="0.2">
      <c r="A424" s="9"/>
      <c r="B424" s="7"/>
      <c r="C424" s="7"/>
      <c r="D424" s="7"/>
      <c r="E424" s="7"/>
      <c r="F424" s="7"/>
      <c r="G424" s="8"/>
    </row>
    <row r="425" spans="1:7" x14ac:dyDescent="0.2">
      <c r="A425" s="9"/>
      <c r="B425" s="7"/>
      <c r="C425" s="7"/>
      <c r="D425" s="7"/>
      <c r="E425" s="7"/>
      <c r="F425" s="7"/>
      <c r="G425" s="8"/>
    </row>
    <row r="426" spans="1:7" x14ac:dyDescent="0.2">
      <c r="A426" s="9"/>
      <c r="B426" s="7"/>
      <c r="C426" s="7"/>
      <c r="D426" s="7"/>
      <c r="E426" s="7"/>
      <c r="F426" s="7"/>
      <c r="G426" s="8"/>
    </row>
    <row r="427" spans="1:7" x14ac:dyDescent="0.2">
      <c r="A427" s="9"/>
      <c r="B427" s="7"/>
      <c r="C427" s="7"/>
      <c r="D427" s="7"/>
      <c r="E427" s="7"/>
      <c r="F427" s="7"/>
      <c r="G427" s="8"/>
    </row>
    <row r="428" spans="1:7" x14ac:dyDescent="0.2">
      <c r="A428" s="9"/>
      <c r="B428" s="7"/>
      <c r="C428" s="7"/>
      <c r="D428" s="7"/>
      <c r="E428" s="7"/>
      <c r="F428" s="7"/>
      <c r="G428" s="8"/>
    </row>
    <row r="429" spans="1:7" x14ac:dyDescent="0.2">
      <c r="A429" s="9"/>
      <c r="B429" s="7"/>
      <c r="C429" s="7"/>
      <c r="D429" s="7"/>
      <c r="E429" s="7"/>
      <c r="F429" s="7"/>
      <c r="G429" s="8"/>
    </row>
    <row r="430" spans="1:7" x14ac:dyDescent="0.2">
      <c r="A430" s="9"/>
      <c r="B430" s="7"/>
      <c r="C430" s="7"/>
      <c r="D430" s="7"/>
      <c r="E430" s="7"/>
      <c r="F430" s="7"/>
      <c r="G430" s="8"/>
    </row>
    <row r="431" spans="1:7" x14ac:dyDescent="0.2">
      <c r="A431" s="9"/>
      <c r="B431" s="7"/>
      <c r="C431" s="7"/>
      <c r="D431" s="7"/>
      <c r="E431" s="7"/>
      <c r="F431" s="7"/>
      <c r="G431" s="8"/>
    </row>
    <row r="432" spans="1:7" x14ac:dyDescent="0.2">
      <c r="A432" s="9"/>
      <c r="B432" s="7"/>
      <c r="C432" s="7"/>
      <c r="D432" s="7"/>
      <c r="E432" s="7"/>
      <c r="F432" s="7"/>
      <c r="G432" s="8"/>
    </row>
    <row r="433" spans="1:7" x14ac:dyDescent="0.2">
      <c r="A433" s="9"/>
      <c r="B433" s="7"/>
      <c r="C433" s="7"/>
      <c r="D433" s="7"/>
      <c r="E433" s="7"/>
      <c r="F433" s="7"/>
      <c r="G433" s="8"/>
    </row>
    <row r="434" spans="1:7" x14ac:dyDescent="0.2">
      <c r="A434" s="9"/>
      <c r="B434" s="7"/>
      <c r="C434" s="7"/>
      <c r="D434" s="7"/>
      <c r="E434" s="7"/>
      <c r="F434" s="7"/>
      <c r="G434" s="8"/>
    </row>
    <row r="435" spans="1:7" x14ac:dyDescent="0.2">
      <c r="A435" s="9"/>
      <c r="B435" s="7"/>
      <c r="C435" s="7"/>
      <c r="D435" s="7"/>
      <c r="E435" s="7"/>
      <c r="F435" s="7"/>
      <c r="G435" s="8"/>
    </row>
    <row r="436" spans="1:7" x14ac:dyDescent="0.2">
      <c r="A436" s="9"/>
      <c r="B436" s="7"/>
      <c r="C436" s="7"/>
      <c r="D436" s="7"/>
      <c r="E436" s="7"/>
      <c r="F436" s="7"/>
      <c r="G436" s="8"/>
    </row>
    <row r="437" spans="1:7" x14ac:dyDescent="0.2">
      <c r="A437" s="9"/>
      <c r="B437" s="7"/>
      <c r="C437" s="7"/>
      <c r="D437" s="7"/>
      <c r="E437" s="7"/>
      <c r="F437" s="7"/>
      <c r="G437" s="8"/>
    </row>
    <row r="438" spans="1:7" x14ac:dyDescent="0.2">
      <c r="A438" s="9"/>
      <c r="B438" s="7"/>
      <c r="C438" s="7"/>
      <c r="D438" s="7"/>
      <c r="E438" s="7"/>
      <c r="F438" s="7"/>
      <c r="G438" s="8"/>
    </row>
    <row r="439" spans="1:7" x14ac:dyDescent="0.2">
      <c r="A439" s="9"/>
      <c r="B439" s="7"/>
      <c r="C439" s="7"/>
      <c r="D439" s="7"/>
      <c r="E439" s="7"/>
      <c r="F439" s="7"/>
      <c r="G439" s="8"/>
    </row>
    <row r="440" spans="1:7" x14ac:dyDescent="0.2">
      <c r="A440" s="9"/>
      <c r="B440" s="7"/>
      <c r="C440" s="7"/>
      <c r="D440" s="7"/>
      <c r="E440" s="7"/>
      <c r="F440" s="7"/>
      <c r="G440" s="8"/>
    </row>
    <row r="441" spans="1:7" x14ac:dyDescent="0.2">
      <c r="A441" s="9"/>
      <c r="B441" s="7"/>
      <c r="C441" s="7"/>
      <c r="D441" s="7"/>
      <c r="E441" s="7"/>
      <c r="F441" s="7"/>
      <c r="G441" s="8"/>
    </row>
    <row r="442" spans="1:7" x14ac:dyDescent="0.2">
      <c r="A442" s="9"/>
      <c r="B442" s="7"/>
      <c r="C442" s="7"/>
      <c r="D442" s="7"/>
      <c r="E442" s="7"/>
      <c r="F442" s="7"/>
      <c r="G442" s="8"/>
    </row>
    <row r="443" spans="1:7" x14ac:dyDescent="0.2">
      <c r="A443" s="9"/>
      <c r="B443" s="7"/>
      <c r="C443" s="7"/>
      <c r="D443" s="7"/>
      <c r="E443" s="7"/>
      <c r="F443" s="7"/>
      <c r="G443" s="8"/>
    </row>
    <row r="444" spans="1:7" x14ac:dyDescent="0.2">
      <c r="A444" s="9"/>
      <c r="B444" s="7"/>
      <c r="C444" s="7"/>
      <c r="D444" s="7"/>
      <c r="E444" s="7"/>
      <c r="F444" s="7"/>
      <c r="G444" s="8"/>
    </row>
    <row r="445" spans="1:7" x14ac:dyDescent="0.2">
      <c r="A445" s="9"/>
      <c r="B445" s="7"/>
      <c r="C445" s="7"/>
      <c r="D445" s="7"/>
      <c r="E445" s="7"/>
      <c r="F445" s="7"/>
      <c r="G445" s="8"/>
    </row>
    <row r="446" spans="1:7" x14ac:dyDescent="0.2">
      <c r="A446" s="9"/>
      <c r="B446" s="7"/>
      <c r="C446" s="7"/>
      <c r="D446" s="7"/>
      <c r="E446" s="7"/>
      <c r="F446" s="7"/>
      <c r="G446" s="8"/>
    </row>
    <row r="447" spans="1:7" x14ac:dyDescent="0.2">
      <c r="A447" s="9"/>
      <c r="B447" s="7"/>
      <c r="C447" s="7"/>
      <c r="D447" s="7"/>
      <c r="E447" s="7"/>
      <c r="F447" s="7"/>
      <c r="G447" s="8"/>
    </row>
    <row r="448" spans="1:7" x14ac:dyDescent="0.2">
      <c r="A448" s="9"/>
      <c r="B448" s="7"/>
      <c r="C448" s="7"/>
      <c r="D448" s="7"/>
      <c r="E448" s="7"/>
      <c r="F448" s="7"/>
      <c r="G448" s="8"/>
    </row>
    <row r="449" spans="1:7" x14ac:dyDescent="0.2">
      <c r="A449" s="9"/>
      <c r="B449" s="7"/>
      <c r="C449" s="7"/>
      <c r="D449" s="7"/>
      <c r="E449" s="7"/>
      <c r="F449" s="7"/>
      <c r="G449" s="8"/>
    </row>
    <row r="450" spans="1:7" x14ac:dyDescent="0.2">
      <c r="A450" s="9"/>
      <c r="B450" s="7"/>
      <c r="C450" s="7"/>
      <c r="D450" s="7"/>
      <c r="E450" s="7"/>
      <c r="F450" s="7"/>
      <c r="G450" s="8"/>
    </row>
    <row r="451" spans="1:7" x14ac:dyDescent="0.2">
      <c r="A451" s="9"/>
      <c r="B451" s="7"/>
      <c r="C451" s="7"/>
      <c r="D451" s="7"/>
      <c r="E451" s="7"/>
      <c r="F451" s="7"/>
      <c r="G451" s="8"/>
    </row>
    <row r="452" spans="1:7" x14ac:dyDescent="0.2">
      <c r="A452" s="9"/>
      <c r="B452" s="7"/>
      <c r="C452" s="7"/>
      <c r="D452" s="7"/>
      <c r="E452" s="7"/>
      <c r="F452" s="7"/>
      <c r="G452" s="8"/>
    </row>
    <row r="453" spans="1:7" x14ac:dyDescent="0.2">
      <c r="A453" s="9"/>
      <c r="B453" s="7"/>
      <c r="C453" s="7"/>
      <c r="D453" s="7"/>
      <c r="E453" s="7"/>
      <c r="F453" s="7"/>
      <c r="G453" s="8"/>
    </row>
    <row r="454" spans="1:7" x14ac:dyDescent="0.2">
      <c r="A454" s="9"/>
      <c r="B454" s="7"/>
      <c r="C454" s="7"/>
      <c r="D454" s="7"/>
      <c r="E454" s="7"/>
      <c r="F454" s="7"/>
      <c r="G454" s="8"/>
    </row>
    <row r="455" spans="1:7" x14ac:dyDescent="0.2">
      <c r="A455" s="9"/>
      <c r="B455" s="7"/>
      <c r="C455" s="7"/>
      <c r="D455" s="7"/>
      <c r="E455" s="7"/>
      <c r="F455" s="7"/>
      <c r="G455" s="8"/>
    </row>
    <row r="456" spans="1:7" x14ac:dyDescent="0.2">
      <c r="A456" s="9"/>
      <c r="B456" s="7"/>
      <c r="C456" s="7"/>
      <c r="D456" s="7"/>
      <c r="E456" s="7"/>
      <c r="F456" s="7"/>
      <c r="G456" s="8"/>
    </row>
    <row r="457" spans="1:7" x14ac:dyDescent="0.2">
      <c r="A457" s="9"/>
      <c r="B457" s="7"/>
      <c r="C457" s="7"/>
      <c r="D457" s="7"/>
      <c r="E457" s="7"/>
      <c r="F457" s="7"/>
      <c r="G457" s="8"/>
    </row>
    <row r="458" spans="1:7" x14ac:dyDescent="0.2">
      <c r="A458" s="9"/>
      <c r="B458" s="7"/>
      <c r="C458" s="7"/>
      <c r="D458" s="7"/>
      <c r="E458" s="7"/>
      <c r="F458" s="7"/>
      <c r="G458" s="8"/>
    </row>
    <row r="459" spans="1:7" x14ac:dyDescent="0.2">
      <c r="A459" s="9"/>
      <c r="B459" s="7"/>
      <c r="C459" s="7"/>
      <c r="D459" s="7"/>
      <c r="E459" s="7"/>
      <c r="F459" s="7"/>
      <c r="G459" s="8"/>
    </row>
    <row r="460" spans="1:7" x14ac:dyDescent="0.2">
      <c r="A460" s="9"/>
      <c r="B460" s="7"/>
      <c r="C460" s="7"/>
      <c r="D460" s="7"/>
      <c r="E460" s="7"/>
      <c r="F460" s="7"/>
      <c r="G460" s="8"/>
    </row>
    <row r="461" spans="1:7" x14ac:dyDescent="0.2">
      <c r="A461" s="9"/>
      <c r="B461" s="7"/>
      <c r="C461" s="7"/>
      <c r="D461" s="7"/>
      <c r="E461" s="7"/>
      <c r="F461" s="7"/>
      <c r="G461" s="8"/>
    </row>
    <row r="462" spans="1:7" x14ac:dyDescent="0.2">
      <c r="A462" s="9"/>
      <c r="B462" s="7"/>
      <c r="C462" s="7"/>
      <c r="D462" s="7"/>
      <c r="E462" s="7"/>
      <c r="F462" s="7"/>
      <c r="G462" s="8"/>
    </row>
    <row r="463" spans="1:7" x14ac:dyDescent="0.2">
      <c r="A463" s="9"/>
      <c r="B463" s="7"/>
      <c r="C463" s="7"/>
      <c r="D463" s="7"/>
      <c r="E463" s="7"/>
      <c r="F463" s="7"/>
      <c r="G463" s="8"/>
    </row>
    <row r="464" spans="1:7" x14ac:dyDescent="0.2">
      <c r="A464" s="9"/>
      <c r="B464" s="7"/>
      <c r="C464" s="7"/>
      <c r="D464" s="7"/>
      <c r="E464" s="7"/>
      <c r="F464" s="7"/>
      <c r="G464" s="8"/>
    </row>
    <row r="465" spans="1:7" x14ac:dyDescent="0.2">
      <c r="A465" s="9"/>
      <c r="B465" s="7"/>
      <c r="C465" s="7"/>
      <c r="D465" s="7"/>
      <c r="E465" s="7"/>
      <c r="F465" s="7"/>
      <c r="G465" s="8"/>
    </row>
    <row r="466" spans="1:7" x14ac:dyDescent="0.2">
      <c r="A466" s="9"/>
      <c r="B466" s="7"/>
      <c r="C466" s="7"/>
      <c r="D466" s="7"/>
      <c r="E466" s="7"/>
      <c r="F466" s="7"/>
      <c r="G466" s="8"/>
    </row>
    <row r="467" spans="1:7" x14ac:dyDescent="0.2">
      <c r="A467" s="9"/>
      <c r="B467" s="7"/>
      <c r="C467" s="7"/>
      <c r="D467" s="7"/>
      <c r="E467" s="7"/>
      <c r="F467" s="7"/>
      <c r="G467" s="8"/>
    </row>
    <row r="468" spans="1:7" x14ac:dyDescent="0.2">
      <c r="A468" s="9"/>
      <c r="B468" s="7"/>
      <c r="C468" s="7"/>
      <c r="D468" s="7"/>
      <c r="E468" s="7"/>
      <c r="F468" s="7"/>
      <c r="G468" s="8"/>
    </row>
    <row r="469" spans="1:7" x14ac:dyDescent="0.2">
      <c r="A469" s="9"/>
      <c r="B469" s="7"/>
      <c r="C469" s="7"/>
      <c r="D469" s="7"/>
      <c r="E469" s="7"/>
      <c r="F469" s="7"/>
      <c r="G469" s="8"/>
    </row>
    <row r="470" spans="1:7" x14ac:dyDescent="0.2">
      <c r="A470" s="9"/>
      <c r="B470" s="7"/>
      <c r="C470" s="7"/>
      <c r="D470" s="7"/>
      <c r="E470" s="7"/>
      <c r="F470" s="7"/>
      <c r="G470" s="8"/>
    </row>
    <row r="471" spans="1:7" x14ac:dyDescent="0.2">
      <c r="A471" s="9"/>
      <c r="B471" s="7"/>
      <c r="C471" s="7"/>
      <c r="D471" s="7"/>
      <c r="E471" s="7"/>
      <c r="F471" s="7"/>
      <c r="G471" s="8"/>
    </row>
    <row r="472" spans="1:7" x14ac:dyDescent="0.2">
      <c r="A472" s="9"/>
      <c r="B472" s="7"/>
      <c r="C472" s="7"/>
      <c r="D472" s="7"/>
      <c r="E472" s="7"/>
      <c r="F472" s="7"/>
      <c r="G472" s="8"/>
    </row>
    <row r="473" spans="1:7" x14ac:dyDescent="0.2">
      <c r="A473" s="9"/>
      <c r="B473" s="7"/>
      <c r="C473" s="7"/>
      <c r="D473" s="7"/>
      <c r="E473" s="7"/>
      <c r="F473" s="7"/>
      <c r="G473" s="8"/>
    </row>
    <row r="474" spans="1:7" x14ac:dyDescent="0.2">
      <c r="A474" s="9"/>
      <c r="B474" s="7"/>
      <c r="C474" s="7"/>
      <c r="D474" s="7"/>
      <c r="E474" s="7"/>
      <c r="F474" s="7"/>
      <c r="G474" s="8"/>
    </row>
    <row r="475" spans="1:7" x14ac:dyDescent="0.2">
      <c r="A475" s="9"/>
      <c r="B475" s="7"/>
      <c r="C475" s="7"/>
      <c r="D475" s="7"/>
      <c r="E475" s="7"/>
      <c r="F475" s="7"/>
      <c r="G475" s="8"/>
    </row>
    <row r="476" spans="1:7" x14ac:dyDescent="0.2">
      <c r="A476" s="9"/>
      <c r="B476" s="7"/>
      <c r="C476" s="7"/>
      <c r="D476" s="7"/>
      <c r="E476" s="7"/>
      <c r="F476" s="7"/>
      <c r="G476" s="8"/>
    </row>
    <row r="477" spans="1:7" x14ac:dyDescent="0.2">
      <c r="A477" s="9"/>
      <c r="B477" s="7"/>
      <c r="C477" s="7"/>
      <c r="D477" s="7"/>
      <c r="E477" s="7"/>
      <c r="F477" s="7"/>
      <c r="G477" s="8"/>
    </row>
    <row r="478" spans="1:7" x14ac:dyDescent="0.2">
      <c r="A478" s="9"/>
      <c r="B478" s="7"/>
      <c r="C478" s="7"/>
      <c r="D478" s="7"/>
      <c r="E478" s="7"/>
      <c r="F478" s="7"/>
      <c r="G478" s="8"/>
    </row>
    <row r="479" spans="1:7" x14ac:dyDescent="0.2">
      <c r="A479" s="9"/>
      <c r="B479" s="7"/>
      <c r="C479" s="7"/>
      <c r="D479" s="7"/>
      <c r="E479" s="7"/>
      <c r="F479" s="7"/>
      <c r="G479" s="8"/>
    </row>
    <row r="480" spans="1:7" x14ac:dyDescent="0.2">
      <c r="A480" s="9"/>
      <c r="B480" s="7"/>
      <c r="C480" s="7"/>
      <c r="D480" s="7"/>
      <c r="E480" s="7"/>
      <c r="F480" s="7"/>
      <c r="G480" s="8"/>
    </row>
    <row r="481" spans="1:7" x14ac:dyDescent="0.2">
      <c r="A481" s="9"/>
      <c r="B481" s="7"/>
      <c r="C481" s="7"/>
      <c r="D481" s="7"/>
      <c r="E481" s="7"/>
      <c r="F481" s="7"/>
      <c r="G481" s="8"/>
    </row>
    <row r="482" spans="1:7" x14ac:dyDescent="0.2">
      <c r="A482" s="9"/>
      <c r="B482" s="7"/>
      <c r="C482" s="7"/>
      <c r="D482" s="7"/>
      <c r="E482" s="7"/>
      <c r="F482" s="7"/>
      <c r="G482" s="8"/>
    </row>
    <row r="483" spans="1:7" x14ac:dyDescent="0.2">
      <c r="A483" s="9"/>
      <c r="B483" s="7"/>
      <c r="C483" s="7"/>
      <c r="D483" s="7"/>
      <c r="E483" s="7"/>
      <c r="F483" s="7"/>
      <c r="G483" s="8"/>
    </row>
    <row r="484" spans="1:7" x14ac:dyDescent="0.2">
      <c r="A484" s="9"/>
      <c r="B484" s="7"/>
      <c r="C484" s="7"/>
      <c r="D484" s="7"/>
      <c r="E484" s="7"/>
      <c r="F484" s="7"/>
      <c r="G484" s="8"/>
    </row>
    <row r="485" spans="1:7" x14ac:dyDescent="0.2">
      <c r="A485" s="9"/>
      <c r="B485" s="7"/>
      <c r="C485" s="7"/>
      <c r="D485" s="7"/>
      <c r="E485" s="7"/>
      <c r="F485" s="7"/>
      <c r="G485" s="8"/>
    </row>
    <row r="486" spans="1:7" x14ac:dyDescent="0.2">
      <c r="A486" s="9"/>
      <c r="B486" s="7"/>
      <c r="C486" s="7"/>
      <c r="D486" s="7"/>
      <c r="E486" s="7"/>
      <c r="F486" s="7"/>
      <c r="G486" s="8"/>
    </row>
    <row r="487" spans="1:7" x14ac:dyDescent="0.2">
      <c r="A487" s="9"/>
      <c r="B487" s="7"/>
      <c r="C487" s="7"/>
      <c r="D487" s="7"/>
      <c r="E487" s="7"/>
      <c r="F487" s="7"/>
      <c r="G487" s="8"/>
    </row>
    <row r="488" spans="1:7" x14ac:dyDescent="0.2">
      <c r="A488" s="9"/>
      <c r="B488" s="7"/>
      <c r="C488" s="7"/>
      <c r="D488" s="7"/>
      <c r="E488" s="7"/>
      <c r="F488" s="7"/>
      <c r="G488" s="8"/>
    </row>
    <row r="489" spans="1:7" x14ac:dyDescent="0.2">
      <c r="A489" s="9"/>
      <c r="B489" s="7"/>
      <c r="C489" s="7"/>
      <c r="D489" s="7"/>
      <c r="E489" s="7"/>
      <c r="F489" s="7"/>
      <c r="G489" s="8"/>
    </row>
    <row r="490" spans="1:7" x14ac:dyDescent="0.2">
      <c r="A490" s="9"/>
      <c r="B490" s="7"/>
      <c r="C490" s="7"/>
      <c r="D490" s="7"/>
      <c r="E490" s="7"/>
      <c r="F490" s="7"/>
      <c r="G490" s="8"/>
    </row>
    <row r="491" spans="1:7" x14ac:dyDescent="0.2">
      <c r="A491" s="9"/>
      <c r="B491" s="7"/>
      <c r="C491" s="7"/>
      <c r="D491" s="7"/>
      <c r="E491" s="7"/>
      <c r="F491" s="7"/>
      <c r="G491" s="8"/>
    </row>
    <row r="492" spans="1:7" x14ac:dyDescent="0.2">
      <c r="A492" s="9"/>
      <c r="B492" s="7"/>
      <c r="C492" s="7"/>
      <c r="D492" s="7"/>
      <c r="E492" s="7"/>
      <c r="F492" s="7"/>
      <c r="G492" s="8"/>
    </row>
    <row r="493" spans="1:7" x14ac:dyDescent="0.2">
      <c r="A493" s="9"/>
      <c r="B493" s="7"/>
      <c r="C493" s="7"/>
      <c r="D493" s="7"/>
      <c r="E493" s="7"/>
      <c r="F493" s="7"/>
      <c r="G493" s="8"/>
    </row>
    <row r="494" spans="1:7" x14ac:dyDescent="0.2">
      <c r="A494" s="9"/>
      <c r="B494" s="7"/>
      <c r="C494" s="7"/>
      <c r="D494" s="7"/>
      <c r="E494" s="7"/>
      <c r="F494" s="7"/>
      <c r="G494" s="8"/>
    </row>
    <row r="495" spans="1:7" x14ac:dyDescent="0.2">
      <c r="A495" s="9"/>
      <c r="B495" s="7"/>
      <c r="C495" s="7"/>
      <c r="D495" s="7"/>
      <c r="E495" s="7"/>
      <c r="F495" s="7"/>
      <c r="G495" s="8"/>
    </row>
    <row r="496" spans="1:7" x14ac:dyDescent="0.2">
      <c r="A496" s="9"/>
      <c r="B496" s="7"/>
      <c r="C496" s="7"/>
      <c r="D496" s="7"/>
      <c r="E496" s="7"/>
      <c r="F496" s="7"/>
      <c r="G496" s="8"/>
    </row>
    <row r="497" spans="1:7" x14ac:dyDescent="0.2">
      <c r="A497" s="9"/>
      <c r="B497" s="7"/>
      <c r="C497" s="7"/>
      <c r="D497" s="7"/>
      <c r="E497" s="7"/>
      <c r="F497" s="7"/>
      <c r="G497" s="8"/>
    </row>
    <row r="498" spans="1:7" x14ac:dyDescent="0.2">
      <c r="A498" s="9"/>
      <c r="B498" s="7"/>
      <c r="C498" s="7"/>
      <c r="D498" s="7"/>
      <c r="E498" s="7"/>
      <c r="F498" s="7"/>
      <c r="G498" s="8"/>
    </row>
    <row r="499" spans="1:7" x14ac:dyDescent="0.2">
      <c r="A499" s="9"/>
      <c r="B499" s="7"/>
      <c r="C499" s="7"/>
      <c r="D499" s="7"/>
      <c r="E499" s="7"/>
      <c r="F499" s="7"/>
      <c r="G499" s="8"/>
    </row>
    <row r="500" spans="1:7" x14ac:dyDescent="0.2">
      <c r="A500" s="9"/>
      <c r="B500" s="7"/>
      <c r="C500" s="7"/>
      <c r="D500" s="7"/>
      <c r="E500" s="7"/>
      <c r="F500" s="7"/>
      <c r="G500" s="8"/>
    </row>
    <row r="501" spans="1:7" x14ac:dyDescent="0.2">
      <c r="A501" s="9"/>
      <c r="B501" s="7"/>
      <c r="C501" s="7"/>
      <c r="D501" s="7"/>
      <c r="E501" s="7"/>
      <c r="F501" s="7"/>
      <c r="G501" s="8"/>
    </row>
    <row r="502" spans="1:7" x14ac:dyDescent="0.2">
      <c r="A502" s="9"/>
      <c r="B502" s="7"/>
      <c r="C502" s="7"/>
      <c r="D502" s="7"/>
      <c r="E502" s="7"/>
      <c r="F502" s="7"/>
      <c r="G502" s="8"/>
    </row>
    <row r="503" spans="1:7" x14ac:dyDescent="0.2">
      <c r="A503" s="9"/>
      <c r="B503" s="7"/>
      <c r="C503" s="7"/>
      <c r="D503" s="7"/>
      <c r="E503" s="7"/>
      <c r="F503" s="7"/>
      <c r="G503" s="8"/>
    </row>
    <row r="504" spans="1:7" x14ac:dyDescent="0.2">
      <c r="A504" s="9"/>
      <c r="B504" s="7"/>
      <c r="C504" s="7"/>
      <c r="D504" s="7"/>
      <c r="E504" s="7"/>
      <c r="F504" s="7"/>
      <c r="G504" s="8"/>
    </row>
    <row r="505" spans="1:7" x14ac:dyDescent="0.2">
      <c r="A505" s="9"/>
      <c r="B505" s="7"/>
      <c r="C505" s="7"/>
      <c r="D505" s="7"/>
      <c r="E505" s="7"/>
      <c r="F505" s="7"/>
      <c r="G505" s="8"/>
    </row>
    <row r="506" spans="1:7" x14ac:dyDescent="0.2">
      <c r="A506" s="9"/>
      <c r="B506" s="7"/>
      <c r="C506" s="7"/>
      <c r="D506" s="7"/>
      <c r="E506" s="7"/>
      <c r="F506" s="7"/>
      <c r="G506" s="8"/>
    </row>
    <row r="507" spans="1:7" x14ac:dyDescent="0.2">
      <c r="A507" s="9"/>
      <c r="B507" s="7"/>
      <c r="C507" s="7"/>
      <c r="D507" s="7"/>
      <c r="E507" s="7"/>
      <c r="F507" s="7"/>
      <c r="G507" s="8"/>
    </row>
    <row r="508" spans="1:7" x14ac:dyDescent="0.2">
      <c r="A508" s="9"/>
      <c r="B508" s="7"/>
      <c r="C508" s="7"/>
      <c r="D508" s="7"/>
      <c r="E508" s="7"/>
      <c r="F508" s="7"/>
      <c r="G508" s="8"/>
    </row>
    <row r="509" spans="1:7" x14ac:dyDescent="0.2">
      <c r="A509" s="9"/>
      <c r="B509" s="7"/>
      <c r="C509" s="7"/>
      <c r="D509" s="7"/>
      <c r="E509" s="7"/>
      <c r="F509" s="7"/>
      <c r="G509" s="8"/>
    </row>
    <row r="510" spans="1:7" x14ac:dyDescent="0.2">
      <c r="A510" s="9"/>
      <c r="B510" s="7"/>
      <c r="C510" s="7"/>
      <c r="D510" s="7"/>
      <c r="E510" s="7"/>
      <c r="F510" s="7"/>
      <c r="G510" s="8"/>
    </row>
    <row r="511" spans="1:7" x14ac:dyDescent="0.2">
      <c r="A511" s="9"/>
      <c r="B511" s="7"/>
      <c r="C511" s="7"/>
      <c r="D511" s="7"/>
      <c r="E511" s="7"/>
      <c r="F511" s="7"/>
      <c r="G511" s="8"/>
    </row>
    <row r="512" spans="1:7" x14ac:dyDescent="0.2">
      <c r="A512" s="9"/>
      <c r="B512" s="7"/>
      <c r="C512" s="7"/>
      <c r="D512" s="7"/>
      <c r="E512" s="7"/>
      <c r="F512" s="7"/>
      <c r="G512" s="8"/>
    </row>
    <row r="513" spans="1:7" x14ac:dyDescent="0.2">
      <c r="A513" s="9"/>
      <c r="B513" s="7"/>
      <c r="C513" s="7"/>
      <c r="D513" s="7"/>
      <c r="E513" s="7"/>
      <c r="F513" s="7"/>
      <c r="G513" s="8"/>
    </row>
    <row r="514" spans="1:7" x14ac:dyDescent="0.2">
      <c r="A514" s="9"/>
      <c r="B514" s="7"/>
      <c r="C514" s="7"/>
      <c r="D514" s="7"/>
      <c r="E514" s="7"/>
      <c r="F514" s="7"/>
      <c r="G514" s="8"/>
    </row>
    <row r="515" spans="1:7" x14ac:dyDescent="0.2">
      <c r="A515" s="9"/>
      <c r="B515" s="7"/>
      <c r="C515" s="7"/>
      <c r="D515" s="7"/>
      <c r="E515" s="7"/>
      <c r="F515" s="7"/>
      <c r="G515" s="8"/>
    </row>
    <row r="516" spans="1:7" x14ac:dyDescent="0.2">
      <c r="A516" s="9"/>
      <c r="B516" s="7"/>
      <c r="C516" s="7"/>
      <c r="D516" s="7"/>
      <c r="E516" s="7"/>
      <c r="F516" s="7"/>
      <c r="G516" s="8"/>
    </row>
    <row r="517" spans="1:7" x14ac:dyDescent="0.2">
      <c r="A517" s="9"/>
      <c r="B517" s="7"/>
      <c r="C517" s="7"/>
      <c r="D517" s="7"/>
      <c r="E517" s="7"/>
      <c r="F517" s="7"/>
      <c r="G517" s="8"/>
    </row>
    <row r="518" spans="1:7" x14ac:dyDescent="0.2">
      <c r="A518" s="9"/>
      <c r="B518" s="7"/>
      <c r="C518" s="7"/>
      <c r="D518" s="7"/>
      <c r="E518" s="7"/>
      <c r="F518" s="7"/>
      <c r="G518" s="8"/>
    </row>
    <row r="519" spans="1:7" x14ac:dyDescent="0.2">
      <c r="A519" s="9"/>
      <c r="B519" s="7"/>
      <c r="C519" s="7"/>
      <c r="D519" s="7"/>
      <c r="E519" s="7"/>
      <c r="F519" s="7"/>
      <c r="G519" s="8"/>
    </row>
    <row r="520" spans="1:7" x14ac:dyDescent="0.2">
      <c r="A520" s="9"/>
      <c r="B520" s="7"/>
      <c r="C520" s="7"/>
      <c r="D520" s="7"/>
      <c r="E520" s="7"/>
      <c r="F520" s="7"/>
      <c r="G520" s="8"/>
    </row>
    <row r="521" spans="1:7" x14ac:dyDescent="0.2">
      <c r="A521" s="9"/>
      <c r="B521" s="7"/>
      <c r="C521" s="7"/>
      <c r="D521" s="7"/>
      <c r="E521" s="7"/>
      <c r="F521" s="7"/>
      <c r="G521" s="8"/>
    </row>
    <row r="522" spans="1:7" x14ac:dyDescent="0.2">
      <c r="A522" s="9"/>
      <c r="B522" s="7"/>
      <c r="C522" s="7"/>
      <c r="D522" s="7"/>
      <c r="E522" s="7"/>
      <c r="F522" s="7"/>
      <c r="G522" s="8"/>
    </row>
    <row r="523" spans="1:7" x14ac:dyDescent="0.2">
      <c r="A523" s="9"/>
      <c r="B523" s="7"/>
      <c r="C523" s="7"/>
      <c r="D523" s="7"/>
      <c r="E523" s="7"/>
      <c r="F523" s="7"/>
      <c r="G523" s="8"/>
    </row>
    <row r="524" spans="1:7" x14ac:dyDescent="0.2">
      <c r="A524" s="9"/>
      <c r="B524" s="7"/>
      <c r="C524" s="7"/>
      <c r="D524" s="7"/>
      <c r="E524" s="7"/>
      <c r="F524" s="7"/>
      <c r="G524" s="8"/>
    </row>
    <row r="525" spans="1:7" x14ac:dyDescent="0.2">
      <c r="A525" s="9"/>
      <c r="B525" s="7"/>
      <c r="C525" s="7"/>
      <c r="D525" s="7"/>
      <c r="E525" s="7"/>
      <c r="F525" s="7"/>
      <c r="G525" s="8"/>
    </row>
    <row r="526" spans="1:7" x14ac:dyDescent="0.2">
      <c r="A526" s="9"/>
      <c r="B526" s="7"/>
      <c r="C526" s="7"/>
      <c r="D526" s="7"/>
      <c r="E526" s="7"/>
      <c r="F526" s="7"/>
      <c r="G526" s="8"/>
    </row>
    <row r="527" spans="1:7" x14ac:dyDescent="0.2">
      <c r="A527" s="9"/>
      <c r="B527" s="7"/>
      <c r="C527" s="7"/>
      <c r="D527" s="7"/>
      <c r="E527" s="7"/>
      <c r="F527" s="7"/>
      <c r="G527" s="8"/>
    </row>
    <row r="528" spans="1:7" x14ac:dyDescent="0.2">
      <c r="A528" s="9"/>
      <c r="B528" s="7"/>
      <c r="C528" s="7"/>
      <c r="D528" s="7"/>
      <c r="E528" s="7"/>
      <c r="F528" s="7"/>
      <c r="G528" s="8"/>
    </row>
    <row r="529" spans="1:7" x14ac:dyDescent="0.2">
      <c r="A529" s="9"/>
      <c r="B529" s="7"/>
      <c r="C529" s="7"/>
      <c r="D529" s="7"/>
      <c r="E529" s="7"/>
      <c r="F529" s="7"/>
      <c r="G529" s="8"/>
    </row>
    <row r="530" spans="1:7" x14ac:dyDescent="0.2">
      <c r="A530" s="9"/>
      <c r="B530" s="7"/>
      <c r="C530" s="7"/>
      <c r="D530" s="7"/>
      <c r="E530" s="7"/>
      <c r="F530" s="7"/>
      <c r="G530" s="8"/>
    </row>
    <row r="531" spans="1:7" x14ac:dyDescent="0.2">
      <c r="A531" s="9"/>
      <c r="B531" s="7"/>
      <c r="C531" s="7"/>
      <c r="D531" s="7"/>
      <c r="E531" s="7"/>
      <c r="F531" s="7"/>
      <c r="G531" s="8"/>
    </row>
    <row r="532" spans="1:7" x14ac:dyDescent="0.2">
      <c r="A532" s="9"/>
      <c r="B532" s="7"/>
      <c r="C532" s="7"/>
      <c r="D532" s="7"/>
      <c r="E532" s="7"/>
      <c r="F532" s="7"/>
      <c r="G532" s="8"/>
    </row>
    <row r="533" spans="1:7" x14ac:dyDescent="0.2">
      <c r="A533" s="9"/>
      <c r="B533" s="7"/>
      <c r="C533" s="7"/>
      <c r="D533" s="7"/>
      <c r="E533" s="7"/>
      <c r="F533" s="7"/>
      <c r="G533" s="8"/>
    </row>
    <row r="534" spans="1:7" x14ac:dyDescent="0.2">
      <c r="A534" s="9"/>
      <c r="B534" s="7"/>
      <c r="C534" s="7"/>
      <c r="D534" s="7"/>
      <c r="E534" s="7"/>
      <c r="F534" s="7"/>
      <c r="G534" s="8"/>
    </row>
    <row r="535" spans="1:7" x14ac:dyDescent="0.2">
      <c r="A535" s="9"/>
      <c r="B535" s="7"/>
      <c r="C535" s="7"/>
      <c r="D535" s="7"/>
      <c r="E535" s="7"/>
      <c r="F535" s="7"/>
      <c r="G535" s="8"/>
    </row>
    <row r="536" spans="1:7" x14ac:dyDescent="0.2">
      <c r="A536" s="9"/>
      <c r="B536" s="7"/>
      <c r="C536" s="7"/>
      <c r="D536" s="7"/>
      <c r="E536" s="7"/>
      <c r="F536" s="7"/>
      <c r="G536" s="8"/>
    </row>
    <row r="537" spans="1:7" x14ac:dyDescent="0.2">
      <c r="A537" s="9"/>
      <c r="B537" s="7"/>
      <c r="C537" s="7"/>
      <c r="D537" s="7"/>
      <c r="E537" s="7"/>
      <c r="F537" s="7"/>
      <c r="G537" s="8"/>
    </row>
    <row r="538" spans="1:7" x14ac:dyDescent="0.2">
      <c r="A538" s="9"/>
      <c r="B538" s="7"/>
      <c r="C538" s="7"/>
      <c r="D538" s="7"/>
      <c r="E538" s="7"/>
      <c r="F538" s="7"/>
      <c r="G538" s="8"/>
    </row>
    <row r="539" spans="1:7" x14ac:dyDescent="0.2">
      <c r="A539" s="9"/>
      <c r="B539" s="7"/>
      <c r="C539" s="7"/>
      <c r="D539" s="7"/>
      <c r="E539" s="7"/>
      <c r="F539" s="7"/>
      <c r="G539" s="8"/>
    </row>
    <row r="540" spans="1:7" x14ac:dyDescent="0.2">
      <c r="A540" s="9"/>
      <c r="B540" s="7"/>
      <c r="C540" s="7"/>
      <c r="D540" s="7"/>
      <c r="E540" s="7"/>
      <c r="F540" s="7"/>
      <c r="G540" s="8"/>
    </row>
    <row r="541" spans="1:7" x14ac:dyDescent="0.2">
      <c r="A541" s="9"/>
      <c r="B541" s="7"/>
      <c r="C541" s="7"/>
      <c r="D541" s="7"/>
      <c r="E541" s="7"/>
      <c r="F541" s="7"/>
      <c r="G541" s="8"/>
    </row>
    <row r="542" spans="1:7" x14ac:dyDescent="0.2">
      <c r="A542" s="9"/>
      <c r="B542" s="7"/>
      <c r="C542" s="7"/>
      <c r="D542" s="7"/>
      <c r="E542" s="7"/>
      <c r="F542" s="7"/>
      <c r="G542" s="8"/>
    </row>
    <row r="543" spans="1:7" x14ac:dyDescent="0.2">
      <c r="A543" s="9"/>
      <c r="B543" s="7"/>
      <c r="C543" s="7"/>
      <c r="D543" s="7"/>
      <c r="E543" s="7"/>
      <c r="F543" s="7"/>
      <c r="G543" s="8"/>
    </row>
    <row r="544" spans="1:7" x14ac:dyDescent="0.2">
      <c r="A544" s="9"/>
      <c r="B544" s="7"/>
      <c r="C544" s="7"/>
      <c r="D544" s="7"/>
      <c r="E544" s="7"/>
      <c r="F544" s="7"/>
      <c r="G544" s="8"/>
    </row>
    <row r="545" spans="1:7" x14ac:dyDescent="0.2">
      <c r="A545" s="9"/>
      <c r="B545" s="7"/>
      <c r="C545" s="7"/>
      <c r="D545" s="7"/>
      <c r="E545" s="7"/>
      <c r="F545" s="7"/>
      <c r="G545" s="8"/>
    </row>
    <row r="546" spans="1:7" x14ac:dyDescent="0.2">
      <c r="A546" s="9"/>
      <c r="B546" s="7"/>
      <c r="C546" s="7"/>
      <c r="D546" s="7"/>
      <c r="E546" s="7"/>
      <c r="F546" s="7"/>
      <c r="G546" s="8"/>
    </row>
    <row r="547" spans="1:7" x14ac:dyDescent="0.2">
      <c r="A547" s="9"/>
      <c r="B547" s="7"/>
      <c r="C547" s="7"/>
      <c r="D547" s="7"/>
      <c r="E547" s="7"/>
      <c r="F547" s="7"/>
      <c r="G547" s="8"/>
    </row>
    <row r="548" spans="1:7" x14ac:dyDescent="0.2">
      <c r="A548" s="9"/>
      <c r="B548" s="7"/>
      <c r="C548" s="7"/>
      <c r="D548" s="7"/>
      <c r="E548" s="7"/>
      <c r="F548" s="7"/>
      <c r="G548" s="8"/>
    </row>
    <row r="549" spans="1:7" x14ac:dyDescent="0.2">
      <c r="A549" s="9"/>
      <c r="B549" s="7"/>
      <c r="C549" s="7"/>
      <c r="D549" s="7"/>
      <c r="E549" s="7"/>
      <c r="F549" s="7"/>
      <c r="G549" s="8"/>
    </row>
    <row r="550" spans="1:7" x14ac:dyDescent="0.2">
      <c r="A550" s="9"/>
      <c r="B550" s="7"/>
      <c r="C550" s="7"/>
      <c r="D550" s="7"/>
      <c r="E550" s="7"/>
      <c r="F550" s="7"/>
      <c r="G550" s="8"/>
    </row>
    <row r="551" spans="1:7" x14ac:dyDescent="0.2">
      <c r="A551" s="9"/>
      <c r="B551" s="7"/>
      <c r="C551" s="7"/>
      <c r="D551" s="7"/>
      <c r="E551" s="7"/>
      <c r="F551" s="7"/>
      <c r="G551" s="8"/>
    </row>
    <row r="552" spans="1:7" x14ac:dyDescent="0.2">
      <c r="A552" s="9"/>
      <c r="B552" s="7"/>
      <c r="C552" s="7"/>
      <c r="D552" s="7"/>
      <c r="E552" s="7"/>
      <c r="F552" s="7"/>
      <c r="G552" s="8"/>
    </row>
    <row r="553" spans="1:7" x14ac:dyDescent="0.2">
      <c r="A553" s="9"/>
      <c r="B553" s="7"/>
      <c r="C553" s="7"/>
      <c r="D553" s="7"/>
      <c r="E553" s="7"/>
      <c r="F553" s="7"/>
      <c r="G553" s="8"/>
    </row>
    <row r="554" spans="1:7" x14ac:dyDescent="0.2">
      <c r="A554" s="9"/>
      <c r="B554" s="7"/>
      <c r="C554" s="7"/>
      <c r="D554" s="7"/>
      <c r="E554" s="7"/>
      <c r="F554" s="7"/>
      <c r="G554" s="8"/>
    </row>
    <row r="555" spans="1:7" x14ac:dyDescent="0.2">
      <c r="A555" s="9"/>
      <c r="B555" s="7"/>
      <c r="C555" s="7"/>
      <c r="D555" s="7"/>
      <c r="E555" s="7"/>
      <c r="F555" s="7"/>
      <c r="G555" s="8"/>
    </row>
    <row r="556" spans="1:7" x14ac:dyDescent="0.2">
      <c r="A556" s="9"/>
      <c r="B556" s="7"/>
      <c r="C556" s="7"/>
      <c r="D556" s="7"/>
      <c r="E556" s="7"/>
      <c r="F556" s="7"/>
      <c r="G556" s="8"/>
    </row>
    <row r="557" spans="1:7" x14ac:dyDescent="0.2">
      <c r="A557" s="9"/>
      <c r="B557" s="7"/>
      <c r="C557" s="7"/>
      <c r="D557" s="7"/>
      <c r="E557" s="7"/>
      <c r="F557" s="7"/>
      <c r="G557" s="8"/>
    </row>
    <row r="558" spans="1:7" x14ac:dyDescent="0.2">
      <c r="A558" s="9"/>
      <c r="B558" s="7"/>
      <c r="C558" s="7"/>
      <c r="D558" s="7"/>
      <c r="E558" s="7"/>
      <c r="F558" s="7"/>
      <c r="G558" s="8"/>
    </row>
    <row r="559" spans="1:7" x14ac:dyDescent="0.2">
      <c r="A559" s="9"/>
      <c r="B559" s="7"/>
      <c r="C559" s="7"/>
      <c r="D559" s="7"/>
      <c r="E559" s="7"/>
      <c r="F559" s="7"/>
      <c r="G559" s="8"/>
    </row>
    <row r="560" spans="1:7" x14ac:dyDescent="0.2">
      <c r="A560" s="9"/>
      <c r="B560" s="7"/>
      <c r="C560" s="7"/>
      <c r="D560" s="7"/>
      <c r="E560" s="7"/>
      <c r="F560" s="7"/>
      <c r="G560" s="8"/>
    </row>
    <row r="561" spans="1:7" x14ac:dyDescent="0.2">
      <c r="A561" s="9"/>
      <c r="B561" s="7"/>
      <c r="C561" s="7"/>
      <c r="D561" s="7"/>
      <c r="E561" s="7"/>
      <c r="F561" s="7"/>
      <c r="G561" s="8"/>
    </row>
    <row r="562" spans="1:7" x14ac:dyDescent="0.2">
      <c r="A562" s="9"/>
      <c r="B562" s="7"/>
      <c r="C562" s="7"/>
      <c r="D562" s="7"/>
      <c r="E562" s="7"/>
      <c r="F562" s="7"/>
      <c r="G562" s="8"/>
    </row>
    <row r="563" spans="1:7" x14ac:dyDescent="0.2">
      <c r="A563" s="9"/>
      <c r="B563" s="7"/>
      <c r="C563" s="7"/>
      <c r="D563" s="7"/>
      <c r="E563" s="7"/>
      <c r="F563" s="7"/>
      <c r="G563" s="8"/>
    </row>
    <row r="564" spans="1:7" x14ac:dyDescent="0.2">
      <c r="A564" s="9"/>
      <c r="B564" s="7"/>
      <c r="C564" s="7"/>
      <c r="D564" s="7"/>
      <c r="E564" s="7"/>
      <c r="F564" s="7"/>
      <c r="G564" s="8"/>
    </row>
    <row r="565" spans="1:7" x14ac:dyDescent="0.2">
      <c r="A565" s="9"/>
      <c r="B565" s="7"/>
      <c r="C565" s="7"/>
      <c r="D565" s="7"/>
      <c r="E565" s="7"/>
      <c r="F565" s="7"/>
      <c r="G565" s="8"/>
    </row>
    <row r="566" spans="1:7" x14ac:dyDescent="0.2">
      <c r="A566" s="9"/>
      <c r="B566" s="7"/>
      <c r="C566" s="7"/>
      <c r="D566" s="7"/>
      <c r="E566" s="7"/>
      <c r="F566" s="7"/>
      <c r="G566" s="8"/>
    </row>
    <row r="567" spans="1:7" x14ac:dyDescent="0.2">
      <c r="A567" s="9"/>
      <c r="B567" s="7"/>
      <c r="C567" s="7"/>
      <c r="D567" s="7"/>
      <c r="E567" s="7"/>
      <c r="F567" s="7"/>
      <c r="G567" s="8"/>
    </row>
    <row r="568" spans="1:7" x14ac:dyDescent="0.2">
      <c r="A568" s="9"/>
      <c r="B568" s="7"/>
      <c r="C568" s="7"/>
      <c r="D568" s="7"/>
      <c r="E568" s="7"/>
      <c r="F568" s="7"/>
      <c r="G568" s="8"/>
    </row>
    <row r="569" spans="1:7" x14ac:dyDescent="0.2">
      <c r="A569" s="9"/>
      <c r="B569" s="7"/>
      <c r="C569" s="7"/>
      <c r="D569" s="7"/>
      <c r="E569" s="7"/>
      <c r="F569" s="7"/>
      <c r="G569" s="8"/>
    </row>
    <row r="570" spans="1:7" x14ac:dyDescent="0.2">
      <c r="A570" s="9"/>
      <c r="B570" s="7"/>
      <c r="C570" s="7"/>
      <c r="D570" s="7"/>
      <c r="E570" s="7"/>
      <c r="F570" s="7"/>
      <c r="G570" s="8"/>
    </row>
    <row r="571" spans="1:7" x14ac:dyDescent="0.2">
      <c r="A571" s="9"/>
      <c r="B571" s="7"/>
      <c r="C571" s="7"/>
      <c r="D571" s="7"/>
      <c r="E571" s="7"/>
      <c r="F571" s="7"/>
      <c r="G571" s="8"/>
    </row>
    <row r="572" spans="1:7" x14ac:dyDescent="0.2">
      <c r="A572" s="9"/>
      <c r="B572" s="7"/>
      <c r="C572" s="7"/>
      <c r="D572" s="7"/>
      <c r="E572" s="7"/>
      <c r="F572" s="7"/>
      <c r="G572" s="8"/>
    </row>
    <row r="573" spans="1:7" x14ac:dyDescent="0.2">
      <c r="A573" s="9"/>
      <c r="B573" s="7"/>
      <c r="C573" s="7"/>
      <c r="D573" s="7"/>
      <c r="E573" s="7"/>
      <c r="F573" s="7"/>
      <c r="G573" s="8"/>
    </row>
    <row r="574" spans="1:7" x14ac:dyDescent="0.2">
      <c r="A574" s="9"/>
      <c r="B574" s="7"/>
      <c r="C574" s="7"/>
      <c r="D574" s="7"/>
      <c r="E574" s="7"/>
      <c r="F574" s="7"/>
      <c r="G574" s="8"/>
    </row>
    <row r="575" spans="1:7" x14ac:dyDescent="0.2">
      <c r="A575" s="9"/>
      <c r="B575" s="7"/>
      <c r="C575" s="7"/>
      <c r="D575" s="7"/>
      <c r="E575" s="7"/>
      <c r="F575" s="7"/>
      <c r="G575" s="8"/>
    </row>
    <row r="576" spans="1:7" x14ac:dyDescent="0.2">
      <c r="A576" s="9"/>
      <c r="B576" s="7"/>
      <c r="C576" s="7"/>
      <c r="D576" s="7"/>
      <c r="E576" s="7"/>
      <c r="F576" s="7"/>
      <c r="G576" s="8"/>
    </row>
    <row r="577" spans="1:7" x14ac:dyDescent="0.2">
      <c r="A577" s="9"/>
      <c r="B577" s="7"/>
      <c r="C577" s="7"/>
      <c r="D577" s="7"/>
      <c r="E577" s="7"/>
      <c r="F577" s="7"/>
      <c r="G577" s="8"/>
    </row>
    <row r="578" spans="1:7" x14ac:dyDescent="0.2">
      <c r="A578" s="9"/>
      <c r="B578" s="7"/>
      <c r="C578" s="7"/>
      <c r="D578" s="7"/>
      <c r="E578" s="7"/>
      <c r="F578" s="7"/>
      <c r="G578" s="8"/>
    </row>
    <row r="579" spans="1:7" x14ac:dyDescent="0.2">
      <c r="A579" s="9"/>
      <c r="B579" s="7"/>
      <c r="C579" s="7"/>
      <c r="D579" s="7"/>
      <c r="E579" s="7"/>
      <c r="F579" s="7"/>
      <c r="G579" s="8"/>
    </row>
    <row r="580" spans="1:7" x14ac:dyDescent="0.2">
      <c r="A580" s="9"/>
      <c r="B580" s="7"/>
      <c r="C580" s="7"/>
      <c r="D580" s="7"/>
      <c r="E580" s="7"/>
      <c r="F580" s="7"/>
      <c r="G580" s="8"/>
    </row>
    <row r="581" spans="1:7" x14ac:dyDescent="0.2">
      <c r="A581" s="9"/>
      <c r="B581" s="7"/>
      <c r="C581" s="7"/>
      <c r="D581" s="7"/>
      <c r="E581" s="7"/>
      <c r="F581" s="7"/>
      <c r="G581" s="8"/>
    </row>
    <row r="582" spans="1:7" x14ac:dyDescent="0.2">
      <c r="A582" s="9"/>
      <c r="B582" s="7"/>
      <c r="C582" s="7"/>
      <c r="D582" s="7"/>
      <c r="E582" s="7"/>
      <c r="F582" s="7"/>
      <c r="G582" s="8"/>
    </row>
    <row r="583" spans="1:7" x14ac:dyDescent="0.2">
      <c r="A583" s="9"/>
      <c r="B583" s="7"/>
      <c r="C583" s="7"/>
      <c r="D583" s="7"/>
      <c r="E583" s="7"/>
      <c r="F583" s="7"/>
      <c r="G583" s="8"/>
    </row>
    <row r="584" spans="1:7" x14ac:dyDescent="0.2">
      <c r="A584" s="9"/>
      <c r="B584" s="7"/>
      <c r="C584" s="7"/>
      <c r="D584" s="7"/>
      <c r="E584" s="7"/>
      <c r="F584" s="7"/>
      <c r="G584" s="8"/>
    </row>
    <row r="585" spans="1:7" x14ac:dyDescent="0.2">
      <c r="A585" s="9"/>
      <c r="B585" s="7"/>
      <c r="C585" s="7"/>
      <c r="D585" s="7"/>
      <c r="E585" s="7"/>
      <c r="F585" s="7"/>
      <c r="G585" s="8"/>
    </row>
    <row r="586" spans="1:7" x14ac:dyDescent="0.2">
      <c r="A586" s="9"/>
      <c r="B586" s="7"/>
      <c r="C586" s="7"/>
      <c r="D586" s="7"/>
      <c r="E586" s="7"/>
      <c r="F586" s="7"/>
      <c r="G586" s="8"/>
    </row>
    <row r="587" spans="1:7" x14ac:dyDescent="0.2">
      <c r="A587" s="9"/>
      <c r="B587" s="7"/>
      <c r="C587" s="7"/>
      <c r="D587" s="7"/>
      <c r="E587" s="7"/>
      <c r="F587" s="7"/>
      <c r="G587" s="8"/>
    </row>
    <row r="588" spans="1:7" x14ac:dyDescent="0.2">
      <c r="A588" s="9"/>
      <c r="B588" s="7"/>
      <c r="C588" s="7"/>
      <c r="D588" s="7"/>
      <c r="E588" s="7"/>
      <c r="F588" s="7"/>
      <c r="G588" s="8"/>
    </row>
    <row r="589" spans="1:7" x14ac:dyDescent="0.2">
      <c r="A589" s="9"/>
      <c r="B589" s="7"/>
      <c r="C589" s="7"/>
      <c r="D589" s="7"/>
      <c r="E589" s="7"/>
      <c r="F589" s="7"/>
      <c r="G589" s="8"/>
    </row>
    <row r="590" spans="1:7" x14ac:dyDescent="0.2">
      <c r="A590" s="9"/>
      <c r="B590" s="7"/>
      <c r="C590" s="7"/>
      <c r="D590" s="7"/>
      <c r="E590" s="7"/>
      <c r="F590" s="7"/>
      <c r="G590" s="8"/>
    </row>
    <row r="591" spans="1:7" x14ac:dyDescent="0.2">
      <c r="A591" s="9"/>
      <c r="B591" s="7"/>
      <c r="C591" s="7"/>
      <c r="D591" s="7"/>
      <c r="E591" s="7"/>
      <c r="F591" s="7"/>
      <c r="G591" s="8"/>
    </row>
    <row r="592" spans="1:7" x14ac:dyDescent="0.2">
      <c r="A592" s="9"/>
      <c r="B592" s="7"/>
      <c r="C592" s="7"/>
      <c r="D592" s="7"/>
      <c r="E592" s="7"/>
      <c r="F592" s="7"/>
      <c r="G592" s="8"/>
    </row>
    <row r="593" spans="1:7" x14ac:dyDescent="0.2">
      <c r="A593" s="9"/>
      <c r="B593" s="7"/>
      <c r="C593" s="7"/>
      <c r="D593" s="7"/>
      <c r="E593" s="7"/>
      <c r="F593" s="7"/>
      <c r="G593" s="8"/>
    </row>
    <row r="594" spans="1:7" x14ac:dyDescent="0.2">
      <c r="A594" s="9"/>
      <c r="B594" s="7"/>
      <c r="C594" s="7"/>
      <c r="D594" s="7"/>
      <c r="E594" s="7"/>
      <c r="F594" s="7"/>
      <c r="G594" s="8"/>
    </row>
    <row r="595" spans="1:7" x14ac:dyDescent="0.2">
      <c r="A595" s="9"/>
      <c r="B595" s="7"/>
      <c r="C595" s="7"/>
      <c r="D595" s="7"/>
      <c r="E595" s="7"/>
      <c r="F595" s="7"/>
      <c r="G595" s="8"/>
    </row>
    <row r="596" spans="1:7" x14ac:dyDescent="0.2">
      <c r="A596" s="9"/>
      <c r="B596" s="7"/>
      <c r="C596" s="7"/>
      <c r="D596" s="7"/>
      <c r="E596" s="7"/>
      <c r="F596" s="7"/>
      <c r="G596" s="8"/>
    </row>
    <row r="597" spans="1:7" x14ac:dyDescent="0.2">
      <c r="A597" s="9"/>
      <c r="B597" s="7"/>
      <c r="C597" s="7"/>
      <c r="D597" s="7"/>
      <c r="E597" s="7"/>
      <c r="F597" s="7"/>
      <c r="G597" s="8"/>
    </row>
    <row r="598" spans="1:7" x14ac:dyDescent="0.2">
      <c r="A598" s="9"/>
      <c r="B598" s="7"/>
      <c r="C598" s="7"/>
      <c r="D598" s="7"/>
      <c r="E598" s="7"/>
      <c r="F598" s="7"/>
      <c r="G598" s="8"/>
    </row>
    <row r="599" spans="1:7" x14ac:dyDescent="0.2">
      <c r="A599" s="9"/>
      <c r="B599" s="7"/>
      <c r="C599" s="7"/>
      <c r="D599" s="7"/>
      <c r="E599" s="7"/>
      <c r="F599" s="7"/>
      <c r="G599" s="8"/>
    </row>
    <row r="600" spans="1:7" x14ac:dyDescent="0.2">
      <c r="A600" s="9"/>
      <c r="B600" s="7"/>
      <c r="C600" s="7"/>
      <c r="D600" s="7"/>
      <c r="E600" s="7"/>
      <c r="F600" s="7"/>
      <c r="G600" s="8"/>
    </row>
    <row r="601" spans="1:7" x14ac:dyDescent="0.2">
      <c r="A601" s="9"/>
      <c r="B601" s="7"/>
      <c r="C601" s="7"/>
      <c r="D601" s="7"/>
      <c r="E601" s="7"/>
      <c r="F601" s="7"/>
      <c r="G601" s="8"/>
    </row>
    <row r="602" spans="1:7" x14ac:dyDescent="0.2">
      <c r="A602" s="9"/>
      <c r="B602" s="7"/>
      <c r="C602" s="7"/>
      <c r="D602" s="7"/>
      <c r="E602" s="7"/>
      <c r="F602" s="7"/>
      <c r="G602" s="8"/>
    </row>
    <row r="603" spans="1:7" x14ac:dyDescent="0.2">
      <c r="A603" s="9"/>
      <c r="B603" s="7"/>
      <c r="C603" s="7"/>
      <c r="D603" s="7"/>
      <c r="E603" s="7"/>
      <c r="F603" s="7"/>
      <c r="G603" s="8"/>
    </row>
    <row r="604" spans="1:7" x14ac:dyDescent="0.2">
      <c r="A604" s="9"/>
      <c r="B604" s="7"/>
      <c r="C604" s="7"/>
      <c r="D604" s="7"/>
      <c r="E604" s="7"/>
      <c r="F604" s="7"/>
      <c r="G604" s="8"/>
    </row>
    <row r="605" spans="1:7" x14ac:dyDescent="0.2">
      <c r="A605" s="9"/>
      <c r="B605" s="7"/>
      <c r="C605" s="7"/>
      <c r="D605" s="7"/>
      <c r="E605" s="7"/>
      <c r="F605" s="7"/>
      <c r="G605" s="8"/>
    </row>
    <row r="606" spans="1:7" x14ac:dyDescent="0.2">
      <c r="A606" s="9"/>
      <c r="B606" s="7"/>
      <c r="C606" s="7"/>
      <c r="D606" s="7"/>
      <c r="E606" s="7"/>
      <c r="F606" s="7"/>
      <c r="G606" s="8"/>
    </row>
    <row r="607" spans="1:7" x14ac:dyDescent="0.2">
      <c r="A607" s="9"/>
      <c r="B607" s="7"/>
      <c r="C607" s="7"/>
      <c r="D607" s="7"/>
      <c r="E607" s="7"/>
      <c r="F607" s="7"/>
      <c r="G607" s="8"/>
    </row>
    <row r="608" spans="1:7" x14ac:dyDescent="0.2">
      <c r="A608" s="9"/>
      <c r="B608" s="7"/>
      <c r="C608" s="7"/>
      <c r="D608" s="7"/>
      <c r="E608" s="7"/>
      <c r="F608" s="7"/>
      <c r="G608" s="8"/>
    </row>
    <row r="609" spans="1:7" x14ac:dyDescent="0.2">
      <c r="A609" s="9"/>
      <c r="B609" s="7"/>
      <c r="C609" s="7"/>
      <c r="D609" s="7"/>
      <c r="E609" s="7"/>
      <c r="F609" s="7"/>
      <c r="G609" s="8"/>
    </row>
    <row r="610" spans="1:7" x14ac:dyDescent="0.2">
      <c r="A610" s="9"/>
      <c r="B610" s="7"/>
      <c r="C610" s="7"/>
      <c r="D610" s="7"/>
      <c r="E610" s="7"/>
      <c r="F610" s="7"/>
      <c r="G610" s="8"/>
    </row>
    <row r="611" spans="1:7" x14ac:dyDescent="0.2">
      <c r="A611" s="9"/>
      <c r="B611" s="7"/>
      <c r="C611" s="7"/>
      <c r="D611" s="7"/>
      <c r="E611" s="7"/>
      <c r="F611" s="7"/>
      <c r="G611" s="8"/>
    </row>
    <row r="612" spans="1:7" x14ac:dyDescent="0.2">
      <c r="A612" s="9"/>
      <c r="B612" s="7"/>
      <c r="C612" s="7"/>
      <c r="D612" s="7"/>
      <c r="E612" s="7"/>
      <c r="F612" s="7"/>
      <c r="G612" s="8"/>
    </row>
    <row r="613" spans="1:7" x14ac:dyDescent="0.2">
      <c r="A613" s="9"/>
      <c r="B613" s="7"/>
      <c r="C613" s="7"/>
      <c r="D613" s="7"/>
      <c r="E613" s="7"/>
      <c r="F613" s="7"/>
      <c r="G613" s="8"/>
    </row>
    <row r="614" spans="1:7" x14ac:dyDescent="0.2">
      <c r="A614" s="9"/>
      <c r="B614" s="7"/>
      <c r="C614" s="7"/>
      <c r="D614" s="7"/>
      <c r="E614" s="7"/>
      <c r="F614" s="7"/>
      <c r="G614" s="8"/>
    </row>
    <row r="615" spans="1:7" x14ac:dyDescent="0.2">
      <c r="A615" s="9"/>
      <c r="B615" s="7"/>
      <c r="C615" s="7"/>
      <c r="D615" s="7"/>
      <c r="E615" s="7"/>
      <c r="F615" s="7"/>
      <c r="G615" s="8"/>
    </row>
    <row r="616" spans="1:7" x14ac:dyDescent="0.2">
      <c r="A616" s="9"/>
      <c r="B616" s="7"/>
      <c r="C616" s="7"/>
      <c r="D616" s="7"/>
      <c r="E616" s="7"/>
      <c r="F616" s="7"/>
      <c r="G616" s="8"/>
    </row>
    <row r="617" spans="1:7" x14ac:dyDescent="0.2">
      <c r="A617" s="9"/>
      <c r="B617" s="7"/>
      <c r="C617" s="7"/>
      <c r="D617" s="7"/>
      <c r="E617" s="7"/>
      <c r="F617" s="7"/>
      <c r="G617" s="8"/>
    </row>
    <row r="618" spans="1:7" x14ac:dyDescent="0.2">
      <c r="A618" s="9"/>
      <c r="B618" s="7"/>
      <c r="C618" s="7"/>
      <c r="D618" s="7"/>
      <c r="E618" s="7"/>
      <c r="F618" s="7"/>
      <c r="G618" s="8"/>
    </row>
    <row r="619" spans="1:7" x14ac:dyDescent="0.2">
      <c r="A619" s="9"/>
      <c r="B619" s="7"/>
      <c r="C619" s="7"/>
      <c r="D619" s="7"/>
      <c r="E619" s="7"/>
      <c r="F619" s="7"/>
      <c r="G619" s="8"/>
    </row>
    <row r="620" spans="1:7" x14ac:dyDescent="0.2">
      <c r="A620" s="9"/>
      <c r="B620" s="7"/>
      <c r="C620" s="7"/>
      <c r="D620" s="7"/>
      <c r="E620" s="7"/>
      <c r="F620" s="7"/>
      <c r="G620" s="8"/>
    </row>
    <row r="621" spans="1:7" x14ac:dyDescent="0.2">
      <c r="A621" s="9"/>
      <c r="B621" s="7"/>
      <c r="C621" s="7"/>
      <c r="D621" s="7"/>
      <c r="E621" s="7"/>
      <c r="F621" s="7"/>
      <c r="G621" s="8"/>
    </row>
    <row r="622" spans="1:7" x14ac:dyDescent="0.2">
      <c r="A622" s="9"/>
      <c r="B622" s="7"/>
      <c r="C622" s="7"/>
      <c r="D622" s="7"/>
      <c r="E622" s="7"/>
      <c r="F622" s="7"/>
      <c r="G622" s="8"/>
    </row>
    <row r="623" spans="1:7" x14ac:dyDescent="0.2">
      <c r="A623" s="9"/>
      <c r="B623" s="7"/>
      <c r="C623" s="7"/>
      <c r="D623" s="7"/>
      <c r="E623" s="7"/>
      <c r="F623" s="7"/>
      <c r="G623" s="8"/>
    </row>
    <row r="624" spans="1:7" x14ac:dyDescent="0.2">
      <c r="A624" s="9"/>
      <c r="B624" s="7"/>
      <c r="C624" s="7"/>
      <c r="D624" s="7"/>
      <c r="E624" s="7"/>
      <c r="F624" s="7"/>
      <c r="G624" s="8"/>
    </row>
    <row r="625" spans="1:7" x14ac:dyDescent="0.2">
      <c r="A625" s="9"/>
      <c r="B625" s="7"/>
      <c r="C625" s="7"/>
      <c r="D625" s="7"/>
      <c r="E625" s="7"/>
      <c r="F625" s="7"/>
      <c r="G625" s="8"/>
    </row>
    <row r="626" spans="1:7" x14ac:dyDescent="0.2">
      <c r="A626" s="9"/>
      <c r="B626" s="7"/>
      <c r="C626" s="7"/>
      <c r="D626" s="7"/>
      <c r="E626" s="7"/>
      <c r="F626" s="7"/>
      <c r="G626" s="8"/>
    </row>
    <row r="627" spans="1:7" x14ac:dyDescent="0.2">
      <c r="A627" s="9"/>
      <c r="B627" s="7"/>
      <c r="C627" s="7"/>
      <c r="D627" s="7"/>
      <c r="E627" s="7"/>
      <c r="F627" s="7"/>
      <c r="G627" s="8"/>
    </row>
    <row r="628" spans="1:7" x14ac:dyDescent="0.2">
      <c r="A628" s="9"/>
      <c r="B628" s="7"/>
      <c r="C628" s="7"/>
      <c r="D628" s="7"/>
      <c r="E628" s="7"/>
      <c r="F628" s="7"/>
      <c r="G628" s="8"/>
    </row>
    <row r="629" spans="1:7" x14ac:dyDescent="0.2">
      <c r="A629" s="9"/>
      <c r="B629" s="7"/>
      <c r="C629" s="7"/>
      <c r="D629" s="7"/>
      <c r="E629" s="7"/>
      <c r="F629" s="7"/>
      <c r="G629" s="8"/>
    </row>
    <row r="630" spans="1:7" x14ac:dyDescent="0.2">
      <c r="A630" s="9"/>
      <c r="B630" s="7"/>
      <c r="C630" s="7"/>
      <c r="D630" s="7"/>
      <c r="E630" s="7"/>
      <c r="F630" s="7"/>
      <c r="G630" s="8"/>
    </row>
    <row r="631" spans="1:7" x14ac:dyDescent="0.2">
      <c r="A631" s="9"/>
      <c r="B631" s="7"/>
      <c r="C631" s="7"/>
      <c r="D631" s="7"/>
      <c r="E631" s="7"/>
      <c r="F631" s="7"/>
      <c r="G631" s="8"/>
    </row>
    <row r="632" spans="1:7" x14ac:dyDescent="0.2">
      <c r="A632" s="9"/>
      <c r="B632" s="7"/>
      <c r="C632" s="7"/>
      <c r="D632" s="7"/>
      <c r="E632" s="7"/>
      <c r="F632" s="7"/>
      <c r="G632" s="8"/>
    </row>
    <row r="633" spans="1:7" x14ac:dyDescent="0.2">
      <c r="A633" s="9"/>
      <c r="B633" s="7"/>
      <c r="C633" s="7"/>
      <c r="D633" s="7"/>
      <c r="E633" s="7"/>
      <c r="F633" s="7"/>
      <c r="G633" s="8"/>
    </row>
    <row r="634" spans="1:7" x14ac:dyDescent="0.2">
      <c r="A634" s="9"/>
      <c r="B634" s="7"/>
      <c r="C634" s="7"/>
      <c r="D634" s="7"/>
      <c r="E634" s="7"/>
      <c r="F634" s="7"/>
      <c r="G634" s="8"/>
    </row>
    <row r="635" spans="1:7" x14ac:dyDescent="0.2">
      <c r="A635" s="9"/>
      <c r="B635" s="7"/>
      <c r="C635" s="7"/>
      <c r="D635" s="7"/>
      <c r="E635" s="7"/>
      <c r="F635" s="7"/>
      <c r="G635" s="8"/>
    </row>
    <row r="636" spans="1:7" x14ac:dyDescent="0.2">
      <c r="A636" s="9"/>
      <c r="B636" s="7"/>
      <c r="C636" s="7"/>
      <c r="D636" s="7"/>
      <c r="E636" s="7"/>
      <c r="F636" s="7"/>
      <c r="G636" s="8"/>
    </row>
    <row r="637" spans="1:7" x14ac:dyDescent="0.2">
      <c r="A637" s="9"/>
      <c r="B637" s="7"/>
      <c r="C637" s="7"/>
      <c r="D637" s="7"/>
      <c r="E637" s="7"/>
      <c r="F637" s="7"/>
      <c r="G637" s="8"/>
    </row>
    <row r="638" spans="1:7" x14ac:dyDescent="0.2">
      <c r="A638" s="9"/>
      <c r="B638" s="7"/>
      <c r="C638" s="7"/>
      <c r="D638" s="7"/>
      <c r="E638" s="7"/>
      <c r="F638" s="7"/>
    </row>
    <row r="639" spans="1:7" x14ac:dyDescent="0.2">
      <c r="A639" s="9"/>
      <c r="B639" s="7"/>
      <c r="C639" s="7"/>
      <c r="D639" s="7"/>
      <c r="E639" s="7"/>
      <c r="F639" s="7"/>
    </row>
    <row r="640" spans="1:7" x14ac:dyDescent="0.2">
      <c r="A640" s="9"/>
      <c r="B640" s="7"/>
      <c r="C640" s="7"/>
      <c r="D640" s="7"/>
      <c r="E640" s="7"/>
      <c r="F640" s="7"/>
    </row>
    <row r="641" spans="1:6" x14ac:dyDescent="0.2">
      <c r="A641" s="9"/>
      <c r="B641" s="7"/>
      <c r="C641" s="7"/>
      <c r="D641" s="7"/>
      <c r="E641" s="7"/>
      <c r="F641" s="7"/>
    </row>
    <row r="642" spans="1:6" x14ac:dyDescent="0.2">
      <c r="A642" s="9"/>
      <c r="B642" s="7"/>
      <c r="C642" s="7"/>
      <c r="D642" s="7"/>
      <c r="E642" s="7"/>
      <c r="F642" s="7"/>
    </row>
    <row r="643" spans="1:6" x14ac:dyDescent="0.2">
      <c r="A643" s="9"/>
      <c r="B643" s="7"/>
      <c r="C643" s="7"/>
      <c r="D643" s="7"/>
      <c r="E643" s="7"/>
      <c r="F643" s="7"/>
    </row>
    <row r="644" spans="1:6" x14ac:dyDescent="0.2">
      <c r="A644" s="9"/>
      <c r="B644" s="7"/>
      <c r="C644" s="7"/>
      <c r="D644" s="7"/>
      <c r="E644" s="7"/>
      <c r="F644" s="7"/>
    </row>
    <row r="645" spans="1:6" x14ac:dyDescent="0.2">
      <c r="A645" s="9"/>
      <c r="B645" s="7"/>
      <c r="C645" s="7"/>
      <c r="D645" s="7"/>
      <c r="E645" s="7"/>
      <c r="F645" s="7"/>
    </row>
    <row r="646" spans="1:6" x14ac:dyDescent="0.2">
      <c r="A646" s="9"/>
      <c r="B646" s="7"/>
      <c r="C646" s="7"/>
      <c r="D646" s="7"/>
      <c r="E646" s="7"/>
      <c r="F646" s="7"/>
    </row>
    <row r="647" spans="1:6" x14ac:dyDescent="0.2">
      <c r="A647" s="9"/>
      <c r="B647" s="7"/>
      <c r="C647" s="7"/>
      <c r="D647" s="7"/>
      <c r="E647" s="7"/>
      <c r="F647" s="7"/>
    </row>
    <row r="648" spans="1:6" x14ac:dyDescent="0.2">
      <c r="A648" s="9"/>
      <c r="B648" s="7"/>
      <c r="C648" s="7"/>
      <c r="D648" s="7"/>
      <c r="E648" s="7"/>
      <c r="F648" s="7"/>
    </row>
    <row r="649" spans="1:6" x14ac:dyDescent="0.2">
      <c r="A649" s="9"/>
      <c r="B649" s="7"/>
      <c r="C649" s="7"/>
      <c r="D649" s="7"/>
      <c r="E649" s="7"/>
      <c r="F649" s="7"/>
    </row>
    <row r="650" spans="1:6" x14ac:dyDescent="0.2">
      <c r="A650" s="9"/>
      <c r="B650" s="7"/>
      <c r="C650" s="7"/>
      <c r="D650" s="7"/>
      <c r="E650" s="7"/>
      <c r="F650" s="7"/>
    </row>
    <row r="651" spans="1:6" x14ac:dyDescent="0.2">
      <c r="A651" s="9"/>
      <c r="B651" s="7"/>
      <c r="C651" s="7"/>
      <c r="D651" s="7"/>
      <c r="E651" s="7"/>
      <c r="F651" s="7"/>
    </row>
    <row r="652" spans="1:6" x14ac:dyDescent="0.2">
      <c r="A652" s="9"/>
      <c r="B652" s="7"/>
      <c r="C652" s="7"/>
      <c r="D652" s="7"/>
      <c r="E652" s="7"/>
      <c r="F652" s="7"/>
    </row>
    <row r="653" spans="1:6" x14ac:dyDescent="0.2">
      <c r="A653" s="9"/>
      <c r="B653" s="7"/>
      <c r="C653" s="7"/>
      <c r="D653" s="7"/>
      <c r="E653" s="7"/>
      <c r="F653" s="7"/>
    </row>
    <row r="654" spans="1:6" x14ac:dyDescent="0.2">
      <c r="A654" s="9"/>
      <c r="B654" s="7"/>
      <c r="C654" s="7"/>
      <c r="D654" s="7"/>
      <c r="E654" s="7"/>
      <c r="F654" s="7"/>
    </row>
    <row r="655" spans="1:6" x14ac:dyDescent="0.2">
      <c r="A655" s="9"/>
      <c r="B655" s="7"/>
      <c r="C655" s="7"/>
      <c r="D655" s="7"/>
      <c r="E655" s="7"/>
      <c r="F655" s="7"/>
    </row>
    <row r="656" spans="1:6" x14ac:dyDescent="0.2">
      <c r="A656" s="9"/>
      <c r="B656" s="7"/>
      <c r="C656" s="7"/>
      <c r="D656" s="7"/>
      <c r="E656" s="7"/>
      <c r="F656" s="7"/>
    </row>
    <row r="657" spans="1:6" x14ac:dyDescent="0.2">
      <c r="A657" s="9"/>
      <c r="B657" s="7"/>
      <c r="C657" s="7"/>
      <c r="D657" s="7"/>
      <c r="E657" s="7"/>
      <c r="F657" s="7"/>
    </row>
  </sheetData>
  <mergeCells count="9">
    <mergeCell ref="W22:Y23"/>
    <mergeCell ref="N2:P3"/>
    <mergeCell ref="U85:AA87"/>
    <mergeCell ref="G85:M87"/>
    <mergeCell ref="O82:S84"/>
    <mergeCell ref="N22:O23"/>
    <mergeCell ref="Q22:R23"/>
    <mergeCell ref="T22:U23"/>
    <mergeCell ref="T12:U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5C0-7250-7243-A806-E44DC87E8604}">
  <dimension ref="B3:N42"/>
  <sheetViews>
    <sheetView zoomScale="50" workbookViewId="0">
      <selection activeCell="F36" sqref="F36"/>
    </sheetView>
  </sheetViews>
  <sheetFormatPr baseColWidth="10" defaultRowHeight="16" x14ac:dyDescent="0.2"/>
  <cols>
    <col min="2" max="2" width="36.83203125" customWidth="1"/>
    <col min="3" max="7" width="20.6640625" bestFit="1" customWidth="1"/>
    <col min="9" max="14" width="25.83203125" customWidth="1"/>
  </cols>
  <sheetData>
    <row r="3" spans="2:14" ht="17" thickBot="1" x14ac:dyDescent="0.25"/>
    <row r="4" spans="2:14" x14ac:dyDescent="0.2">
      <c r="B4" s="302" t="s">
        <v>216</v>
      </c>
      <c r="C4" s="303"/>
      <c r="D4" s="303"/>
      <c r="E4" s="303"/>
      <c r="F4" s="303"/>
      <c r="G4" s="304"/>
      <c r="I4" s="302" t="s">
        <v>217</v>
      </c>
      <c r="J4" s="303"/>
      <c r="K4" s="303"/>
      <c r="L4" s="303"/>
      <c r="M4" s="303"/>
      <c r="N4" s="304"/>
    </row>
    <row r="5" spans="2:14" x14ac:dyDescent="0.2">
      <c r="B5" s="305"/>
      <c r="C5" s="306"/>
      <c r="D5" s="306"/>
      <c r="E5" s="306"/>
      <c r="F5" s="306"/>
      <c r="G5" s="307"/>
      <c r="I5" s="305"/>
      <c r="J5" s="306"/>
      <c r="K5" s="306"/>
      <c r="L5" s="306"/>
      <c r="M5" s="306"/>
      <c r="N5" s="307"/>
    </row>
    <row r="6" spans="2:14" ht="17" thickBot="1" x14ac:dyDescent="0.25">
      <c r="B6" s="308"/>
      <c r="C6" s="309"/>
      <c r="D6" s="309"/>
      <c r="E6" s="309"/>
      <c r="F6" s="309"/>
      <c r="G6" s="310"/>
      <c r="I6" s="308"/>
      <c r="J6" s="309"/>
      <c r="K6" s="309"/>
      <c r="L6" s="309"/>
      <c r="M6" s="309"/>
      <c r="N6" s="310"/>
    </row>
    <row r="7" spans="2:14" x14ac:dyDescent="0.2">
      <c r="B7" s="97"/>
      <c r="C7" s="23">
        <v>2024</v>
      </c>
      <c r="D7" s="23">
        <v>2025</v>
      </c>
      <c r="E7" s="23">
        <v>2026</v>
      </c>
      <c r="F7" s="23">
        <v>2027</v>
      </c>
      <c r="G7" s="24">
        <v>2028</v>
      </c>
      <c r="I7" s="97"/>
      <c r="J7" s="23">
        <v>2024</v>
      </c>
      <c r="K7" s="23">
        <v>2025</v>
      </c>
      <c r="L7" s="23">
        <v>2026</v>
      </c>
      <c r="M7" s="23">
        <v>2027</v>
      </c>
      <c r="N7" s="24">
        <v>2028</v>
      </c>
    </row>
    <row r="8" spans="2:14" x14ac:dyDescent="0.2">
      <c r="B8" s="98" t="s">
        <v>15</v>
      </c>
      <c r="C8" s="46">
        <f>IS!I31</f>
        <v>25800000000</v>
      </c>
      <c r="D8" s="46">
        <f>IS!J31</f>
        <v>29675490804.709824</v>
      </c>
      <c r="E8" s="46">
        <f>IS!K31</f>
        <v>34133130019.396019</v>
      </c>
      <c r="F8" s="46">
        <f>IS!L31</f>
        <v>39260363799.478737</v>
      </c>
      <c r="G8" s="54">
        <f>IS!M31</f>
        <v>45157773834.147057</v>
      </c>
      <c r="I8" s="98" t="s">
        <v>15</v>
      </c>
      <c r="J8" s="46">
        <f>IS!I31</f>
        <v>25800000000</v>
      </c>
      <c r="K8" s="46">
        <f>IS!J31</f>
        <v>29675490804.709824</v>
      </c>
      <c r="L8" s="46">
        <f>IS!K31</f>
        <v>34133130019.396019</v>
      </c>
      <c r="M8" s="46">
        <f>IS!L31</f>
        <v>39260363799.478737</v>
      </c>
      <c r="N8" s="54">
        <f>IS!M31</f>
        <v>45157773834.147057</v>
      </c>
    </row>
    <row r="9" spans="2:14" x14ac:dyDescent="0.2">
      <c r="B9" s="99" t="s">
        <v>89</v>
      </c>
      <c r="C9" s="46">
        <f>IS!I29</f>
        <v>10010000000</v>
      </c>
      <c r="D9" s="46">
        <f>IS!J29</f>
        <v>11513630347.098658</v>
      </c>
      <c r="E9" s="46">
        <f>IS!K29</f>
        <v>13243125251.711403</v>
      </c>
      <c r="F9" s="46">
        <f>IS!L29</f>
        <v>15232412466.386908</v>
      </c>
      <c r="G9" s="54">
        <f>IS!M29</f>
        <v>17520516127.124496</v>
      </c>
      <c r="I9" s="99" t="s">
        <v>89</v>
      </c>
      <c r="J9" s="46">
        <f>IS!I29</f>
        <v>10010000000</v>
      </c>
      <c r="K9" s="46">
        <f>IS!J29</f>
        <v>11513630347.098658</v>
      </c>
      <c r="L9" s="46">
        <f>IS!K29</f>
        <v>13243125251.711403</v>
      </c>
      <c r="M9" s="46">
        <f>IS!L29</f>
        <v>15232412466.386908</v>
      </c>
      <c r="N9" s="54">
        <f>IS!M29</f>
        <v>17520516127.124496</v>
      </c>
    </row>
    <row r="10" spans="2:14" x14ac:dyDescent="0.2">
      <c r="B10" s="98"/>
      <c r="C10" s="46"/>
      <c r="D10" s="46"/>
      <c r="E10" s="46"/>
      <c r="F10" s="46"/>
      <c r="G10" s="54"/>
      <c r="I10" s="98"/>
      <c r="J10" s="46"/>
      <c r="K10" s="46"/>
      <c r="L10" s="46"/>
      <c r="M10" s="46"/>
      <c r="N10" s="54"/>
    </row>
    <row r="11" spans="2:14" x14ac:dyDescent="0.2">
      <c r="B11" s="98" t="s">
        <v>111</v>
      </c>
      <c r="C11" s="46">
        <f>C8-C9</f>
        <v>15790000000</v>
      </c>
      <c r="D11" s="46">
        <f>D8-D9</f>
        <v>18161860457.611168</v>
      </c>
      <c r="E11" s="46">
        <f>E8-E9</f>
        <v>20890004767.684616</v>
      </c>
      <c r="F11" s="46">
        <f>F8-F9</f>
        <v>24027951333.091827</v>
      </c>
      <c r="G11" s="54">
        <f>G8-G9</f>
        <v>27637257707.02256</v>
      </c>
      <c r="I11" s="98" t="s">
        <v>111</v>
      </c>
      <c r="J11" s="46">
        <f>J8-J9</f>
        <v>15790000000</v>
      </c>
      <c r="K11" s="46">
        <f t="shared" ref="K11:N11" si="0">K8-K9</f>
        <v>18161860457.611168</v>
      </c>
      <c r="L11" s="46">
        <f t="shared" si="0"/>
        <v>20890004767.684616</v>
      </c>
      <c r="M11" s="46">
        <f t="shared" si="0"/>
        <v>24027951333.091827</v>
      </c>
      <c r="N11" s="54">
        <f t="shared" si="0"/>
        <v>27637257707.02256</v>
      </c>
    </row>
    <row r="12" spans="2:14" x14ac:dyDescent="0.2">
      <c r="B12" s="98" t="s">
        <v>8</v>
      </c>
      <c r="C12" s="46">
        <f>IS!I16</f>
        <v>3750000000</v>
      </c>
      <c r="D12" s="46">
        <f>IS!J16</f>
        <v>2393707903.6310697</v>
      </c>
      <c r="E12" s="46">
        <f>IS!K16</f>
        <v>2753273522.6110482</v>
      </c>
      <c r="F12" s="46">
        <f>IS!L16</f>
        <v>3166850507.8719063</v>
      </c>
      <c r="G12" s="54">
        <f>IS!M16</f>
        <v>3642552059.1567225</v>
      </c>
      <c r="I12" s="98" t="s">
        <v>8</v>
      </c>
      <c r="J12" s="46">
        <f>IS!I16</f>
        <v>3750000000</v>
      </c>
      <c r="K12" s="46">
        <f>IS!J16</f>
        <v>2393707903.6310697</v>
      </c>
      <c r="L12" s="46">
        <f>IS!K16</f>
        <v>2753273522.6110482</v>
      </c>
      <c r="M12" s="46">
        <f>IS!L16</f>
        <v>3166850507.8719063</v>
      </c>
      <c r="N12" s="54">
        <f>IS!M16</f>
        <v>3642552059.1567225</v>
      </c>
    </row>
    <row r="13" spans="2:14" x14ac:dyDescent="0.2">
      <c r="B13" s="98"/>
      <c r="C13" s="46"/>
      <c r="D13" s="46"/>
      <c r="E13" s="46"/>
      <c r="F13" s="46"/>
      <c r="G13" s="54"/>
      <c r="I13" s="98"/>
      <c r="J13" s="46"/>
      <c r="K13" s="46"/>
      <c r="L13" s="46"/>
      <c r="M13" s="46"/>
      <c r="N13" s="54"/>
    </row>
    <row r="14" spans="2:14" x14ac:dyDescent="0.2">
      <c r="B14" s="98" t="s">
        <v>112</v>
      </c>
      <c r="C14" s="46">
        <f>C11-C12</f>
        <v>12040000000</v>
      </c>
      <c r="D14" s="46">
        <f>D11-D12</f>
        <v>15768152553.980099</v>
      </c>
      <c r="E14" s="46">
        <f>E11-E12</f>
        <v>18136731245.073566</v>
      </c>
      <c r="F14" s="46">
        <f>F11-F12</f>
        <v>20861100825.219921</v>
      </c>
      <c r="G14" s="54">
        <f>G11-G12</f>
        <v>23994705647.865837</v>
      </c>
      <c r="I14" s="98" t="s">
        <v>198</v>
      </c>
      <c r="J14" s="46">
        <f>IS!I19</f>
        <v>5887000000</v>
      </c>
      <c r="K14" s="46">
        <f>IS!J19</f>
        <v>1919590178.448843</v>
      </c>
      <c r="L14" s="46">
        <f>IS!K19</f>
        <v>2207937236.0220909</v>
      </c>
      <c r="M14" s="46">
        <f>IS!L19</f>
        <v>2539597718.7965107</v>
      </c>
      <c r="N14" s="54">
        <f>IS!M19</f>
        <v>2921077858.5972118</v>
      </c>
    </row>
    <row r="15" spans="2:14" x14ac:dyDescent="0.2">
      <c r="B15" s="98" t="s">
        <v>90</v>
      </c>
      <c r="C15" s="46">
        <f>C9</f>
        <v>10010000000</v>
      </c>
      <c r="D15" s="46">
        <f>D9</f>
        <v>11513630347.098658</v>
      </c>
      <c r="E15" s="46">
        <f>E9</f>
        <v>13243125251.711403</v>
      </c>
      <c r="F15" s="46">
        <f>F9</f>
        <v>15232412466.386908</v>
      </c>
      <c r="G15" s="54">
        <f>G9</f>
        <v>17520516127.124496</v>
      </c>
      <c r="I15" s="98" t="s">
        <v>90</v>
      </c>
      <c r="J15" s="46">
        <f>J9</f>
        <v>10010000000</v>
      </c>
      <c r="K15" s="46">
        <f t="shared" ref="K15:N15" si="1">K9</f>
        <v>11513630347.098658</v>
      </c>
      <c r="L15" s="46">
        <f t="shared" si="1"/>
        <v>13243125251.711403</v>
      </c>
      <c r="M15" s="46">
        <f t="shared" si="1"/>
        <v>15232412466.386908</v>
      </c>
      <c r="N15" s="54">
        <f t="shared" si="1"/>
        <v>17520516127.124496</v>
      </c>
    </row>
    <row r="16" spans="2:14" x14ac:dyDescent="0.2">
      <c r="B16" s="98" t="s">
        <v>170</v>
      </c>
      <c r="C16" s="46">
        <f>BS!J55</f>
        <v>-10526000000</v>
      </c>
      <c r="D16" s="46">
        <f>BS!K55</f>
        <v>4701229455.3536568</v>
      </c>
      <c r="E16" s="46">
        <f>BS!L55</f>
        <v>7949574427.7868423</v>
      </c>
      <c r="F16" s="46">
        <f>BS!M55</f>
        <v>13102960426.790028</v>
      </c>
      <c r="G16" s="54">
        <f>BS!N55</f>
        <v>21218583162.405693</v>
      </c>
      <c r="I16" s="98" t="s">
        <v>170</v>
      </c>
      <c r="J16" s="46">
        <f>BS!J55</f>
        <v>-10526000000</v>
      </c>
      <c r="K16" s="46">
        <f>BS!K55</f>
        <v>4701229455.3536568</v>
      </c>
      <c r="L16" s="46">
        <f>BS!L55</f>
        <v>7949574427.7868423</v>
      </c>
      <c r="M16" s="46">
        <f>BS!M55</f>
        <v>13102960426.790028</v>
      </c>
      <c r="N16" s="54">
        <f>BS!N55</f>
        <v>21218583162.405693</v>
      </c>
    </row>
    <row r="17" spans="2:14" x14ac:dyDescent="0.2">
      <c r="B17" s="98" t="s">
        <v>91</v>
      </c>
      <c r="C17" s="46">
        <f>IS!I33</f>
        <v>548000000</v>
      </c>
      <c r="D17" s="46">
        <f>IS!J33</f>
        <v>630316626.39461172</v>
      </c>
      <c r="E17" s="46">
        <f>IS!K33</f>
        <v>724998265.52825654</v>
      </c>
      <c r="F17" s="46">
        <f>IS!L33</f>
        <v>833902300.85714531</v>
      </c>
      <c r="G17" s="54">
        <f>IS!M33</f>
        <v>959165118.64777446</v>
      </c>
      <c r="I17" s="98" t="s">
        <v>91</v>
      </c>
      <c r="J17" s="46">
        <f>IS!I33</f>
        <v>548000000</v>
      </c>
      <c r="K17" s="46">
        <f>IS!J33</f>
        <v>630316626.39461172</v>
      </c>
      <c r="L17" s="46">
        <f>IS!K33</f>
        <v>724998265.52825654</v>
      </c>
      <c r="M17" s="46">
        <f>IS!L33</f>
        <v>833902300.85714531</v>
      </c>
      <c r="N17" s="54">
        <f>IS!M33</f>
        <v>959165118.64777446</v>
      </c>
    </row>
    <row r="18" spans="2:14" x14ac:dyDescent="0.2">
      <c r="B18" s="98"/>
      <c r="C18" s="46"/>
      <c r="D18" s="46"/>
      <c r="E18" s="46"/>
      <c r="F18" s="46"/>
      <c r="G18" s="54"/>
      <c r="I18" s="98" t="s">
        <v>167</v>
      </c>
      <c r="J18" s="46">
        <f>BS!J57</f>
        <v>-27920000000</v>
      </c>
      <c r="K18" s="46">
        <f>BS!K57</f>
        <v>-19475509854.491257</v>
      </c>
      <c r="L18" s="46">
        <f>BS!L57</f>
        <v>-25342972814.977631</v>
      </c>
      <c r="M18" s="46">
        <f>BS!M57</f>
        <v>-33052876388.551712</v>
      </c>
      <c r="N18" s="54">
        <f>BS!N57</f>
        <v>-43206754256.641205</v>
      </c>
    </row>
    <row r="19" spans="2:14" x14ac:dyDescent="0.2">
      <c r="B19" s="98" t="s">
        <v>92</v>
      </c>
      <c r="C19" s="46">
        <f>C14+C15-C16-C17</f>
        <v>32028000000</v>
      </c>
      <c r="D19" s="46">
        <f>D14+D15-D16-D17</f>
        <v>21950236819.33049</v>
      </c>
      <c r="E19" s="46">
        <f>E14+E15-E16-E17</f>
        <v>22705283803.469872</v>
      </c>
      <c r="F19" s="46">
        <f>F14+F15-F16-F17</f>
        <v>22156650563.959656</v>
      </c>
      <c r="G19" s="54">
        <f>G14+G15-G16-G17</f>
        <v>19337473493.936867</v>
      </c>
      <c r="I19" s="105"/>
      <c r="N19" s="25"/>
    </row>
    <row r="20" spans="2:14" x14ac:dyDescent="0.2">
      <c r="B20" s="98"/>
      <c r="C20">
        <v>1</v>
      </c>
      <c r="D20">
        <v>2</v>
      </c>
      <c r="E20">
        <v>3</v>
      </c>
      <c r="F20">
        <v>4</v>
      </c>
      <c r="G20" s="25">
        <v>5</v>
      </c>
      <c r="I20" s="98" t="s">
        <v>168</v>
      </c>
      <c r="J20" s="46">
        <f>J14+J15-J16-J17-J18</f>
        <v>53795000000</v>
      </c>
      <c r="K20" s="46">
        <f t="shared" ref="K20:N20" si="2">K14+K15-K16-K17-K18</f>
        <v>27577184298.290489</v>
      </c>
      <c r="L20" s="46">
        <f t="shared" si="2"/>
        <v>32119462609.396027</v>
      </c>
      <c r="M20" s="46">
        <f t="shared" si="2"/>
        <v>36888023846.087959</v>
      </c>
      <c r="N20" s="54">
        <f t="shared" si="2"/>
        <v>41470599961.309448</v>
      </c>
    </row>
    <row r="21" spans="2:14" x14ac:dyDescent="0.2">
      <c r="B21" s="98" t="s">
        <v>88</v>
      </c>
      <c r="C21" s="22">
        <f>Rates!$P$20</f>
        <v>5.2026429931003065E-2</v>
      </c>
      <c r="D21" s="22">
        <f>Rates!$P$20</f>
        <v>5.2026429931003065E-2</v>
      </c>
      <c r="E21" s="22">
        <f>Rates!$P$20</f>
        <v>5.2026429931003065E-2</v>
      </c>
      <c r="F21" s="22">
        <f>Rates!$P$20</f>
        <v>5.2026429931003065E-2</v>
      </c>
      <c r="G21" s="26">
        <f>Rates!$P$20</f>
        <v>5.2026429931003065E-2</v>
      </c>
      <c r="I21" s="98"/>
      <c r="J21">
        <v>1</v>
      </c>
      <c r="K21">
        <v>2</v>
      </c>
      <c r="L21">
        <v>3</v>
      </c>
      <c r="M21">
        <v>4</v>
      </c>
      <c r="N21" s="25">
        <v>5</v>
      </c>
    </row>
    <row r="22" spans="2:14" x14ac:dyDescent="0.2">
      <c r="B22" s="98" t="s">
        <v>93</v>
      </c>
      <c r="C22" s="46">
        <f>C19/(1+C21)^C20</f>
        <v>30444102057.493504</v>
      </c>
      <c r="D22" s="46">
        <f>D19/(1+D21)^D20</f>
        <v>19832885692.080528</v>
      </c>
      <c r="E22" s="46">
        <f>E19/(1+E21)^E20</f>
        <v>19500555484.500664</v>
      </c>
      <c r="F22" s="46">
        <f>F19/(1+F21)^F20</f>
        <v>18088289728.84515</v>
      </c>
      <c r="G22" s="54">
        <f>G19/(1+G21)^G20</f>
        <v>15006053069.179331</v>
      </c>
      <c r="I22" s="98" t="s">
        <v>88</v>
      </c>
      <c r="J22" s="22">
        <f>Rates!$P$20</f>
        <v>5.2026429931003065E-2</v>
      </c>
      <c r="K22" s="22">
        <f>Rates!$P$20</f>
        <v>5.2026429931003065E-2</v>
      </c>
      <c r="L22" s="22">
        <f>Rates!$P$20</f>
        <v>5.2026429931003065E-2</v>
      </c>
      <c r="M22" s="22">
        <f>Rates!$P$20</f>
        <v>5.2026429931003065E-2</v>
      </c>
      <c r="N22" s="26">
        <f>Rates!$P$20</f>
        <v>5.2026429931003065E-2</v>
      </c>
    </row>
    <row r="23" spans="2:14" x14ac:dyDescent="0.2">
      <c r="B23" s="98"/>
      <c r="G23" s="25"/>
      <c r="I23" s="98" t="s">
        <v>93</v>
      </c>
      <c r="J23" s="46">
        <f>J20/(1+J22)^J21</f>
        <v>51134646877.196922</v>
      </c>
      <c r="K23" s="46">
        <f t="shared" ref="K23:M23" si="3">K20/(1+K22)^K21</f>
        <v>24917049797.648399</v>
      </c>
      <c r="L23" s="46">
        <f t="shared" si="3"/>
        <v>27585973739.343964</v>
      </c>
      <c r="M23" s="46">
        <f t="shared" si="3"/>
        <v>30114717065.490604</v>
      </c>
      <c r="N23" s="54">
        <f>N20/(1+N22)^N21</f>
        <v>32181557948.882874</v>
      </c>
    </row>
    <row r="24" spans="2:14" ht="17" thickBot="1" x14ac:dyDescent="0.25">
      <c r="B24" s="100" t="s">
        <v>94</v>
      </c>
      <c r="C24" s="57">
        <f>SUM(C22:G22)</f>
        <v>102871886032.0992</v>
      </c>
      <c r="D24" s="28"/>
      <c r="E24" s="28"/>
      <c r="F24" s="28"/>
      <c r="G24" s="35"/>
      <c r="I24" s="98"/>
      <c r="N24" s="25"/>
    </row>
    <row r="25" spans="2:14" ht="17" thickBot="1" x14ac:dyDescent="0.25">
      <c r="B25" s="86"/>
      <c r="I25" s="100" t="s">
        <v>94</v>
      </c>
      <c r="J25" s="57">
        <f>SUM(J23:N23)</f>
        <v>165933945428.56274</v>
      </c>
      <c r="K25" s="28"/>
      <c r="L25" s="28"/>
      <c r="M25" s="28"/>
      <c r="N25" s="35"/>
    </row>
    <row r="26" spans="2:14" ht="17" thickBot="1" x14ac:dyDescent="0.25">
      <c r="B26" s="86"/>
      <c r="I26" s="86"/>
    </row>
    <row r="27" spans="2:14" ht="17" thickBot="1" x14ac:dyDescent="0.25">
      <c r="B27" s="97" t="s">
        <v>166</v>
      </c>
      <c r="C27" s="161">
        <f>Rates!H18</f>
        <v>0.02</v>
      </c>
      <c r="I27" s="86"/>
    </row>
    <row r="28" spans="2:14" x14ac:dyDescent="0.2">
      <c r="B28" s="98" t="s">
        <v>88</v>
      </c>
      <c r="C28" s="26">
        <f>Rates!P20</f>
        <v>5.2026429931003065E-2</v>
      </c>
      <c r="I28" s="97" t="s">
        <v>166</v>
      </c>
      <c r="J28" s="161">
        <f>Rates!H18</f>
        <v>0.02</v>
      </c>
    </row>
    <row r="29" spans="2:14" x14ac:dyDescent="0.2">
      <c r="B29" s="98" t="s">
        <v>95</v>
      </c>
      <c r="C29" s="47">
        <f>G22*(1+C27)</f>
        <v>15306174130.562918</v>
      </c>
      <c r="I29" s="98" t="s">
        <v>88</v>
      </c>
      <c r="J29" s="26">
        <f>Rates!P20</f>
        <v>5.2026429931003065E-2</v>
      </c>
    </row>
    <row r="30" spans="2:14" x14ac:dyDescent="0.2">
      <c r="B30" s="98" t="s">
        <v>96</v>
      </c>
      <c r="C30" s="47">
        <f>C29/(C28-C27)</f>
        <v>477923207911.03333</v>
      </c>
      <c r="I30" s="98" t="s">
        <v>95</v>
      </c>
      <c r="J30" s="47">
        <f>N23*(1+J28)</f>
        <v>32825189107.860531</v>
      </c>
    </row>
    <row r="31" spans="2:14" x14ac:dyDescent="0.2">
      <c r="B31" s="98" t="s">
        <v>97</v>
      </c>
      <c r="C31" s="54">
        <f>C30/((1+G21)^G20)</f>
        <v>370872700777.27802</v>
      </c>
      <c r="I31" s="98" t="s">
        <v>96</v>
      </c>
      <c r="J31" s="47">
        <f>J30/(J29-J28)</f>
        <v>1024940624933.166</v>
      </c>
    </row>
    <row r="32" spans="2:14" x14ac:dyDescent="0.2">
      <c r="B32" s="98"/>
      <c r="C32" s="25"/>
      <c r="I32" s="98" t="s">
        <v>97</v>
      </c>
      <c r="J32" s="54">
        <f>J31/((1+J29)^N21)</f>
        <v>795363128245.64746</v>
      </c>
    </row>
    <row r="33" spans="2:10" x14ac:dyDescent="0.2">
      <c r="B33" s="98" t="s">
        <v>98</v>
      </c>
      <c r="C33" s="47">
        <f>C24+C31</f>
        <v>473744586809.3772</v>
      </c>
      <c r="I33" s="98"/>
      <c r="J33" s="25"/>
    </row>
    <row r="34" spans="2:10" x14ac:dyDescent="0.2">
      <c r="B34" s="98" t="s">
        <v>46</v>
      </c>
      <c r="C34" s="54">
        <f>BS!N49/(1+IS!P5*BS!O77)^5</f>
        <v>51978277734.916031</v>
      </c>
      <c r="I34" s="98" t="s">
        <v>98</v>
      </c>
      <c r="J34" s="47">
        <f>J25+J32</f>
        <v>961297073674.21021</v>
      </c>
    </row>
    <row r="35" spans="2:10" x14ac:dyDescent="0.2">
      <c r="B35" s="98" t="s">
        <v>99</v>
      </c>
      <c r="C35" s="223">
        <f>IS!N23/((1+Rates!H13)^5)</f>
        <v>2374307005.3346601</v>
      </c>
      <c r="I35" s="98" t="s">
        <v>46</v>
      </c>
      <c r="J35" s="54">
        <f>BS!N49/(1+IS!P5*BS!O77)^5</f>
        <v>51978277734.916031</v>
      </c>
    </row>
    <row r="36" spans="2:10" x14ac:dyDescent="0.2">
      <c r="B36" s="98" t="s">
        <v>100</v>
      </c>
      <c r="C36" s="47">
        <f>C33-C34</f>
        <v>421766309074.46118</v>
      </c>
      <c r="I36" s="98" t="s">
        <v>99</v>
      </c>
      <c r="J36" s="223">
        <f>IS!N23/((1+Rates!H13)^5)</f>
        <v>2374307005.3346601</v>
      </c>
    </row>
    <row r="37" spans="2:10" x14ac:dyDescent="0.2">
      <c r="B37" s="98"/>
      <c r="C37" s="25"/>
      <c r="I37" s="98" t="s">
        <v>100</v>
      </c>
      <c r="J37" s="47">
        <f>J34-J35</f>
        <v>909318795939.29419</v>
      </c>
    </row>
    <row r="38" spans="2:10" ht="17" thickBot="1" x14ac:dyDescent="0.25">
      <c r="B38" s="100" t="s">
        <v>101</v>
      </c>
      <c r="C38" s="85">
        <f>C36/C35</f>
        <v>177.63764674358654</v>
      </c>
      <c r="I38" s="98"/>
      <c r="J38" s="25"/>
    </row>
    <row r="39" spans="2:10" ht="17" thickBot="1" x14ac:dyDescent="0.25">
      <c r="B39" s="96" t="s">
        <v>128</v>
      </c>
      <c r="C39" s="35">
        <f>Comps!D2</f>
        <v>214.67</v>
      </c>
      <c r="I39" s="100" t="s">
        <v>101</v>
      </c>
      <c r="J39" s="85">
        <f>J37/J36</f>
        <v>382.98282147010099</v>
      </c>
    </row>
    <row r="40" spans="2:10" ht="17" thickBot="1" x14ac:dyDescent="0.25">
      <c r="I40" s="96" t="s">
        <v>128</v>
      </c>
      <c r="J40" s="35">
        <f>Comps!D2</f>
        <v>214.67</v>
      </c>
    </row>
    <row r="41" spans="2:10" ht="17" thickBot="1" x14ac:dyDescent="0.25">
      <c r="B41" s="96" t="s">
        <v>164</v>
      </c>
      <c r="C41" s="95" t="str" cm="1">
        <f t="array" ref="C41">_xlfn.IFS(C39&lt;C38,"Undervalued",C39&gt;HC33,"Overvalued")</f>
        <v>Overvalued</v>
      </c>
    </row>
    <row r="42" spans="2:10" ht="17" thickBot="1" x14ac:dyDescent="0.25">
      <c r="I42" s="96" t="s">
        <v>164</v>
      </c>
      <c r="J42" s="95" t="str" cm="1">
        <f t="array" ref="J42">_xlfn.IFS(J40&lt;J39,"Undervalued",J40&gt;J39,"Overvalued")</f>
        <v>Undervalued</v>
      </c>
    </row>
  </sheetData>
  <mergeCells count="2">
    <mergeCell ref="B4:G6"/>
    <mergeCell ref="I4:N6"/>
  </mergeCells>
  <conditionalFormatting sqref="C41">
    <cfRule type="containsText" dxfId="3" priority="3" operator="containsText" text="Overvalued">
      <formula>NOT(ISERROR(SEARCH("Overvalued",C41)))</formula>
    </cfRule>
    <cfRule type="containsText" dxfId="2" priority="4" operator="containsText" text="Undervalued">
      <formula>NOT(ISERROR(SEARCH("Undervalued",C41)))</formula>
    </cfRule>
  </conditionalFormatting>
  <conditionalFormatting sqref="J42">
    <cfRule type="containsText" dxfId="1" priority="1" operator="containsText" text="Overvalued">
      <formula>NOT(ISERROR(SEARCH("Overvalued",J42)))</formula>
    </cfRule>
    <cfRule type="containsText" dxfId="0" priority="2" operator="containsText" text="Undervalued">
      <formula>NOT(ISERROR(SEARCH("Undervalued",J42)))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CED-4095-0846-BCDD-B2377B5CE9A1}">
  <dimension ref="C1:AU80"/>
  <sheetViews>
    <sheetView tabSelected="1" zoomScale="59" workbookViewId="0">
      <selection activeCell="P56" sqref="P56:R80"/>
    </sheetView>
  </sheetViews>
  <sheetFormatPr baseColWidth="10" defaultRowHeight="16" x14ac:dyDescent="0.2"/>
  <cols>
    <col min="2" max="2" width="20.33203125" customWidth="1"/>
    <col min="3" max="3" width="17.6640625" customWidth="1"/>
    <col min="4" max="4" width="21.5" bestFit="1" customWidth="1"/>
    <col min="5" max="5" width="15.5" customWidth="1"/>
    <col min="6" max="6" width="22.1640625" customWidth="1"/>
    <col min="7" max="7" width="20" bestFit="1" customWidth="1"/>
    <col min="16" max="16" width="22.6640625" customWidth="1"/>
    <col min="17" max="17" width="18.6640625" customWidth="1"/>
    <col min="18" max="18" width="13.6640625" customWidth="1"/>
    <col min="19" max="19" width="10.33203125" customWidth="1"/>
  </cols>
  <sheetData>
    <row r="1" spans="3:5" ht="17" thickBot="1" x14ac:dyDescent="0.25"/>
    <row r="2" spans="3:5" x14ac:dyDescent="0.2">
      <c r="C2" s="147" t="s">
        <v>128</v>
      </c>
      <c r="D2" s="148">
        <v>214.67</v>
      </c>
      <c r="E2" s="43"/>
    </row>
    <row r="3" spans="3:5" x14ac:dyDescent="0.2">
      <c r="C3" s="149" t="s">
        <v>122</v>
      </c>
      <c r="D3" s="89" t="s">
        <v>77</v>
      </c>
      <c r="E3" s="44" t="s">
        <v>127</v>
      </c>
    </row>
    <row r="4" spans="3:5" x14ac:dyDescent="0.2">
      <c r="C4" s="132" t="s">
        <v>123</v>
      </c>
      <c r="D4" s="33">
        <f>D2/D8</f>
        <v>65.684601667849535</v>
      </c>
      <c r="E4" s="150">
        <v>51.6</v>
      </c>
    </row>
    <row r="5" spans="3:5" x14ac:dyDescent="0.2">
      <c r="C5" s="132" t="s">
        <v>124</v>
      </c>
      <c r="D5" s="33">
        <f>(D2)/(CF!J40/IS!H24)</f>
        <v>20.336996517095894</v>
      </c>
      <c r="E5" s="150"/>
    </row>
    <row r="6" spans="3:5" x14ac:dyDescent="0.2">
      <c r="C6" s="132" t="s">
        <v>125</v>
      </c>
      <c r="D6" s="33">
        <f>D2/(BS!I52)</f>
        <v>35.994395786661016</v>
      </c>
      <c r="E6" s="150">
        <v>7</v>
      </c>
    </row>
    <row r="7" spans="3:5" x14ac:dyDescent="0.2">
      <c r="C7" s="132" t="s">
        <v>126</v>
      </c>
      <c r="D7" s="33">
        <f>(Comps!D2)/(IS!H6/IS!H24)</f>
        <v>25.837410315466219</v>
      </c>
      <c r="E7" s="150">
        <v>3.7</v>
      </c>
    </row>
    <row r="8" spans="3:5" x14ac:dyDescent="0.2">
      <c r="C8" s="132" t="s">
        <v>14</v>
      </c>
      <c r="D8" s="33">
        <f>IS!H19/IS!H24</f>
        <v>3.2681936793273412</v>
      </c>
      <c r="E8" s="150"/>
    </row>
    <row r="9" spans="3:5" x14ac:dyDescent="0.2">
      <c r="C9" s="132" t="s">
        <v>60</v>
      </c>
      <c r="D9" s="88">
        <f>Div!H7</f>
        <v>4.7014285714285717E-2</v>
      </c>
      <c r="E9" s="151">
        <v>3.8999999999999998E-3</v>
      </c>
    </row>
    <row r="10" spans="3:5" x14ac:dyDescent="0.2">
      <c r="C10" s="132" t="s">
        <v>129</v>
      </c>
      <c r="D10" s="3">
        <v>72</v>
      </c>
      <c r="E10" s="150"/>
    </row>
    <row r="11" spans="3:5" x14ac:dyDescent="0.2">
      <c r="C11" s="132"/>
      <c r="D11" s="3"/>
      <c r="E11" s="150"/>
    </row>
    <row r="12" spans="3:5" x14ac:dyDescent="0.2">
      <c r="C12" s="152" t="s">
        <v>140</v>
      </c>
      <c r="D12" s="5"/>
      <c r="E12" s="153"/>
    </row>
    <row r="13" spans="3:5" x14ac:dyDescent="0.2">
      <c r="C13" s="132"/>
      <c r="D13" s="3"/>
      <c r="E13" s="150"/>
    </row>
    <row r="14" spans="3:5" x14ac:dyDescent="0.2">
      <c r="C14" s="132" t="s">
        <v>106</v>
      </c>
      <c r="D14" s="3"/>
      <c r="E14" s="154">
        <v>0.13900000000000001</v>
      </c>
    </row>
    <row r="15" spans="3:5" x14ac:dyDescent="0.2">
      <c r="C15" s="132" t="s">
        <v>108</v>
      </c>
      <c r="D15" s="3"/>
      <c r="E15" s="151">
        <v>8.6999999999999994E-2</v>
      </c>
    </row>
    <row r="16" spans="3:5" ht="17" thickBot="1" x14ac:dyDescent="0.25">
      <c r="C16" s="132" t="s">
        <v>137</v>
      </c>
      <c r="D16" s="3"/>
      <c r="E16" s="151">
        <v>0.13200000000000001</v>
      </c>
    </row>
    <row r="17" spans="3:47" x14ac:dyDescent="0.2">
      <c r="C17" s="132"/>
      <c r="D17" s="3"/>
      <c r="E17" s="150"/>
      <c r="O17" s="329" t="s">
        <v>141</v>
      </c>
      <c r="P17" s="330"/>
      <c r="Q17" s="330"/>
      <c r="R17" s="330"/>
      <c r="S17" s="331"/>
      <c r="V17" s="329" t="s">
        <v>144</v>
      </c>
      <c r="W17" s="330"/>
      <c r="X17" s="330"/>
      <c r="Y17" s="330"/>
      <c r="Z17" s="331"/>
      <c r="AC17" s="329" t="s">
        <v>148</v>
      </c>
      <c r="AD17" s="330"/>
      <c r="AE17" s="330"/>
      <c r="AF17" s="330"/>
      <c r="AG17" s="331"/>
      <c r="AJ17" s="323" t="s">
        <v>153</v>
      </c>
      <c r="AK17" s="324"/>
      <c r="AL17" s="324"/>
      <c r="AM17" s="324"/>
      <c r="AN17" s="325"/>
      <c r="AQ17" s="323" t="s">
        <v>160</v>
      </c>
      <c r="AR17" s="324"/>
      <c r="AS17" s="324"/>
      <c r="AT17" s="324"/>
      <c r="AU17" s="325"/>
    </row>
    <row r="18" spans="3:47" ht="17" customHeight="1" thickBot="1" x14ac:dyDescent="0.25">
      <c r="C18" s="132" t="s">
        <v>135</v>
      </c>
      <c r="D18" s="88"/>
      <c r="E18" s="151">
        <v>0.1</v>
      </c>
      <c r="O18" s="335"/>
      <c r="P18" s="336"/>
      <c r="Q18" s="336"/>
      <c r="R18" s="336"/>
      <c r="S18" s="337"/>
      <c r="V18" s="335"/>
      <c r="W18" s="336"/>
      <c r="X18" s="336"/>
      <c r="Y18" s="336"/>
      <c r="Z18" s="337"/>
      <c r="AC18" s="335"/>
      <c r="AD18" s="336"/>
      <c r="AE18" s="336"/>
      <c r="AF18" s="336"/>
      <c r="AG18" s="337"/>
      <c r="AJ18" s="326"/>
      <c r="AK18" s="327"/>
      <c r="AL18" s="327"/>
      <c r="AM18" s="327"/>
      <c r="AN18" s="328"/>
      <c r="AQ18" s="326"/>
      <c r="AR18" s="327"/>
      <c r="AS18" s="327"/>
      <c r="AT18" s="327"/>
      <c r="AU18" s="328"/>
    </row>
    <row r="19" spans="3:47" ht="17" customHeight="1" x14ac:dyDescent="0.2">
      <c r="C19" s="132" t="s">
        <v>136</v>
      </c>
      <c r="D19" s="3"/>
      <c r="E19" s="150"/>
    </row>
    <row r="20" spans="3:47" ht="17" thickBot="1" x14ac:dyDescent="0.25">
      <c r="C20" s="132"/>
      <c r="D20" s="3"/>
      <c r="E20" s="150"/>
    </row>
    <row r="21" spans="3:47" x14ac:dyDescent="0.2">
      <c r="C21" s="132" t="s">
        <v>138</v>
      </c>
      <c r="D21" s="3"/>
      <c r="E21" s="150">
        <v>0.51600000000000001</v>
      </c>
      <c r="G21" s="329" t="s">
        <v>159</v>
      </c>
      <c r="H21" s="330"/>
      <c r="I21" s="330"/>
      <c r="J21" s="330"/>
      <c r="K21" s="330"/>
      <c r="L21" s="330"/>
      <c r="M21" s="331"/>
    </row>
    <row r="22" spans="3:47" x14ac:dyDescent="0.2">
      <c r="C22" s="132" t="s">
        <v>139</v>
      </c>
      <c r="D22" s="3"/>
      <c r="E22" s="150">
        <v>0.33300000000000002</v>
      </c>
      <c r="G22" s="332"/>
      <c r="H22" s="333"/>
      <c r="I22" s="333"/>
      <c r="J22" s="333"/>
      <c r="K22" s="333"/>
      <c r="L22" s="333"/>
      <c r="M22" s="334"/>
    </row>
    <row r="23" spans="3:47" ht="17" thickBot="1" x14ac:dyDescent="0.25">
      <c r="C23" s="132"/>
      <c r="D23" s="3"/>
      <c r="E23" s="150"/>
      <c r="G23" s="335"/>
      <c r="H23" s="336"/>
      <c r="I23" s="336"/>
      <c r="J23" s="336"/>
      <c r="K23" s="336"/>
      <c r="L23" s="336"/>
      <c r="M23" s="337"/>
    </row>
    <row r="24" spans="3:47" ht="17" thickBot="1" x14ac:dyDescent="0.25">
      <c r="C24" s="155"/>
      <c r="D24" s="5" t="s">
        <v>157</v>
      </c>
      <c r="E24" s="153"/>
    </row>
    <row r="25" spans="3:47" x14ac:dyDescent="0.2">
      <c r="C25" s="144" t="s">
        <v>141</v>
      </c>
      <c r="D25" s="3"/>
      <c r="E25" s="150"/>
      <c r="F25" s="93" t="s">
        <v>141</v>
      </c>
      <c r="G25" s="92">
        <v>2017</v>
      </c>
      <c r="H25" s="92">
        <v>2018</v>
      </c>
      <c r="I25" s="92">
        <v>2019</v>
      </c>
      <c r="J25" s="92">
        <v>2020</v>
      </c>
      <c r="K25" s="92">
        <v>2021</v>
      </c>
      <c r="L25" s="92">
        <v>2022</v>
      </c>
      <c r="M25" s="93">
        <v>2023</v>
      </c>
      <c r="N25" s="216">
        <v>2024</v>
      </c>
    </row>
    <row r="26" spans="3:47" x14ac:dyDescent="0.2">
      <c r="C26" s="132" t="s">
        <v>142</v>
      </c>
      <c r="D26" s="33">
        <v>0.93522860492379833</v>
      </c>
      <c r="E26" s="150"/>
      <c r="F26" s="101" t="s">
        <v>142</v>
      </c>
      <c r="G26" s="90">
        <f>BS!C12/BS!C34</f>
        <v>6.2694136291600637</v>
      </c>
      <c r="H26" s="37">
        <f>BS!D12/BS!D34</f>
        <v>3.8926432848588539</v>
      </c>
      <c r="I26" s="37">
        <f>BS!E12/BS!E34</f>
        <v>1.4364584842776409</v>
      </c>
      <c r="J26" s="37">
        <f>BS!F12/BS!F34</f>
        <v>1.8673677601632397</v>
      </c>
      <c r="K26" s="37">
        <f>BS!G12/BS!G34</f>
        <v>2.6367249602543721</v>
      </c>
      <c r="L26" s="37">
        <f>BS!H12/BS!H34</f>
        <v>2.6266137040714996</v>
      </c>
      <c r="M26" s="40">
        <f>BS!I12/BS!I34</f>
        <v>2.8132253711201081</v>
      </c>
      <c r="N26" s="40">
        <f>BS!J12/BS!J34</f>
        <v>1.1743559017375673</v>
      </c>
    </row>
    <row r="27" spans="3:47" x14ac:dyDescent="0.2">
      <c r="C27" s="132" t="s">
        <v>143</v>
      </c>
      <c r="D27" s="33">
        <v>0.73710433763188743</v>
      </c>
      <c r="E27" s="150"/>
      <c r="F27" s="101" t="s">
        <v>143</v>
      </c>
      <c r="G27" s="90">
        <f>(BS!C8+BS!C9-BS!C10-BS!C11)/BS!C34</f>
        <v>4.54675118858954</v>
      </c>
      <c r="H27" s="37">
        <f>(BS!D8+BS!D9-BS!D10-BS!D11)/BS!D34</f>
        <v>2.6770744225834044</v>
      </c>
      <c r="I27" s="37">
        <f>(BS!E8+BS!E9-BS!E10-BS!E11)/BS!E34</f>
        <v>0.97188813215476022</v>
      </c>
      <c r="J27" s="37">
        <f>(BS!F8+BS!F9-BS!F10-BS!F11)/BS!F34</f>
        <v>1.2467430544655471</v>
      </c>
      <c r="K27" s="37">
        <f>(BS!G8+BS!G9-BS!G10-BS!G11)/BS!G34</f>
        <v>1.8879173290937996</v>
      </c>
      <c r="L27" s="37">
        <f>(BS!H8+BS!H9-BS!H10-BS!H11)/BS!H34</f>
        <v>1.7371258334515534</v>
      </c>
      <c r="M27" s="40">
        <f>(BS!I8+BS!I9-BS!I10-BS!I11)/BS!I34</f>
        <v>1.8669365721997302</v>
      </c>
      <c r="N27" s="40">
        <f>(BS!J8+BS!J9-BS!J10-BS!J11)/BS!J34</f>
        <v>0.47573397243858601</v>
      </c>
    </row>
    <row r="28" spans="3:47" x14ac:dyDescent="0.2">
      <c r="C28" s="132"/>
      <c r="D28" s="33"/>
      <c r="E28" s="150"/>
      <c r="F28" s="101"/>
      <c r="G28" s="33"/>
      <c r="H28" s="33"/>
      <c r="I28" s="33"/>
      <c r="J28" s="33"/>
      <c r="K28" s="33"/>
      <c r="L28" s="33"/>
      <c r="M28" s="91"/>
      <c r="N28" s="40"/>
    </row>
    <row r="29" spans="3:47" x14ac:dyDescent="0.2">
      <c r="C29" s="144" t="s">
        <v>144</v>
      </c>
      <c r="D29" s="33"/>
      <c r="E29" s="150"/>
      <c r="F29" s="102" t="s">
        <v>144</v>
      </c>
      <c r="G29" s="33"/>
      <c r="H29" s="33"/>
      <c r="I29" s="33"/>
      <c r="J29" s="33"/>
      <c r="K29" s="33"/>
      <c r="L29" s="33"/>
      <c r="M29" s="91"/>
      <c r="N29" s="40"/>
    </row>
    <row r="30" spans="3:47" x14ac:dyDescent="0.2">
      <c r="C30" s="132" t="s">
        <v>145</v>
      </c>
      <c r="D30" s="33">
        <v>53.327586206896555</v>
      </c>
      <c r="E30" s="150"/>
      <c r="F30" s="101" t="s">
        <v>145</v>
      </c>
      <c r="G30" s="90">
        <f>IS!B6/BS!C10</f>
        <v>12.165517241379311</v>
      </c>
      <c r="H30" s="37">
        <f>IS!C6/BS!D10</f>
        <v>18.616071428571427</v>
      </c>
      <c r="I30" s="37">
        <f>IS!D6/BS!E10</f>
        <v>25.858123569794049</v>
      </c>
      <c r="J30" s="37">
        <f>IS!E6/BS!F10</f>
        <v>23.89</v>
      </c>
      <c r="K30" s="37">
        <f>IS!F6/BS!G10</f>
        <v>21.115384615384617</v>
      </c>
      <c r="L30" s="37">
        <f>IS!G6/BS!H10</f>
        <v>17.202072538860104</v>
      </c>
      <c r="M30" s="40">
        <f>IS!H6/BS!I10</f>
        <v>18.852631578947367</v>
      </c>
      <c r="N30" s="40">
        <f>IS!I6/BS!J10</f>
        <v>29.301136363636363</v>
      </c>
    </row>
    <row r="31" spans="3:47" x14ac:dyDescent="0.2">
      <c r="C31" s="132" t="s">
        <v>146</v>
      </c>
      <c r="D31" s="33">
        <v>14.319444444444445</v>
      </c>
      <c r="E31" s="150"/>
      <c r="F31" s="101" t="s">
        <v>146</v>
      </c>
      <c r="G31" s="90">
        <f>IS!B6/(BS!C15-IS!B29)</f>
        <v>-8.28169014084507</v>
      </c>
      <c r="H31" s="37">
        <f>IS!C6/(BS!D15-IS!C29)</f>
        <v>-14.580419580419585</v>
      </c>
      <c r="I31" s="37">
        <f>IS!D6/(BS!E15-IS!D29)</f>
        <v>-7.0186335403726705</v>
      </c>
      <c r="J31" s="37">
        <f>IS!E6/(BS!F15-IS!E29)</f>
        <v>-6.2703412073490812</v>
      </c>
      <c r="K31" s="37">
        <f>IS!F6/(BS!G15-IS!F29)</f>
        <v>-8.8548387096774199</v>
      </c>
      <c r="L31" s="37">
        <f>IS!G6/(BS!H15-IS!G29)</f>
        <v>-14.821428571428573</v>
      </c>
      <c r="M31" s="40">
        <f>IS!H6/(BS!I15-IS!H29)</f>
        <v>-29.603305785123968</v>
      </c>
      <c r="N31" s="40">
        <f>IS!I6/(BS!J15-IS!I29)</f>
        <v>-6.8851802403204276</v>
      </c>
    </row>
    <row r="32" spans="3:47" x14ac:dyDescent="0.2">
      <c r="C32" s="132" t="s">
        <v>147</v>
      </c>
      <c r="D32" s="33">
        <v>88.919333979954743</v>
      </c>
      <c r="E32" s="150"/>
      <c r="F32" s="101" t="s">
        <v>147</v>
      </c>
      <c r="G32" s="90">
        <f>BS!C9/(IS!B6/365)</f>
        <v>50.694444444444443</v>
      </c>
      <c r="H32" s="37">
        <f>BS!D9/(IS!C6/365)</f>
        <v>59.345323741007192</v>
      </c>
      <c r="I32" s="37">
        <f>BS!E9/(IS!D6/365)</f>
        <v>52.650442477876105</v>
      </c>
      <c r="J32" s="37">
        <f>BS!F9/(IS!E6/365)</f>
        <v>35.140226035998325</v>
      </c>
      <c r="K32" s="37">
        <f>BS!G9/(IS!F6/365)</f>
        <v>27.524590163934423</v>
      </c>
      <c r="L32" s="37">
        <f>BS!H9/(IS!G6/365)</f>
        <v>32.542168674698793</v>
      </c>
      <c r="M32" s="40">
        <f>BS!I9/(IS!H6/365)</f>
        <v>32.097989949748744</v>
      </c>
      <c r="N32" s="40">
        <f>BS!J9/(IS!I6/365)</f>
        <v>31.283692069032384</v>
      </c>
    </row>
    <row r="33" spans="3:14" x14ac:dyDescent="0.2">
      <c r="C33" s="132" t="s">
        <v>158</v>
      </c>
      <c r="D33" s="33">
        <v>0.45737523105360445</v>
      </c>
      <c r="E33" s="150"/>
      <c r="F33" s="101" t="s">
        <v>158</v>
      </c>
      <c r="G33" s="90">
        <f>IS!B6/BS!C22</f>
        <v>0.32413362243210464</v>
      </c>
      <c r="H33" s="37">
        <f>IS!C6/BS!D22</f>
        <v>0.4161012213618584</v>
      </c>
      <c r="I33" s="37">
        <f>IS!D6/BS!E22</f>
        <v>0.33488427229351275</v>
      </c>
      <c r="J33" s="37">
        <f>IS!E6/BS!F22</f>
        <v>0.31459875161315809</v>
      </c>
      <c r="K33" s="37">
        <f>IS!F6/BS!G22</f>
        <v>0.36326341560246145</v>
      </c>
      <c r="L33" s="37">
        <f>IS!G6/BS!H22</f>
        <v>0.45314952569439709</v>
      </c>
      <c r="M33" s="40">
        <f>IS!H6/BS!I22</f>
        <v>0.49158729723053274</v>
      </c>
      <c r="N33" s="40">
        <f>IS!I6/BS!J22</f>
        <v>0.31131904618170841</v>
      </c>
    </row>
    <row r="34" spans="3:14" x14ac:dyDescent="0.2">
      <c r="C34" s="132"/>
      <c r="D34" s="33"/>
      <c r="E34" s="150"/>
      <c r="F34" s="101"/>
      <c r="G34" s="33"/>
      <c r="H34" s="33"/>
      <c r="I34" s="33"/>
      <c r="J34" s="33"/>
      <c r="K34" s="33"/>
      <c r="L34" s="33"/>
      <c r="M34" s="91"/>
      <c r="N34" s="40"/>
    </row>
    <row r="35" spans="3:14" x14ac:dyDescent="0.2">
      <c r="C35" s="144" t="s">
        <v>148</v>
      </c>
      <c r="D35" s="33"/>
      <c r="E35" s="150"/>
      <c r="F35" s="102" t="s">
        <v>148</v>
      </c>
      <c r="G35" s="33"/>
      <c r="H35" s="33"/>
      <c r="I35" s="33"/>
      <c r="J35" s="33"/>
      <c r="K35" s="33"/>
      <c r="L35" s="33"/>
      <c r="M35" s="91"/>
      <c r="N35" s="40"/>
    </row>
    <row r="36" spans="3:14" x14ac:dyDescent="0.2">
      <c r="C36" s="132" t="s">
        <v>149</v>
      </c>
      <c r="D36" s="33">
        <v>0.83273937153419597</v>
      </c>
      <c r="E36" s="150"/>
      <c r="F36" s="101" t="s">
        <v>149</v>
      </c>
      <c r="G36" s="90">
        <f>BS!C43/BS!C22</f>
        <v>0.57377531145492633</v>
      </c>
      <c r="H36" s="37">
        <f>BS!D43/BS!D22</f>
        <v>0.46832841063303265</v>
      </c>
      <c r="I36" s="37">
        <f>BS!E43/BS!E22</f>
        <v>0.63011587588536877</v>
      </c>
      <c r="J36" s="37">
        <f>BS!F43/BS!F22</f>
        <v>0.68523005609839605</v>
      </c>
      <c r="K36" s="37">
        <f>BS!G43/BS!G22</f>
        <v>0.66952954410110499</v>
      </c>
      <c r="L36" s="37">
        <f>BS!H43/BS!H22</f>
        <v>0.68974271480242955</v>
      </c>
      <c r="M36" s="40">
        <f>BS!I43/BS!I22</f>
        <v>0.67076551478055613</v>
      </c>
      <c r="N36" s="40">
        <f>BS!J43/BS!J22</f>
        <v>0.59136734077875042</v>
      </c>
    </row>
    <row r="37" spans="3:14" x14ac:dyDescent="0.2">
      <c r="C37" s="132" t="s">
        <v>150</v>
      </c>
      <c r="D37" s="33">
        <v>0.72599985465468375</v>
      </c>
      <c r="E37" s="150"/>
      <c r="F37" s="101" t="s">
        <v>150</v>
      </c>
      <c r="G37" s="90">
        <f>BS!C49/(BS!C49+BS!C44)</f>
        <v>0.43067520801119213</v>
      </c>
      <c r="H37" s="37">
        <f>BS!D49/(BS!D49+BS!D44)</f>
        <v>0.39632004713240127</v>
      </c>
      <c r="I37" s="37">
        <f>BS!E49/(BS!E49+BS!E44)</f>
        <v>0.56784737370589666</v>
      </c>
      <c r="J37" s="37">
        <f>BS!F49/(BS!F49+BS!F44)</f>
        <v>0.63556944656197589</v>
      </c>
      <c r="K37" s="37">
        <f>BS!G49/(BS!G49+BS!G44)</f>
        <v>0.61725802743505254</v>
      </c>
      <c r="L37" s="37">
        <f>BS!H49/(BS!H49+BS!H44)</f>
        <v>0.63749302288493737</v>
      </c>
      <c r="M37" s="40">
        <f>BS!I49/(BS!I49+BS!I44)</f>
        <v>0.62303582652419864</v>
      </c>
      <c r="N37" s="40">
        <f>BS!J49/(BS!J49+BS!J44)</f>
        <v>0.4995564098772734</v>
      </c>
    </row>
    <row r="38" spans="3:14" x14ac:dyDescent="0.2">
      <c r="C38" s="132" t="s">
        <v>151</v>
      </c>
      <c r="D38" s="33">
        <v>5.978693307399876</v>
      </c>
      <c r="E38" s="150"/>
      <c r="F38" s="101" t="s">
        <v>151</v>
      </c>
      <c r="G38" s="90">
        <f>BS!C22/BS!C44</f>
        <v>2.3461803759268838</v>
      </c>
      <c r="H38" s="37">
        <f>BS!D22/BS!D44</f>
        <v>1.8808603280657632</v>
      </c>
      <c r="I38" s="37">
        <f>BS!E22/BS!E44</f>
        <v>2.7035493950805223</v>
      </c>
      <c r="J38" s="37">
        <f>BS!F22/BS!F44</f>
        <v>3.1769233987365602</v>
      </c>
      <c r="K38" s="37">
        <f>BS!G22/BS!G44</f>
        <v>3.0259891078007368</v>
      </c>
      <c r="L38" s="37">
        <f>BS!H22/BS!H44</f>
        <v>3.2231314064493422</v>
      </c>
      <c r="M38" s="40">
        <f>BS!I22/BS!I44</f>
        <v>3.0373488953730723</v>
      </c>
      <c r="N38" s="40">
        <f>BS!J22/BS!J44</f>
        <v>2.4471856995124832</v>
      </c>
    </row>
    <row r="39" spans="3:14" x14ac:dyDescent="0.2">
      <c r="C39" s="132" t="s">
        <v>152</v>
      </c>
      <c r="D39" s="33">
        <v>5.833333333333333</v>
      </c>
      <c r="E39" s="150"/>
      <c r="F39" s="101" t="s">
        <v>152</v>
      </c>
      <c r="G39" s="90">
        <f>IS!B12/IS!B13</f>
        <v>3.1242740998838561</v>
      </c>
      <c r="H39" s="37">
        <f>IS!C12/IS!C13</f>
        <v>6.3938315539739028</v>
      </c>
      <c r="I39" s="37">
        <f>IS!D12/IS!D13</f>
        <v>2.0619047619047617</v>
      </c>
      <c r="J39" s="37">
        <f>IS!E12/IS!E13</f>
        <v>2.2827225130890052</v>
      </c>
      <c r="K39" s="37">
        <f>IS!F12/IS!F13</f>
        <v>4.526041666666667</v>
      </c>
      <c r="L39" s="37">
        <f>IS!G12/IS!G13</f>
        <v>7.7189189189189209</v>
      </c>
      <c r="M39" s="40">
        <f>IS!H12/IS!H13</f>
        <v>12.102941176470589</v>
      </c>
      <c r="N39" s="40">
        <f>IS!I12/IS!I13</f>
        <v>2.685374149659864</v>
      </c>
    </row>
    <row r="40" spans="3:14" x14ac:dyDescent="0.2">
      <c r="C40" s="132"/>
      <c r="D40" s="33"/>
      <c r="E40" s="150"/>
      <c r="F40" s="101"/>
      <c r="G40" s="33"/>
      <c r="H40" s="33"/>
      <c r="I40" s="33"/>
      <c r="J40" s="33"/>
      <c r="K40" s="33"/>
      <c r="L40" s="33"/>
      <c r="M40" s="91"/>
      <c r="N40" s="40"/>
    </row>
    <row r="41" spans="3:14" x14ac:dyDescent="0.2">
      <c r="C41" s="144" t="s">
        <v>153</v>
      </c>
      <c r="D41" s="33"/>
      <c r="E41" s="150"/>
      <c r="F41" s="102" t="s">
        <v>153</v>
      </c>
      <c r="G41" s="33"/>
      <c r="H41" s="33"/>
      <c r="I41" s="33"/>
      <c r="J41" s="33"/>
      <c r="K41" s="33"/>
      <c r="L41" s="33"/>
      <c r="M41" s="91"/>
      <c r="N41" s="40"/>
    </row>
    <row r="42" spans="3:14" x14ac:dyDescent="0.2">
      <c r="C42" s="132" t="s">
        <v>136</v>
      </c>
      <c r="D42" s="33">
        <v>0.12111218881344972</v>
      </c>
      <c r="E42" s="150"/>
      <c r="F42" s="101" t="s">
        <v>136</v>
      </c>
      <c r="G42" s="90">
        <f>IS!B19/IS!B6</f>
        <v>9.6145124716553287E-2</v>
      </c>
      <c r="H42" s="37">
        <f>IS!C19/IS!C6</f>
        <v>0.58786570743405275</v>
      </c>
      <c r="I42" s="37">
        <f>IS!D19/IS!D6</f>
        <v>0.12070796460176991</v>
      </c>
      <c r="J42" s="37">
        <f>IS!E19/IS!E6</f>
        <v>0.12419422352448724</v>
      </c>
      <c r="K42" s="37">
        <f>IS!F19/IS!F6</f>
        <v>0.24557377049180329</v>
      </c>
      <c r="L42" s="37">
        <f>IS!G19/IS!G6</f>
        <v>0.34611445783132538</v>
      </c>
      <c r="M42" s="40">
        <f>IS!H19/IS!H6</f>
        <v>0.39335566722501397</v>
      </c>
      <c r="N42" s="40">
        <f>IS!I19/IS!I6</f>
        <v>0.11415551677331782</v>
      </c>
    </row>
    <row r="43" spans="3:14" x14ac:dyDescent="0.2">
      <c r="C43" s="132" t="s">
        <v>154</v>
      </c>
      <c r="D43" s="33">
        <v>0.16973811833171679</v>
      </c>
      <c r="E43" s="150"/>
      <c r="F43" s="101" t="s">
        <v>154</v>
      </c>
      <c r="G43" s="90">
        <f>IS!B12/IS!B6</f>
        <v>0.15249433106575963</v>
      </c>
      <c r="H43" s="37">
        <f>IS!C12/IS!C6</f>
        <v>0.25851318944844126</v>
      </c>
      <c r="I43" s="37">
        <f>IS!D12/IS!D6</f>
        <v>0.19159292035398229</v>
      </c>
      <c r="J43" s="37">
        <f>IS!E12/IS!E6</f>
        <v>0.18250313938886564</v>
      </c>
      <c r="K43" s="37">
        <f>IS!F12/IS!F6</f>
        <v>0.31657559198542806</v>
      </c>
      <c r="L43" s="37">
        <f>IS!G12/IS!G6</f>
        <v>0.43012048192771091</v>
      </c>
      <c r="M43" s="40">
        <f>IS!H12/IS!H6</f>
        <v>0.45951982132886654</v>
      </c>
      <c r="N43" s="40">
        <f>IS!I12/IS!I6</f>
        <v>0.30618576691875121</v>
      </c>
    </row>
    <row r="44" spans="3:14" x14ac:dyDescent="0.2">
      <c r="C44" s="132" t="s">
        <v>108</v>
      </c>
      <c r="D44" s="33">
        <v>5.5393715341959332E-2</v>
      </c>
      <c r="E44" s="150"/>
      <c r="F44" s="101" t="s">
        <v>108</v>
      </c>
      <c r="G44" s="90">
        <f>IS!B19/BS!C22</f>
        <v>3.1163867553562898E-2</v>
      </c>
      <c r="H44" s="37">
        <f>IS!C19/BS!D22</f>
        <v>0.24461163886006226</v>
      </c>
      <c r="I44" s="37">
        <f>IS!D19/BS!E22</f>
        <v>4.042319888569481E-2</v>
      </c>
      <c r="J44" s="37">
        <f>IS!E19/BS!F22</f>
        <v>3.9071347678369193E-2</v>
      </c>
      <c r="K44" s="37">
        <f>IS!F19/BS!G22</f>
        <v>8.9207966651227419E-2</v>
      </c>
      <c r="L44" s="37">
        <f>IS!G19/BS!H22</f>
        <v>0.15684160240223849</v>
      </c>
      <c r="M44" s="40">
        <f>IS!H19/BS!I22</f>
        <v>0.19336864930145747</v>
      </c>
      <c r="N44" s="40">
        <f>IS!I19/BS!J22</f>
        <v>3.5538786598249321E-2</v>
      </c>
    </row>
    <row r="45" spans="3:14" x14ac:dyDescent="0.2">
      <c r="C45" s="132" t="s">
        <v>106</v>
      </c>
      <c r="D45" s="33">
        <v>0.33118203518698613</v>
      </c>
      <c r="E45" s="150"/>
      <c r="F45" s="101" t="s">
        <v>106</v>
      </c>
      <c r="G45" s="90">
        <f>IS!B19/BS!C44</f>
        <v>7.3116054492153817E-2</v>
      </c>
      <c r="H45" s="37">
        <f>IS!C19/BS!D44</f>
        <v>0.46008032731504073</v>
      </c>
      <c r="I45" s="37">
        <f>IS!D19/BS!E44</f>
        <v>0.10928611489463985</v>
      </c>
      <c r="J45" s="37">
        <f>IS!E19/BS!F44</f>
        <v>0.12412667865958248</v>
      </c>
      <c r="K45" s="37">
        <f>IS!F19/BS!G44</f>
        <v>0.26994233541566554</v>
      </c>
      <c r="L45" s="37">
        <f>IS!G19/BS!H44</f>
        <v>0.50552109454049554</v>
      </c>
      <c r="M45" s="40">
        <f>IS!H19/BS!I44</f>
        <v>0.58732805335556482</v>
      </c>
      <c r="N45" s="40">
        <f>IS!I19/BS!J44</f>
        <v>8.697001034126163E-2</v>
      </c>
    </row>
    <row r="46" spans="3:14" x14ac:dyDescent="0.2">
      <c r="C46" s="132" t="s">
        <v>155</v>
      </c>
      <c r="D46" s="33">
        <v>9.1083064848235265E-2</v>
      </c>
      <c r="E46" s="150"/>
      <c r="F46" s="101" t="s">
        <v>155</v>
      </c>
      <c r="G46" s="90">
        <f>IS!B17/(BS!C49+BS!C44)</f>
        <v>4.403210367425079E-2</v>
      </c>
      <c r="H46" s="37">
        <f>IS!C17/(BS!D49+BS!D44)</f>
        <v>0.28612539937912124</v>
      </c>
      <c r="I46" s="37">
        <f>IS!D17/(BS!E49+BS!E44)</f>
        <v>4.7436030608358437E-2</v>
      </c>
      <c r="J46" s="37">
        <f>IS!E17/(BS!F49+BS!F44)</f>
        <v>4.5250800426894347E-2</v>
      </c>
      <c r="K46" s="37">
        <f>IS!F17/(BS!G49+BS!G44)</f>
        <v>0.10331826193578052</v>
      </c>
      <c r="L46" s="37">
        <f>IS!G17/(BS!H49+BS!H44)</f>
        <v>0.18325492384977279</v>
      </c>
      <c r="M46" s="40">
        <f>IS!H17/(BS!I49+BS!I44)</f>
        <v>0.22140163419233186</v>
      </c>
      <c r="N46" s="40">
        <f>IS!I17/(BS!J49+BS!J44)</f>
        <v>4.5541919266597661E-2</v>
      </c>
    </row>
    <row r="47" spans="3:14" ht="17" thickBot="1" x14ac:dyDescent="0.25">
      <c r="C47" s="132" t="s">
        <v>156</v>
      </c>
      <c r="D47" s="33">
        <v>7.763401109057301E-2</v>
      </c>
      <c r="E47" s="150"/>
      <c r="F47" s="103" t="s">
        <v>156</v>
      </c>
      <c r="G47" s="94">
        <f>IS!B12/BS!C22</f>
        <v>4.9428539928705301E-2</v>
      </c>
      <c r="H47" s="79">
        <f>IS!C12/BS!D22</f>
        <v>0.10756765386764588</v>
      </c>
      <c r="I47" s="79">
        <f>IS!D12/BS!E22</f>
        <v>6.4161455709332307E-2</v>
      </c>
      <c r="J47" s="79">
        <f>IS!E12/BS!F22</f>
        <v>5.7415259817219309E-2</v>
      </c>
      <c r="K47" s="79">
        <f>IS!F12/BS!G22</f>
        <v>0.11500033084099781</v>
      </c>
      <c r="L47" s="79">
        <f>IS!G12/BS!H22</f>
        <v>0.19490889237698769</v>
      </c>
      <c r="M47" s="42">
        <f>IS!H12/BS!I22</f>
        <v>0.22589410699091483</v>
      </c>
      <c r="N47" s="42">
        <f>IS!I12/BS!J22</f>
        <v>9.5321460911560518E-2</v>
      </c>
    </row>
    <row r="48" spans="3:14" x14ac:dyDescent="0.2">
      <c r="C48" s="132"/>
      <c r="D48" s="3"/>
      <c r="E48" s="150"/>
      <c r="F48" s="156"/>
      <c r="G48" s="23"/>
      <c r="H48" s="23"/>
      <c r="I48" s="23"/>
      <c r="J48" s="23"/>
      <c r="K48" s="23"/>
      <c r="L48" s="23"/>
      <c r="M48" s="24"/>
    </row>
    <row r="49" spans="3:18" x14ac:dyDescent="0.2">
      <c r="C49" s="144" t="s">
        <v>160</v>
      </c>
      <c r="D49" s="3"/>
      <c r="E49" s="150"/>
      <c r="F49" s="157" t="s">
        <v>160</v>
      </c>
      <c r="M49" s="25"/>
    </row>
    <row r="50" spans="3:18" x14ac:dyDescent="0.2">
      <c r="C50" s="132" t="s">
        <v>161</v>
      </c>
      <c r="D50" s="33">
        <f>M50</f>
        <v>23.306772963734893</v>
      </c>
      <c r="E50" s="150"/>
      <c r="F50" s="158" t="s">
        <v>161</v>
      </c>
      <c r="G50" s="21">
        <f>G51/G52</f>
        <v>29.131003110450077</v>
      </c>
      <c r="H50" s="21">
        <f t="shared" ref="H50:M50" si="0">H51/H52</f>
        <v>24.555159978229042</v>
      </c>
      <c r="I50" s="21">
        <f t="shared" si="0"/>
        <v>20.489714441150547</v>
      </c>
      <c r="J50" s="21">
        <f t="shared" si="0"/>
        <v>23.109438296448143</v>
      </c>
      <c r="K50" s="21">
        <f t="shared" si="0"/>
        <v>18.695930221848467</v>
      </c>
      <c r="L50" s="21">
        <f t="shared" si="0"/>
        <v>24.033316995732701</v>
      </c>
      <c r="M50" s="91">
        <f t="shared" si="0"/>
        <v>23.306772963734893</v>
      </c>
      <c r="N50" s="91">
        <f>N51/N52</f>
        <v>0</v>
      </c>
    </row>
    <row r="51" spans="3:18" x14ac:dyDescent="0.2">
      <c r="C51" s="132"/>
      <c r="D51" s="3"/>
      <c r="E51" s="150"/>
      <c r="F51" s="158" t="s">
        <v>162</v>
      </c>
      <c r="G51" s="55">
        <v>166.845123</v>
      </c>
      <c r="H51" s="55">
        <v>156.50096099999999</v>
      </c>
      <c r="I51" s="55">
        <v>128.50860599999999</v>
      </c>
      <c r="J51" s="55">
        <v>137.40917999999999</v>
      </c>
      <c r="K51" s="55">
        <v>113.87189499999999</v>
      </c>
      <c r="L51" s="55">
        <v>133.570007</v>
      </c>
      <c r="M51" s="56">
        <v>134.729996</v>
      </c>
    </row>
    <row r="52" spans="3:18" x14ac:dyDescent="0.2">
      <c r="C52" s="132"/>
      <c r="D52" s="3"/>
      <c r="E52" s="25"/>
      <c r="F52" s="159" t="s">
        <v>163</v>
      </c>
      <c r="G52" s="2">
        <f>BS!C51</f>
        <v>5.7274074074074077</v>
      </c>
      <c r="H52" s="2">
        <f>BS!D51</f>
        <v>6.3734449760765557</v>
      </c>
      <c r="I52" s="2">
        <f>BS!E51</f>
        <v>6.271859296482412</v>
      </c>
      <c r="J52" s="2">
        <f>BS!F51</f>
        <v>5.9460199004975127</v>
      </c>
      <c r="K52" s="2">
        <f>BS!G51</f>
        <v>6.0907317073170741</v>
      </c>
      <c r="L52" s="2">
        <f>BS!H51</f>
        <v>5.5577017114914424</v>
      </c>
      <c r="M52" s="49">
        <f>BS!I51</f>
        <v>5.7807228915662643</v>
      </c>
      <c r="N52" s="49">
        <f>BS!J51</f>
        <v>14.651515151515152</v>
      </c>
    </row>
    <row r="53" spans="3:18" ht="17" thickBot="1" x14ac:dyDescent="0.25">
      <c r="C53" s="133"/>
      <c r="D53" s="104"/>
      <c r="E53" s="35"/>
      <c r="F53" s="160"/>
      <c r="G53" s="28"/>
      <c r="H53" s="28"/>
      <c r="I53" s="28"/>
      <c r="J53" s="28"/>
      <c r="K53" s="28"/>
      <c r="L53" s="28"/>
      <c r="M53" s="35"/>
    </row>
    <row r="54" spans="3:18" x14ac:dyDescent="0.2">
      <c r="F54" s="21"/>
    </row>
    <row r="55" spans="3:18" ht="17" thickBot="1" x14ac:dyDescent="0.25"/>
    <row r="56" spans="3:18" x14ac:dyDescent="0.2">
      <c r="F56" s="234" t="s">
        <v>141</v>
      </c>
      <c r="G56" s="63"/>
      <c r="H56" s="63"/>
      <c r="I56" s="63"/>
      <c r="J56" s="63"/>
      <c r="K56" s="63"/>
      <c r="L56" s="63"/>
      <c r="M56" s="43"/>
      <c r="P56" s="260" t="s">
        <v>218</v>
      </c>
      <c r="Q56" s="276"/>
      <c r="R56" s="261"/>
    </row>
    <row r="57" spans="3:18" ht="17" thickBot="1" x14ac:dyDescent="0.25">
      <c r="F57" s="235" t="s">
        <v>142</v>
      </c>
      <c r="G57" s="238">
        <f>(H26-G26)/G26</f>
        <v>-0.37910568434126979</v>
      </c>
      <c r="H57" s="238">
        <f t="shared" ref="H57:M57" si="1">(I26-H26)/H26</f>
        <v>-0.63098121786164996</v>
      </c>
      <c r="I57" s="238">
        <f t="shared" si="1"/>
        <v>0.29998032007328934</v>
      </c>
      <c r="J57" s="238">
        <f t="shared" si="1"/>
        <v>0.41200090121716437</v>
      </c>
      <c r="K57" s="238">
        <f t="shared" si="1"/>
        <v>-3.8347784980565405E-3</v>
      </c>
      <c r="L57" s="238">
        <f t="shared" si="1"/>
        <v>7.1046483447239572E-2</v>
      </c>
      <c r="M57" s="239">
        <f t="shared" si="1"/>
        <v>-0.58255889706056929</v>
      </c>
      <c r="P57" s="264"/>
      <c r="Q57" s="277"/>
      <c r="R57" s="271"/>
    </row>
    <row r="58" spans="3:18" x14ac:dyDescent="0.2">
      <c r="F58" s="235" t="s">
        <v>143</v>
      </c>
      <c r="G58" s="238">
        <f t="shared" ref="G58:M58" si="2">(H27-G27)/G27</f>
        <v>-0.41121158569183397</v>
      </c>
      <c r="H58" s="238">
        <f t="shared" si="2"/>
        <v>-0.63695886675541946</v>
      </c>
      <c r="I58" s="238">
        <f t="shared" si="2"/>
        <v>0.28280510196313408</v>
      </c>
      <c r="J58" s="238">
        <f t="shared" si="2"/>
        <v>0.51427940370849756</v>
      </c>
      <c r="K58" s="238">
        <f t="shared" si="2"/>
        <v>-7.9871874323345596E-2</v>
      </c>
      <c r="L58" s="238">
        <f t="shared" si="2"/>
        <v>7.4727308896357578E-2</v>
      </c>
      <c r="M58" s="239">
        <f t="shared" si="2"/>
        <v>-0.7451793598547114</v>
      </c>
      <c r="P58" s="228" t="s">
        <v>141</v>
      </c>
      <c r="R58" s="232"/>
    </row>
    <row r="59" spans="3:18" x14ac:dyDescent="0.2">
      <c r="F59" s="235"/>
      <c r="G59" s="238"/>
      <c r="H59" s="238"/>
      <c r="I59" s="238"/>
      <c r="J59" s="238"/>
      <c r="K59" s="238"/>
      <c r="L59" s="238"/>
      <c r="M59" s="239"/>
      <c r="P59" s="229" t="s">
        <v>142</v>
      </c>
      <c r="R59" s="232" cm="1">
        <f t="array" ref="R59">GEOMEAN(1+G57:M57)-1</f>
        <v>-0.21280590048384374</v>
      </c>
    </row>
    <row r="60" spans="3:18" x14ac:dyDescent="0.2">
      <c r="F60" s="236" t="s">
        <v>144</v>
      </c>
      <c r="G60" s="238"/>
      <c r="H60" s="238"/>
      <c r="I60" s="238"/>
      <c r="J60" s="238"/>
      <c r="K60" s="238"/>
      <c r="L60" s="238"/>
      <c r="M60" s="239"/>
      <c r="P60" s="229" t="s">
        <v>143</v>
      </c>
      <c r="R60" s="232" cm="1">
        <f t="array" ref="R60">GEOMEAN(1+G58:M58)-1</f>
        <v>-0.2756443469325649</v>
      </c>
    </row>
    <row r="61" spans="3:18" x14ac:dyDescent="0.2">
      <c r="F61" s="235" t="s">
        <v>145</v>
      </c>
      <c r="G61" s="238">
        <f t="shared" ref="G61:M61" si="3">(H30-G30)/G30</f>
        <v>0.53023262876579191</v>
      </c>
      <c r="H61" s="238">
        <f t="shared" si="3"/>
        <v>0.38902150590740225</v>
      </c>
      <c r="I61" s="238">
        <f t="shared" si="3"/>
        <v>-7.6112389380530915E-2</v>
      </c>
      <c r="J61" s="238">
        <f t="shared" si="3"/>
        <v>-0.11614128859838359</v>
      </c>
      <c r="K61" s="238">
        <f t="shared" si="3"/>
        <v>-0.18532989797748145</v>
      </c>
      <c r="L61" s="238">
        <f t="shared" si="3"/>
        <v>9.5951173113506538E-2</v>
      </c>
      <c r="M61" s="239">
        <f t="shared" si="3"/>
        <v>0.55421996345363189</v>
      </c>
      <c r="P61" s="229"/>
      <c r="R61" s="232"/>
    </row>
    <row r="62" spans="3:18" x14ac:dyDescent="0.2">
      <c r="F62" s="235" t="s">
        <v>146</v>
      </c>
      <c r="G62" s="238">
        <f t="shared" ref="G62:M62" si="4">(H31-G31)/G31</f>
        <v>0.76056086770372555</v>
      </c>
      <c r="H62" s="238">
        <f t="shared" si="4"/>
        <v>-0.51862609291448847</v>
      </c>
      <c r="I62" s="238">
        <f t="shared" si="4"/>
        <v>-0.10661510231575035</v>
      </c>
      <c r="J62" s="238">
        <f t="shared" si="4"/>
        <v>0.41217812824909883</v>
      </c>
      <c r="K62" s="238">
        <f t="shared" si="4"/>
        <v>0.67382253447827223</v>
      </c>
      <c r="L62" s="238">
        <f t="shared" si="4"/>
        <v>0.99733147465896632</v>
      </c>
      <c r="M62" s="239">
        <f t="shared" si="4"/>
        <v>-0.7674185345955411</v>
      </c>
      <c r="P62" s="230" t="s">
        <v>144</v>
      </c>
      <c r="R62" s="232"/>
    </row>
    <row r="63" spans="3:18" x14ac:dyDescent="0.2">
      <c r="F63" s="235" t="s">
        <v>147</v>
      </c>
      <c r="G63" s="238">
        <f t="shared" ref="G63:M63" si="5">(H32-G32)/G32</f>
        <v>0.17064748201438848</v>
      </c>
      <c r="H63" s="238">
        <f t="shared" si="5"/>
        <v>-0.11281227973999529</v>
      </c>
      <c r="I63" s="238">
        <f t="shared" si="5"/>
        <v>-0.33257491519156052</v>
      </c>
      <c r="J63" s="238">
        <f t="shared" si="5"/>
        <v>-0.21672131147540991</v>
      </c>
      <c r="K63" s="238">
        <f t="shared" si="5"/>
        <v>0.18229439497118916</v>
      </c>
      <c r="L63" s="238">
        <f t="shared" si="5"/>
        <v>-1.3649327719679413E-2</v>
      </c>
      <c r="M63" s="239">
        <f t="shared" si="5"/>
        <v>-2.5369123798443156E-2</v>
      </c>
      <c r="P63" s="229" t="s">
        <v>145</v>
      </c>
      <c r="R63" s="232" cm="1">
        <f t="array" ref="R63">GEOMEAN(1+G61:M61)-1</f>
        <v>0.13379952129519301</v>
      </c>
    </row>
    <row r="64" spans="3:18" x14ac:dyDescent="0.2">
      <c r="F64" s="235" t="s">
        <v>158</v>
      </c>
      <c r="G64" s="238">
        <f t="shared" ref="G64:M64" si="6">(H33-G33)/G33</f>
        <v>0.28373359801332537</v>
      </c>
      <c r="H64" s="238">
        <f t="shared" si="6"/>
        <v>-0.19518555798161455</v>
      </c>
      <c r="I64" s="238">
        <f t="shared" si="6"/>
        <v>-6.0574718966124541E-2</v>
      </c>
      <c r="J64" s="238">
        <f t="shared" si="6"/>
        <v>0.15468803909668138</v>
      </c>
      <c r="K64" s="238">
        <f t="shared" si="6"/>
        <v>0.24744057956637949</v>
      </c>
      <c r="L64" s="238">
        <f t="shared" si="6"/>
        <v>8.4823594325149937E-2</v>
      </c>
      <c r="M64" s="239">
        <f t="shared" si="6"/>
        <v>-0.36670648746297135</v>
      </c>
      <c r="P64" s="229" t="s">
        <v>146</v>
      </c>
      <c r="R64" s="232" cm="1">
        <f t="array" ref="R64">GEOMEAN(1+G62:M62)-1</f>
        <v>-2.6037280242202643E-2</v>
      </c>
    </row>
    <row r="65" spans="6:18" x14ac:dyDescent="0.2">
      <c r="F65" s="235"/>
      <c r="G65" s="238"/>
      <c r="H65" s="238"/>
      <c r="I65" s="238"/>
      <c r="J65" s="238"/>
      <c r="K65" s="238"/>
      <c r="L65" s="238"/>
      <c r="M65" s="239"/>
      <c r="P65" s="229" t="s">
        <v>147</v>
      </c>
      <c r="R65" s="232" cm="1">
        <f t="array" ref="R65">GEOMEAN(1+G63:M63)-1</f>
        <v>-6.6635904232062115E-2</v>
      </c>
    </row>
    <row r="66" spans="6:18" x14ac:dyDescent="0.2">
      <c r="F66" s="236" t="s">
        <v>148</v>
      </c>
      <c r="G66" s="238"/>
      <c r="H66" s="238"/>
      <c r="I66" s="238"/>
      <c r="J66" s="238"/>
      <c r="K66" s="238"/>
      <c r="L66" s="238"/>
      <c r="M66" s="239"/>
      <c r="P66" s="229" t="s">
        <v>158</v>
      </c>
      <c r="R66" s="232" cm="1">
        <f t="array" ref="R66">GEOMEAN(1+G64:M64)-1</f>
        <v>-5.7459410551630175E-3</v>
      </c>
    </row>
    <row r="67" spans="6:18" x14ac:dyDescent="0.2">
      <c r="F67" s="235" t="s">
        <v>149</v>
      </c>
      <c r="G67" s="238">
        <f t="shared" ref="G67:M67" si="7">(H36-G36)/G36</f>
        <v>-0.18377734056648617</v>
      </c>
      <c r="H67" s="238">
        <f t="shared" si="7"/>
        <v>0.34545729359799116</v>
      </c>
      <c r="I67" s="238">
        <f t="shared" si="7"/>
        <v>8.7466737979878639E-2</v>
      </c>
      <c r="J67" s="238">
        <f t="shared" si="7"/>
        <v>-2.2912760258485407E-2</v>
      </c>
      <c r="K67" s="238">
        <f t="shared" si="7"/>
        <v>3.0190110174245253E-2</v>
      </c>
      <c r="L67" s="238">
        <f t="shared" si="7"/>
        <v>-2.751344757198235E-2</v>
      </c>
      <c r="M67" s="239">
        <f t="shared" si="7"/>
        <v>-0.11836949314214695</v>
      </c>
      <c r="P67" s="229"/>
      <c r="R67" s="232"/>
    </row>
    <row r="68" spans="6:18" x14ac:dyDescent="0.2">
      <c r="F68" s="235" t="s">
        <v>150</v>
      </c>
      <c r="G68" s="238">
        <f t="shared" ref="G68:M68" si="8">(H37-G37)/G37</f>
        <v>-7.9770463309088518E-2</v>
      </c>
      <c r="H68" s="238">
        <f t="shared" si="8"/>
        <v>0.43280002567266584</v>
      </c>
      <c r="I68" s="238">
        <f t="shared" si="8"/>
        <v>0.11926104793636733</v>
      </c>
      <c r="J68" s="238">
        <f t="shared" si="8"/>
        <v>-2.8811043743490847E-2</v>
      </c>
      <c r="K68" s="238">
        <f t="shared" si="8"/>
        <v>3.2782069330016032E-2</v>
      </c>
      <c r="L68" s="238">
        <f t="shared" si="8"/>
        <v>-2.2678203277133178E-2</v>
      </c>
      <c r="M68" s="239">
        <f t="shared" si="8"/>
        <v>-0.19818991362951632</v>
      </c>
      <c r="P68" s="230" t="s">
        <v>148</v>
      </c>
      <c r="R68" s="232"/>
    </row>
    <row r="69" spans="6:18" x14ac:dyDescent="0.2">
      <c r="F69" s="235" t="s">
        <v>151</v>
      </c>
      <c r="G69" s="238">
        <f t="shared" ref="G69:M69" si="9">(H38-G38)/G38</f>
        <v>-0.19833089247338492</v>
      </c>
      <c r="H69" s="238">
        <f t="shared" si="9"/>
        <v>0.43740040381456452</v>
      </c>
      <c r="I69" s="238">
        <f t="shared" si="9"/>
        <v>0.1750935287209498</v>
      </c>
      <c r="J69" s="238">
        <f t="shared" si="9"/>
        <v>-4.7509578290697484E-2</v>
      </c>
      <c r="K69" s="238">
        <f t="shared" si="9"/>
        <v>6.5149705311360717E-2</v>
      </c>
      <c r="L69" s="238">
        <f t="shared" si="9"/>
        <v>-5.7640377523711053E-2</v>
      </c>
      <c r="M69" s="239">
        <f t="shared" si="9"/>
        <v>-0.19430207598462287</v>
      </c>
      <c r="P69" s="229" t="s">
        <v>149</v>
      </c>
      <c r="R69" s="232" cm="1">
        <f t="array" ref="R69">GEOMEAN(1+G67:M67)-1</f>
        <v>4.3235347798082913E-3</v>
      </c>
    </row>
    <row r="70" spans="6:18" x14ac:dyDescent="0.2">
      <c r="F70" s="235" t="s">
        <v>152</v>
      </c>
      <c r="G70" s="238">
        <f t="shared" ref="G70:M70" si="10">(H39-G39)/G39</f>
        <v>1.0465014750823531</v>
      </c>
      <c r="H70" s="238">
        <f t="shared" si="10"/>
        <v>-0.67751656506758551</v>
      </c>
      <c r="I70" s="238">
        <f t="shared" si="10"/>
        <v>0.1070940594657994</v>
      </c>
      <c r="J70" s="238">
        <f t="shared" si="10"/>
        <v>0.98273843654434268</v>
      </c>
      <c r="K70" s="238">
        <f t="shared" si="10"/>
        <v>0.70544583709140707</v>
      </c>
      <c r="L70" s="238">
        <f t="shared" si="10"/>
        <v>0.5679580655791725</v>
      </c>
      <c r="M70" s="239">
        <f t="shared" si="10"/>
        <v>-0.77812218447524817</v>
      </c>
      <c r="P70" s="229" t="s">
        <v>150</v>
      </c>
      <c r="R70" s="232" cm="1">
        <f t="array" ref="R70">GEOMEAN(1+G68:M68)-1</f>
        <v>2.1421398475132802E-2</v>
      </c>
    </row>
    <row r="71" spans="6:18" x14ac:dyDescent="0.2">
      <c r="F71" s="235"/>
      <c r="G71" s="238"/>
      <c r="H71" s="238"/>
      <c r="I71" s="238"/>
      <c r="J71" s="238"/>
      <c r="K71" s="238"/>
      <c r="L71" s="238"/>
      <c r="M71" s="239"/>
      <c r="P71" s="229" t="s">
        <v>151</v>
      </c>
      <c r="R71" s="232" cm="1">
        <f t="array" ref="R71">GEOMEAN(1+G69:M69)-1</f>
        <v>6.0395990408139699E-3</v>
      </c>
    </row>
    <row r="72" spans="6:18" x14ac:dyDescent="0.2">
      <c r="F72" s="236" t="s">
        <v>153</v>
      </c>
      <c r="G72" s="238"/>
      <c r="H72" s="238"/>
      <c r="I72" s="238"/>
      <c r="J72" s="238"/>
      <c r="K72" s="238"/>
      <c r="L72" s="238"/>
      <c r="M72" s="239"/>
      <c r="P72" s="229" t="s">
        <v>152</v>
      </c>
      <c r="R72" s="232" cm="1">
        <f t="array" ref="R72">GEOMEAN(1+G70:M70)-1</f>
        <v>-2.1393820949295872E-2</v>
      </c>
    </row>
    <row r="73" spans="6:18" x14ac:dyDescent="0.2">
      <c r="F73" s="235" t="s">
        <v>136</v>
      </c>
      <c r="G73" s="238">
        <f t="shared" ref="G73:M73" si="11">(H42-G42)/G42</f>
        <v>5.1143579476041809</v>
      </c>
      <c r="H73" s="238">
        <f t="shared" si="11"/>
        <v>-0.79466745027764518</v>
      </c>
      <c r="I73" s="238">
        <f t="shared" si="11"/>
        <v>2.8881763802570216E-2</v>
      </c>
      <c r="J73" s="238">
        <f t="shared" si="11"/>
        <v>0.97733649378132137</v>
      </c>
      <c r="K73" s="238">
        <f t="shared" si="11"/>
        <v>0.40941134363890835</v>
      </c>
      <c r="L73" s="238">
        <f t="shared" si="11"/>
        <v>0.13649013592119577</v>
      </c>
      <c r="M73" s="239">
        <f t="shared" si="11"/>
        <v>-0.70979058830232478</v>
      </c>
      <c r="P73" s="229"/>
      <c r="R73" s="232"/>
    </row>
    <row r="74" spans="6:18" x14ac:dyDescent="0.2">
      <c r="F74" s="235" t="s">
        <v>154</v>
      </c>
      <c r="G74" s="238">
        <f t="shared" ref="G74:M74" si="12">(H43-G43)/G43</f>
        <v>0.69523147281431374</v>
      </c>
      <c r="H74" s="238">
        <f t="shared" si="12"/>
        <v>-0.25886597599619099</v>
      </c>
      <c r="I74" s="238">
        <f t="shared" si="12"/>
        <v>-4.7443198570816671E-2</v>
      </c>
      <c r="J74" s="238">
        <f t="shared" si="12"/>
        <v>0.73463093865410001</v>
      </c>
      <c r="K74" s="238">
        <f t="shared" si="12"/>
        <v>0.35866596420203267</v>
      </c>
      <c r="L74" s="238">
        <f t="shared" si="12"/>
        <v>6.835140533041785E-2</v>
      </c>
      <c r="M74" s="239">
        <f t="shared" si="12"/>
        <v>-0.33368322168714043</v>
      </c>
      <c r="P74" s="230" t="s">
        <v>153</v>
      </c>
      <c r="R74" s="232"/>
    </row>
    <row r="75" spans="6:18" x14ac:dyDescent="0.2">
      <c r="F75" s="235" t="s">
        <v>108</v>
      </c>
      <c r="G75" s="238">
        <f t="shared" ref="G75:M75" si="13">(H44-G44)/G44</f>
        <v>6.8492067276192854</v>
      </c>
      <c r="H75" s="238">
        <f t="shared" si="13"/>
        <v>-0.83474539856699059</v>
      </c>
      <c r="I75" s="238">
        <f t="shared" si="13"/>
        <v>-3.3442459889140956E-2</v>
      </c>
      <c r="J75" s="238">
        <f t="shared" si="13"/>
        <v>1.2832067986386613</v>
      </c>
      <c r="K75" s="238">
        <f t="shared" si="13"/>
        <v>0.75815690335634944</v>
      </c>
      <c r="L75" s="238">
        <f t="shared" si="13"/>
        <v>0.23289131416510994</v>
      </c>
      <c r="M75" s="239">
        <f t="shared" si="13"/>
        <v>-0.81621226229467458</v>
      </c>
      <c r="P75" s="229" t="s">
        <v>136</v>
      </c>
      <c r="R75" s="232" cm="1">
        <f t="array" ref="R75">GEOMEAN(1+G73:M73)-1</f>
        <v>2.4832301325111938E-2</v>
      </c>
    </row>
    <row r="76" spans="6:18" x14ac:dyDescent="0.2">
      <c r="F76" s="235" t="s">
        <v>106</v>
      </c>
      <c r="G76" s="238">
        <f t="shared" ref="G76:M76" si="14">(H45-G45)/G45</f>
        <v>5.2924665521224563</v>
      </c>
      <c r="H76" s="238">
        <f t="shared" si="14"/>
        <v>-0.76246296916797751</v>
      </c>
      <c r="I76" s="238">
        <f t="shared" si="14"/>
        <v>0.13579551052071034</v>
      </c>
      <c r="J76" s="238">
        <f t="shared" si="14"/>
        <v>1.1747326064848849</v>
      </c>
      <c r="K76" s="238">
        <f t="shared" si="14"/>
        <v>0.87270030750115046</v>
      </c>
      <c r="L76" s="238">
        <f t="shared" si="14"/>
        <v>0.16182699337092846</v>
      </c>
      <c r="M76" s="239">
        <f t="shared" si="14"/>
        <v>-0.85192260127133668</v>
      </c>
      <c r="P76" s="229" t="s">
        <v>154</v>
      </c>
      <c r="R76" s="232" cm="1">
        <f t="array" ref="R76">GEOMEAN(1+G74:M74)-1</f>
        <v>0.1047075660999448</v>
      </c>
    </row>
    <row r="77" spans="6:18" x14ac:dyDescent="0.2">
      <c r="F77" s="235" t="s">
        <v>155</v>
      </c>
      <c r="G77" s="238">
        <f t="shared" ref="G77:M77" si="15">(H46-G46)/G46</f>
        <v>5.4981087775382038</v>
      </c>
      <c r="H77" s="238">
        <f t="shared" si="15"/>
        <v>-0.83421244422448193</v>
      </c>
      <c r="I77" s="238">
        <f t="shared" si="15"/>
        <v>-4.6066885307200281E-2</v>
      </c>
      <c r="J77" s="238">
        <f t="shared" si="15"/>
        <v>1.2832361187223194</v>
      </c>
      <c r="K77" s="238">
        <f t="shared" si="15"/>
        <v>0.77369344408521379</v>
      </c>
      <c r="L77" s="238">
        <f t="shared" si="15"/>
        <v>0.20816199391090118</v>
      </c>
      <c r="M77" s="239">
        <f t="shared" si="15"/>
        <v>-0.79430179260991662</v>
      </c>
      <c r="P77" s="229" t="s">
        <v>108</v>
      </c>
      <c r="R77" s="232" cm="1">
        <f t="array" ref="R77">GEOMEAN(1+G75:M75)-1</f>
        <v>1.894367533027097E-2</v>
      </c>
    </row>
    <row r="78" spans="6:18" ht="17" thickBot="1" x14ac:dyDescent="0.25">
      <c r="F78" s="237" t="s">
        <v>156</v>
      </c>
      <c r="G78" s="240">
        <f t="shared" ref="G78:M78" si="16">(H47-G47)/G47</f>
        <v>1.1762255980613474</v>
      </c>
      <c r="H78" s="240">
        <f t="shared" si="16"/>
        <v>-0.40352463401053373</v>
      </c>
      <c r="I78" s="240">
        <f t="shared" si="16"/>
        <v>-0.10514405911666</v>
      </c>
      <c r="J78" s="240">
        <f t="shared" si="16"/>
        <v>1.0029575971109386</v>
      </c>
      <c r="K78" s="240">
        <f t="shared" si="16"/>
        <v>0.69485505782129753</v>
      </c>
      <c r="L78" s="240">
        <f t="shared" si="16"/>
        <v>0.15897281153286916</v>
      </c>
      <c r="M78" s="241">
        <f t="shared" si="16"/>
        <v>-0.57802590699989254</v>
      </c>
      <c r="P78" s="229" t="s">
        <v>106</v>
      </c>
      <c r="R78" s="232" cm="1">
        <f t="array" ref="R78">GEOMEAN(1+G76:M76)-1</f>
        <v>2.5097686574439004E-2</v>
      </c>
    </row>
    <row r="79" spans="6:18" x14ac:dyDescent="0.2">
      <c r="P79" s="229" t="s">
        <v>155</v>
      </c>
      <c r="R79" s="232" cm="1">
        <f t="array" ref="R79">GEOMEAN(1+G77:M77)-1</f>
        <v>4.8279324544620028E-3</v>
      </c>
    </row>
    <row r="80" spans="6:18" ht="17" thickBot="1" x14ac:dyDescent="0.25">
      <c r="F80" s="216"/>
      <c r="P80" s="231" t="s">
        <v>156</v>
      </c>
      <c r="Q80" s="28"/>
      <c r="R80" s="233" cm="1">
        <f t="array" ref="R80">GEOMEAN(1+G78:M78)-1</f>
        <v>9.8359981541942032E-2</v>
      </c>
    </row>
  </sheetData>
  <mergeCells count="7">
    <mergeCell ref="P56:R57"/>
    <mergeCell ref="AQ17:AU18"/>
    <mergeCell ref="G21:M23"/>
    <mergeCell ref="O17:S18"/>
    <mergeCell ref="V17:Z18"/>
    <mergeCell ref="AC17:AG18"/>
    <mergeCell ref="AJ17:AN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</vt:lpstr>
      <vt:lpstr>BS</vt:lpstr>
      <vt:lpstr>CF</vt:lpstr>
      <vt:lpstr>Div</vt:lpstr>
      <vt:lpstr>Rates</vt:lpstr>
      <vt:lpstr>DCF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Parker</dc:creator>
  <cp:lastModifiedBy>Reese Parker</cp:lastModifiedBy>
  <dcterms:created xsi:type="dcterms:W3CDTF">2024-08-14T17:18:16Z</dcterms:created>
  <dcterms:modified xsi:type="dcterms:W3CDTF">2025-01-02T21:00:34Z</dcterms:modified>
</cp:coreProperties>
</file>