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MyPrograms\BossTimer\"/>
    </mc:Choice>
  </mc:AlternateContent>
  <xr:revisionPtr revIDLastSave="0" documentId="13_ncr:1_{5C0B3EF1-068C-4995-BF06-92B2CB69A429}" xr6:coauthVersionLast="47" xr6:coauthVersionMax="47" xr10:uidLastSave="{00000000-0000-0000-0000-000000000000}"/>
  <bookViews>
    <workbookView xWindow="-32055" yWindow="690" windowWidth="28995" windowHeight="20115" activeTab="5" xr2:uid="{00000000-000D-0000-FFFF-FFFF00000000}"/>
  </bookViews>
  <sheets>
    <sheet name="盈利比" sheetId="4" r:id="rId1"/>
    <sheet name="性价比" sheetId="3" r:id="rId2"/>
    <sheet name="exp" sheetId="5" r:id="rId3"/>
    <sheet name="砸卷模拟" sheetId="2" r:id="rId4"/>
    <sheet name="伤害计算" sheetId="6" r:id="rId5"/>
    <sheet name="boss刷新" sheetId="7" r:id="rId6"/>
    <sheet name="__草稿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7" l="1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S55" i="5"/>
  <c r="K72" i="5"/>
  <c r="L72" i="5"/>
  <c r="J72" i="5"/>
  <c r="L35" i="6"/>
  <c r="L37" i="6"/>
  <c r="K68" i="5"/>
  <c r="J71" i="5"/>
  <c r="L71" i="5"/>
  <c r="J70" i="5"/>
  <c r="L70" i="5"/>
  <c r="K69" i="5"/>
  <c r="J69" i="5"/>
  <c r="L69" i="5"/>
  <c r="L68" i="5"/>
  <c r="J68" i="5"/>
  <c r="J67" i="5"/>
  <c r="L67" i="5"/>
  <c r="T35" i="6" a="1"/>
  <c r="X35" i="6" s="1" a="1"/>
  <c r="S35" i="6" a="1"/>
  <c r="V35" i="6" s="1" a="1"/>
  <c r="R35" i="6" a="1"/>
  <c r="Q35" i="6" a="1"/>
  <c r="N35" i="6" a="1"/>
  <c r="M35" i="6" a="1"/>
  <c r="T34" i="6" a="1"/>
  <c r="X34" i="6" s="1" a="1"/>
  <c r="S34" i="6" a="1"/>
  <c r="R34" i="6" a="1"/>
  <c r="Q34" i="6" a="1"/>
  <c r="N34" i="6" a="1"/>
  <c r="M34" i="6" a="1"/>
  <c r="M36" i="6" a="1"/>
  <c r="N36" i="6" a="1"/>
  <c r="Q36" i="6" a="1"/>
  <c r="R36" i="6" a="1"/>
  <c r="S36" i="6" a="1"/>
  <c r="U36" i="6" s="1" a="1"/>
  <c r="T36" i="6" a="1"/>
  <c r="X36" i="6" s="1" a="1"/>
  <c r="N26" i="6" a="1"/>
  <c r="N27" i="6" a="1"/>
  <c r="N28" i="6" a="1"/>
  <c r="N29" i="6" a="1"/>
  <c r="N30" i="6" a="1"/>
  <c r="N31" i="6" a="1"/>
  <c r="N32" i="6" a="1"/>
  <c r="N33" i="6" a="1"/>
  <c r="T26" i="6" a="1"/>
  <c r="T27" i="6" a="1"/>
  <c r="T28" i="6" a="1"/>
  <c r="T29" i="6" a="1"/>
  <c r="T30" i="6" a="1"/>
  <c r="T31" i="6" a="1"/>
  <c r="T32" i="6" a="1"/>
  <c r="T33" i="6" a="1"/>
  <c r="S26" i="6" a="1"/>
  <c r="S27" i="6" a="1"/>
  <c r="S28" i="6" a="1"/>
  <c r="S29" i="6" a="1"/>
  <c r="S30" i="6" a="1"/>
  <c r="S31" i="6" a="1"/>
  <c r="S32" i="6" a="1"/>
  <c r="S33" i="6" a="1"/>
  <c r="R26" i="6" a="1"/>
  <c r="R27" i="6" a="1"/>
  <c r="R28" i="6" a="1"/>
  <c r="R29" i="6" a="1"/>
  <c r="R30" i="6" a="1"/>
  <c r="R31" i="6" a="1"/>
  <c r="R32" i="6" a="1"/>
  <c r="R33" i="6" a="1"/>
  <c r="Q26" i="6" a="1"/>
  <c r="Q27" i="6" a="1"/>
  <c r="Q28" i="6" a="1"/>
  <c r="Q29" i="6" a="1"/>
  <c r="Q30" i="6" a="1"/>
  <c r="Q31" i="6" a="1"/>
  <c r="Q32" i="6" a="1"/>
  <c r="Q33" i="6" a="1"/>
  <c r="M26" i="6" a="1"/>
  <c r="M27" i="6" a="1"/>
  <c r="M28" i="6" a="1"/>
  <c r="M29" i="6" a="1"/>
  <c r="M30" i="6" a="1"/>
  <c r="M31" i="6" a="1"/>
  <c r="M32" i="6" a="1"/>
  <c r="M33" i="6" a="1"/>
  <c r="C7" i="2" a="1"/>
  <c r="C8" i="2" a="1"/>
  <c r="C9" i="2" a="1"/>
  <c r="C10" i="2" a="1"/>
  <c r="C11" i="2" a="1"/>
  <c r="C12" i="2" a="1"/>
  <c r="C13" i="2" a="1"/>
  <c r="C14" i="2" a="1"/>
  <c r="C15" i="2" a="1"/>
  <c r="C16" i="2" a="1"/>
  <c r="K66" i="5"/>
  <c r="J66" i="5"/>
  <c r="L66" i="5"/>
  <c r="J65" i="5"/>
  <c r="L65" i="5"/>
  <c r="K64" i="5"/>
  <c r="J64" i="5"/>
  <c r="L64" i="5"/>
  <c r="J63" i="5"/>
  <c r="L63" i="5"/>
  <c r="K62" i="5"/>
  <c r="J62" i="5"/>
  <c r="L62" i="5"/>
  <c r="J61" i="5"/>
  <c r="L61" i="5"/>
  <c r="J60" i="5"/>
  <c r="L60" i="5"/>
  <c r="J59" i="5"/>
  <c r="L59" i="5"/>
  <c r="J58" i="5"/>
  <c r="L58" i="5"/>
  <c r="J57" i="5"/>
  <c r="L57" i="5"/>
  <c r="J56" i="5"/>
  <c r="L56" i="5"/>
  <c r="K55" i="5"/>
  <c r="L55" i="5" s="1"/>
  <c r="J55" i="5"/>
  <c r="Q41" i="3"/>
  <c r="J23" i="3"/>
  <c r="J22" i="3"/>
  <c r="J21" i="3"/>
  <c r="J54" i="5"/>
  <c r="L54" i="5"/>
  <c r="K52" i="5"/>
  <c r="K53" i="5"/>
  <c r="J53" i="5"/>
  <c r="L53" i="5"/>
  <c r="J52" i="5"/>
  <c r="L52" i="5"/>
  <c r="K51" i="5"/>
  <c r="S9" i="5"/>
  <c r="S10" i="5"/>
  <c r="S11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J51" i="5"/>
  <c r="L51" i="5"/>
  <c r="E6" i="3"/>
  <c r="K50" i="5"/>
  <c r="L50" i="5" s="1"/>
  <c r="J50" i="5"/>
  <c r="K23" i="3"/>
  <c r="J24" i="3"/>
  <c r="K25" i="3" s="1"/>
  <c r="K24" i="3"/>
  <c r="K22" i="3"/>
  <c r="K21" i="3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K49" i="5"/>
  <c r="L49" i="5"/>
  <c r="S26" i="3"/>
  <c r="R27" i="3" s="1"/>
  <c r="R32" i="3"/>
  <c r="R29" i="3"/>
  <c r="K8" i="3" a="1"/>
  <c r="J8" i="3" a="1"/>
  <c r="L48" i="5"/>
  <c r="K47" i="5"/>
  <c r="L47" i="5"/>
  <c r="K20" i="3"/>
  <c r="Q18" i="3"/>
  <c r="R18" i="3" s="1" a="1"/>
  <c r="K29" i="3"/>
  <c r="K28" i="3"/>
  <c r="K27" i="3"/>
  <c r="K26" i="3"/>
  <c r="K34" i="3"/>
  <c r="K33" i="3"/>
  <c r="K30" i="3"/>
  <c r="K13" i="3"/>
  <c r="K14" i="3"/>
  <c r="K15" i="3"/>
  <c r="K16" i="3"/>
  <c r="K17" i="3"/>
  <c r="K18" i="3"/>
  <c r="K19" i="3"/>
  <c r="K31" i="3"/>
  <c r="K32" i="3"/>
  <c r="L46" i="5"/>
  <c r="L45" i="5"/>
  <c r="L44" i="5"/>
  <c r="L43" i="5"/>
  <c r="L42" i="5"/>
  <c r="J43" i="2"/>
  <c r="K42" i="2"/>
  <c r="L40" i="2"/>
  <c r="J32" i="2"/>
  <c r="L29" i="2"/>
  <c r="K30" i="2"/>
  <c r="L30" i="2" s="1"/>
  <c r="K31" i="2"/>
  <c r="L41" i="5"/>
  <c r="L40" i="5"/>
  <c r="K39" i="5"/>
  <c r="L39" i="5" s="1"/>
  <c r="K38" i="5"/>
  <c r="L38" i="5"/>
  <c r="L37" i="5"/>
  <c r="L36" i="5"/>
  <c r="L35" i="5"/>
  <c r="L33" i="5"/>
  <c r="K34" i="5"/>
  <c r="L34" i="5" s="1"/>
  <c r="L24" i="4"/>
  <c r="L23" i="4"/>
  <c r="L22" i="4"/>
  <c r="C6" i="3"/>
  <c r="L23" i="3" s="1" a="1"/>
  <c r="V27" i="6" l="1" a="1"/>
  <c r="U27" i="6" a="1"/>
  <c r="V28" i="6" a="1"/>
  <c r="U28" i="6" a="1"/>
  <c r="V29" i="6" a="1"/>
  <c r="U29" i="6" a="1"/>
  <c r="V30" i="6" a="1"/>
  <c r="U30" i="6" a="1"/>
  <c r="W35" i="6" a="1"/>
  <c r="U35" i="6" a="1"/>
  <c r="W34" i="6" a="1"/>
  <c r="U34" i="6" a="1"/>
  <c r="V34" i="6" a="1"/>
  <c r="W36" i="6" a="1"/>
  <c r="V36" i="6" a="1"/>
  <c r="U26" i="6" a="1"/>
  <c r="V26" i="6" a="1"/>
  <c r="U31" i="6" a="1"/>
  <c r="V31" i="6" a="1"/>
  <c r="U32" i="6" a="1"/>
  <c r="V32" i="6" a="1"/>
  <c r="U33" i="6" a="1"/>
  <c r="V33" i="6" a="1"/>
  <c r="O35" i="6" a="1"/>
  <c r="P35" i="6" a="1"/>
  <c r="O34" i="6" a="1"/>
  <c r="P34" i="6" a="1"/>
  <c r="O36" i="6" a="1"/>
  <c r="P36" i="6" a="1"/>
  <c r="O26" i="6" a="1"/>
  <c r="P26" i="6" a="1"/>
  <c r="O27" i="6" a="1"/>
  <c r="P27" i="6" a="1"/>
  <c r="O28" i="6" a="1"/>
  <c r="P28" i="6" a="1"/>
  <c r="O29" i="6" a="1"/>
  <c r="P29" i="6" a="1"/>
  <c r="O30" i="6" a="1"/>
  <c r="P30" i="6" a="1"/>
  <c r="O31" i="6" a="1"/>
  <c r="P31" i="6" a="1"/>
  <c r="O32" i="6" a="1"/>
  <c r="P32" i="6" a="1"/>
  <c r="O33" i="6" a="1"/>
  <c r="P33" i="6" a="1"/>
  <c r="N37" i="6" a="1"/>
  <c r="R37" i="6" a="1"/>
  <c r="S37" i="6" a="1"/>
  <c r="T37" i="6" a="1"/>
  <c r="X37" i="6" s="1" a="1"/>
  <c r="M37" i="6" a="1"/>
  <c r="Q37" i="6" a="1"/>
  <c r="T38" i="6" a="1"/>
  <c r="X38" i="6" s="1" a="1"/>
  <c r="S38" i="6" a="1"/>
  <c r="R38" i="6" a="1"/>
  <c r="Q38" i="6" a="1"/>
  <c r="N38" i="6" a="1"/>
  <c r="M38" i="6" a="1"/>
  <c r="L20" i="3" a="1"/>
  <c r="T27" i="3" a="1"/>
  <c r="I8" i="3" a="1"/>
  <c r="L15" i="3" a="1"/>
  <c r="L29" i="3" a="1"/>
  <c r="L28" i="3" a="1"/>
  <c r="R30" i="3" s="1"/>
  <c r="L34" i="3" a="1"/>
  <c r="L33" i="3" a="1"/>
  <c r="L30" i="3" a="1"/>
  <c r="L16" i="3" a="1"/>
  <c r="L17" i="3" a="1"/>
  <c r="L18" i="3" a="1"/>
  <c r="L22" i="3" a="1"/>
  <c r="L25" i="3" a="1"/>
  <c r="L26" i="3" a="1"/>
  <c r="L27" i="3" a="1"/>
  <c r="L32" i="3" a="1"/>
  <c r="L24" i="3" a="1"/>
  <c r="L21" i="3" a="1"/>
  <c r="L19" i="3" a="1"/>
  <c r="L31" i="3" a="1"/>
  <c r="L13" i="3" a="1"/>
  <c r="L14" i="3" a="1"/>
  <c r="H42" i="2" a="1"/>
  <c r="H41" i="2" a="1"/>
  <c r="H40" i="2" a="1"/>
  <c r="L31" i="2"/>
  <c r="L42" i="2"/>
  <c r="L41" i="2"/>
  <c r="L32" i="2"/>
  <c r="H29" i="2" a="1"/>
  <c r="I29" i="2" s="1"/>
  <c r="H30" i="2" a="1"/>
  <c r="I30" i="2" s="1"/>
  <c r="H31" i="2" a="1"/>
  <c r="I31" i="2" s="1"/>
  <c r="E4" i="2" a="1"/>
  <c r="W37" i="6" l="1" a="1"/>
  <c r="U37" i="6" a="1"/>
  <c r="V37" i="6" a="1"/>
  <c r="W38" i="6" a="1"/>
  <c r="U38" i="6" a="1"/>
  <c r="V38" i="6" a="1"/>
  <c r="E7" i="2" a="1"/>
  <c r="E9" i="2" a="1"/>
  <c r="E8" i="2" a="1"/>
  <c r="E10" i="2" a="1"/>
  <c r="E11" i="2" a="1"/>
  <c r="E12" i="2" a="1"/>
  <c r="E13" i="2" a="1"/>
  <c r="E14" i="2" a="1"/>
  <c r="E15" i="2" a="1"/>
  <c r="E16" i="2" a="1"/>
  <c r="D7" i="2" a="1"/>
  <c r="D8" i="2" a="1"/>
  <c r="D9" i="2" a="1"/>
  <c r="D10" i="2" a="1"/>
  <c r="D11" i="2" a="1"/>
  <c r="D12" i="2" a="1"/>
  <c r="D13" i="2" a="1"/>
  <c r="D14" i="2" a="1"/>
  <c r="D15" i="2" a="1"/>
  <c r="D16" i="2" a="1"/>
  <c r="O37" i="6" a="1"/>
  <c r="P37" i="6" a="1"/>
  <c r="O38" i="6" a="1"/>
  <c r="P38" i="6" a="1"/>
  <c r="X33" i="6" a="1"/>
  <c r="W33" i="6" a="1"/>
  <c r="N20" i="3"/>
  <c r="N28" i="3"/>
  <c r="N29" i="3"/>
  <c r="N30" i="3"/>
  <c r="N19" i="3"/>
  <c r="N17" i="3"/>
  <c r="N16" i="3"/>
  <c r="N24" i="3"/>
  <c r="N25" i="3"/>
  <c r="N27" i="3"/>
  <c r="N13" i="3"/>
  <c r="N15" i="3"/>
  <c r="N22" i="3"/>
  <c r="N18" i="3"/>
  <c r="N14" i="3"/>
  <c r="N26" i="3"/>
  <c r="N21" i="3"/>
  <c r="M42" i="2"/>
  <c r="I42" i="2"/>
  <c r="N42" i="2" s="1"/>
  <c r="I41" i="2"/>
  <c r="N41" i="2" s="1"/>
  <c r="M41" i="2"/>
  <c r="M40" i="2"/>
  <c r="I40" i="2"/>
  <c r="N40" i="2" s="1"/>
  <c r="N29" i="2"/>
  <c r="N30" i="2"/>
  <c r="N31" i="2"/>
  <c r="L43" i="2"/>
  <c r="M29" i="2"/>
  <c r="O29" i="2" s="1"/>
  <c r="M30" i="2"/>
  <c r="O30" i="2" s="1"/>
  <c r="M31" i="2"/>
  <c r="O31" i="2" s="1"/>
  <c r="X30" i="6" l="1" a="1"/>
  <c r="W30" i="6" a="1"/>
  <c r="X28" i="6" a="1"/>
  <c r="W28" i="6" a="1"/>
  <c r="W26" i="6" a="1"/>
  <c r="X26" i="6" a="1"/>
  <c r="X32" i="6" a="1"/>
  <c r="W32" i="6" a="1"/>
  <c r="X27" i="6" a="1"/>
  <c r="W27" i="6" a="1"/>
  <c r="X31" i="6" a="1"/>
  <c r="W31" i="6" a="1"/>
  <c r="X29" i="6" a="1"/>
  <c r="W29" i="6" a="1"/>
  <c r="M43" i="2"/>
  <c r="N43" i="2"/>
  <c r="O32" i="2"/>
  <c r="N32" i="2"/>
  <c r="M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Locker</author>
  </authors>
  <commentList>
    <comment ref="O58" authorId="0" shapeId="0" xr:uid="{475DC68E-827C-452E-9A0A-1DB5F7B2C937}">
      <text>
        <r>
          <rPr>
            <b/>
            <sz val="9"/>
            <color indexed="81"/>
            <rFont val="宋体"/>
            <family val="3"/>
            <charset val="134"/>
          </rPr>
          <t>Locker: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<sst xmlns="http://schemas.openxmlformats.org/spreadsheetml/2006/main" count="275" uniqueCount="241">
  <si>
    <t>卷概率</t>
    <phoneticPr fontId="1" type="noConversion"/>
  </si>
  <si>
    <t>次数</t>
    <phoneticPr fontId="1" type="noConversion"/>
  </si>
  <si>
    <t>预期成功</t>
    <phoneticPr fontId="1" type="noConversion"/>
  </si>
  <si>
    <t>几率</t>
    <phoneticPr fontId="1" type="noConversion"/>
  </si>
  <si>
    <t>当前金价1w</t>
    <phoneticPr fontId="1" type="noConversion"/>
  </si>
  <si>
    <t>税后金价</t>
    <phoneticPr fontId="1" type="noConversion"/>
  </si>
  <si>
    <t>活力神水</t>
    <phoneticPr fontId="1" type="noConversion"/>
  </si>
  <si>
    <t>拍卖行</t>
    <phoneticPr fontId="1" type="noConversion"/>
  </si>
  <si>
    <t>商店</t>
    <phoneticPr fontId="1" type="noConversion"/>
  </si>
  <si>
    <t>盈利价格</t>
    <phoneticPr fontId="1" type="noConversion"/>
  </si>
  <si>
    <t>列1</t>
  </si>
  <si>
    <t>蓝色药水</t>
    <phoneticPr fontId="1" type="noConversion"/>
  </si>
  <si>
    <t>卷价值</t>
    <phoneticPr fontId="1" type="noConversion"/>
  </si>
  <si>
    <t>价值</t>
    <phoneticPr fontId="1" type="noConversion"/>
  </si>
  <si>
    <t>卷拍卖行价w</t>
    <phoneticPr fontId="1" type="noConversion"/>
  </si>
  <si>
    <t>猴子沼泽2</t>
    <phoneticPr fontId="1" type="noConversion"/>
  </si>
  <si>
    <t>时间min</t>
    <phoneticPr fontId="1" type="noConversion"/>
  </si>
  <si>
    <t>exp/h（万）</t>
    <phoneticPr fontId="1" type="noConversion"/>
  </si>
  <si>
    <t>开始</t>
    <phoneticPr fontId="1" type="noConversion"/>
  </si>
  <si>
    <t>结束</t>
    <phoneticPr fontId="1" type="noConversion"/>
  </si>
  <si>
    <t>等级</t>
    <phoneticPr fontId="1" type="noConversion"/>
  </si>
  <si>
    <t>升级所需</t>
    <phoneticPr fontId="1" type="noConversion"/>
  </si>
  <si>
    <t>经验表</t>
    <phoneticPr fontId="1" type="noConversion"/>
  </si>
  <si>
    <t>开始lv</t>
    <phoneticPr fontId="1" type="noConversion"/>
  </si>
  <si>
    <t>结束lv</t>
    <phoneticPr fontId="1" type="noConversion"/>
  </si>
  <si>
    <t>源</t>
    <phoneticPr fontId="1" type="noConversion"/>
  </si>
  <si>
    <t>金价表</t>
    <phoneticPr fontId="1" type="noConversion"/>
  </si>
  <si>
    <t>单价</t>
    <phoneticPr fontId="1" type="noConversion"/>
  </si>
  <si>
    <t>rmb</t>
    <phoneticPr fontId="1" type="noConversion"/>
  </si>
  <si>
    <t>换乘区</t>
    <phoneticPr fontId="1" type="noConversion"/>
  </si>
  <si>
    <t>猴子森林1</t>
    <phoneticPr fontId="1" type="noConversion"/>
  </si>
  <si>
    <t>代练dd373 32/h</t>
    <phoneticPr fontId="1" type="noConversion"/>
  </si>
  <si>
    <t>代练淘宝 30/h</t>
    <phoneticPr fontId="1" type="noConversion"/>
  </si>
  <si>
    <t>代练35</t>
    <phoneticPr fontId="1" type="noConversion"/>
  </si>
  <si>
    <t>猴子沼泽2</t>
    <phoneticPr fontId="1" type="noConversion"/>
  </si>
  <si>
    <t>敏捷价格</t>
    <phoneticPr fontId="1" type="noConversion"/>
  </si>
  <si>
    <t>命中</t>
    <phoneticPr fontId="1" type="noConversion"/>
  </si>
  <si>
    <t>移速</t>
    <phoneticPr fontId="1" type="noConversion"/>
  </si>
  <si>
    <t>敏捷</t>
    <phoneticPr fontId="1" type="noConversion"/>
  </si>
  <si>
    <t>模拟数量</t>
    <phoneticPr fontId="1" type="noConversion"/>
  </si>
  <si>
    <t>总敏捷</t>
    <phoneticPr fontId="1" type="noConversion"/>
  </si>
  <si>
    <t>成功数量</t>
    <phoneticPr fontId="1" type="noConversion"/>
  </si>
  <si>
    <t>造价</t>
    <phoneticPr fontId="1" type="noConversion"/>
  </si>
  <si>
    <t>风险造价</t>
    <phoneticPr fontId="1" type="noConversion"/>
  </si>
  <si>
    <t>卷轴参数</t>
    <phoneticPr fontId="1" type="noConversion"/>
  </si>
  <si>
    <t>算</t>
    <phoneticPr fontId="1" type="noConversion"/>
  </si>
  <si>
    <t>等级</t>
    <phoneticPr fontId="1" type="noConversion"/>
  </si>
  <si>
    <t>怪物</t>
    <phoneticPr fontId="1" type="noConversion"/>
  </si>
  <si>
    <t>exp</t>
    <phoneticPr fontId="1" type="noConversion"/>
  </si>
  <si>
    <t>每下exp</t>
    <phoneticPr fontId="1" type="noConversion"/>
  </si>
  <si>
    <t>击杀次数</t>
    <phoneticPr fontId="1" type="noConversion"/>
  </si>
  <si>
    <t>石头人</t>
    <phoneticPr fontId="1" type="noConversion"/>
  </si>
  <si>
    <t>猴子</t>
    <phoneticPr fontId="1" type="noConversion"/>
  </si>
  <si>
    <t>每点敏捷价格</t>
    <phoneticPr fontId="1" type="noConversion"/>
  </si>
  <si>
    <t>总价格</t>
    <phoneticPr fontId="1" type="noConversion"/>
  </si>
  <si>
    <t>成本造价</t>
    <phoneticPr fontId="1" type="noConversion"/>
  </si>
  <si>
    <t>鳄鱼潭I</t>
    <phoneticPr fontId="1" type="noConversion"/>
  </si>
  <si>
    <t>代练</t>
    <phoneticPr fontId="1" type="noConversion"/>
  </si>
  <si>
    <t>黑鳄鱼</t>
    <phoneticPr fontId="1" type="noConversion"/>
  </si>
  <si>
    <t>攻击上限 = [运气×0.036 + (力量+敏捷)×0.01] × 总攻击力</t>
  </si>
  <si>
    <t>[运气×0.036 + (力+敏)×0.01] × 总攻击力</t>
  </si>
  <si>
    <t>攻击下限 = [运气×0.03233×熟练度 + (力量+敏捷)×0.01] × 总攻击力</t>
  </si>
  <si>
    <t xml:space="preserve">    × 技能倍率（双飞150%/多重180%等）</t>
  </si>
  <si>
    <t xml:space="preserve">    × 强力投掷期望4.5倍（随机波动大）</t>
  </si>
  <si>
    <t xml:space="preserve">    - 怪物防御</t>
  </si>
  <si>
    <t xml:space="preserve">    × 怪物防御系数N（随等级曲线变动，约4.5左右）</t>
  </si>
  <si>
    <t>常量表</t>
    <phoneticPr fontId="1" type="noConversion"/>
  </si>
  <si>
    <t>熟练度系数</t>
    <phoneticPr fontId="1" type="noConversion"/>
  </si>
  <si>
    <t>力量</t>
    <phoneticPr fontId="1" type="noConversion"/>
  </si>
  <si>
    <t>MAX = TotalWATK × (1.0 + (LUK × 2.5 + STR + DEX) / 100 + AttackPower / 50)</t>
  </si>
  <si>
    <t>MIN = TotalWATK × (0.8 + (LUK × M × 2.5 + STR + DEX) / 100 + AttackPower / 50)</t>
  </si>
  <si>
    <t>技能倍率</t>
    <phoneticPr fontId="1" type="noConversion"/>
  </si>
  <si>
    <t>暴击倍率</t>
    <phoneticPr fontId="1" type="noConversion"/>
  </si>
  <si>
    <t>暴击几率</t>
    <phoneticPr fontId="1" type="noConversion"/>
  </si>
  <si>
    <t>暴击伤害min</t>
  </si>
  <si>
    <t>暴击伤害max</t>
  </si>
  <si>
    <t>怪物防御</t>
    <phoneticPr fontId="1" type="noConversion"/>
  </si>
  <si>
    <t>怪物参数</t>
    <phoneticPr fontId="1" type="noConversion"/>
  </si>
  <si>
    <t>min系数</t>
    <phoneticPr fontId="1" type="noConversion"/>
  </si>
  <si>
    <t>max系数</t>
    <phoneticPr fontId="1" type="noConversion"/>
  </si>
  <si>
    <t>实际伤害max</t>
  </si>
  <si>
    <t>实际伤害min</t>
  </si>
  <si>
    <t>等级差</t>
    <phoneticPr fontId="1" type="noConversion"/>
  </si>
  <si>
    <t>伤害下限系数</t>
    <phoneticPr fontId="1" type="noConversion"/>
  </si>
  <si>
    <t>运气</t>
    <phoneticPr fontId="1" type="noConversion"/>
  </si>
  <si>
    <t>备注</t>
    <phoneticPr fontId="1" type="noConversion"/>
  </si>
  <si>
    <t>商品名称</t>
    <phoneticPr fontId="1" type="noConversion"/>
  </si>
  <si>
    <t>等价rmb</t>
    <phoneticPr fontId="1" type="noConversion"/>
  </si>
  <si>
    <t>工地手套+6</t>
    <phoneticPr fontId="1" type="noConversion"/>
  </si>
  <si>
    <t>提升</t>
    <phoneticPr fontId="1" type="noConversion"/>
  </si>
  <si>
    <t>每点提升价格</t>
    <phoneticPr fontId="1" type="noConversion"/>
  </si>
  <si>
    <t>工地手套+7</t>
    <phoneticPr fontId="1" type="noConversion"/>
  </si>
  <si>
    <t>工地手套+5</t>
    <phoneticPr fontId="1" type="noConversion"/>
  </si>
  <si>
    <t>工地手套+2</t>
  </si>
  <si>
    <t>工地手套+3</t>
  </si>
  <si>
    <t>工地手套+4</t>
  </si>
  <si>
    <t>购买价格w</t>
    <phoneticPr fontId="1" type="noConversion"/>
  </si>
  <si>
    <t>制作价格</t>
    <phoneticPr fontId="1" type="noConversion"/>
  </si>
  <si>
    <t>手套攻击卷轴10%</t>
    <phoneticPr fontId="1" type="noConversion"/>
  </si>
  <si>
    <t>手套攻击卷轴60%</t>
    <phoneticPr fontId="1" type="noConversion"/>
  </si>
  <si>
    <t>工地手套+8</t>
  </si>
  <si>
    <t>差价（含税）</t>
    <phoneticPr fontId="1" type="noConversion"/>
  </si>
  <si>
    <t>拳套攻击卷轴10%</t>
    <phoneticPr fontId="1" type="noConversion"/>
  </si>
  <si>
    <t>拳套攻击卷轴60%</t>
    <phoneticPr fontId="1" type="noConversion"/>
  </si>
  <si>
    <t>工地手套+9</t>
  </si>
  <si>
    <t>代练 2026/8/16</t>
    <phoneticPr fontId="1" type="noConversion"/>
  </si>
  <si>
    <t>遗迹2</t>
    <phoneticPr fontId="1" type="noConversion"/>
  </si>
  <si>
    <t>出售商品价格</t>
    <phoneticPr fontId="1" type="noConversion"/>
  </si>
  <si>
    <t>比40攻便宜</t>
    <phoneticPr fontId="1" type="noConversion"/>
  </si>
  <si>
    <t>卷轴成本</t>
    <phoneticPr fontId="1" type="noConversion"/>
  </si>
  <si>
    <t>拳套成本</t>
    <phoneticPr fontId="1" type="noConversion"/>
  </si>
  <si>
    <t>成品价格</t>
    <phoneticPr fontId="1" type="noConversion"/>
  </si>
  <si>
    <t>去掉卷轴成本</t>
    <phoneticPr fontId="1" type="noConversion"/>
  </si>
  <si>
    <t>100卷成本</t>
    <phoneticPr fontId="1" type="noConversion"/>
  </si>
  <si>
    <t>代练 2026/8/18</t>
    <phoneticPr fontId="1" type="noConversion"/>
  </si>
  <si>
    <t>拳套+43</t>
  </si>
  <si>
    <t>拳套+44</t>
  </si>
  <si>
    <t>拳套+45</t>
  </si>
  <si>
    <t>拳套+46</t>
  </si>
  <si>
    <t>代练 2026/8/19</t>
    <phoneticPr fontId="1" type="noConversion"/>
  </si>
  <si>
    <t>总经验(万)</t>
    <phoneticPr fontId="1" type="noConversion"/>
  </si>
  <si>
    <t>代练 2026/8/20</t>
    <phoneticPr fontId="1" type="noConversion"/>
  </si>
  <si>
    <t>升级所需(万)</t>
    <phoneticPr fontId="1" type="noConversion"/>
  </si>
  <si>
    <t>有人蹲</t>
    <phoneticPr fontId="1" type="noConversion"/>
  </si>
  <si>
    <t>有眼</t>
    <phoneticPr fontId="1" type="noConversion"/>
  </si>
  <si>
    <t>有眼x2</t>
    <phoneticPr fontId="1" type="noConversion"/>
  </si>
  <si>
    <t>面板max</t>
    <phoneticPr fontId="1" type="noConversion"/>
  </si>
  <si>
    <t>面板min</t>
    <phoneticPr fontId="1" type="noConversion"/>
  </si>
  <si>
    <t>面板主属性系数</t>
    <phoneticPr fontId="1" type="noConversion"/>
  </si>
  <si>
    <t>面板副属性系数</t>
    <phoneticPr fontId="1" type="noConversion"/>
  </si>
  <si>
    <t>70_80预估</t>
    <phoneticPr fontId="1" type="noConversion"/>
  </si>
  <si>
    <t>冰冷的摇篮</t>
    <phoneticPr fontId="1" type="noConversion"/>
  </si>
  <si>
    <t>拳套+47</t>
  </si>
  <si>
    <t>拳套+48</t>
  </si>
  <si>
    <t>拳套+49</t>
  </si>
  <si>
    <t>拳套+50</t>
  </si>
  <si>
    <t>拳套+51</t>
  </si>
  <si>
    <t>拳套+52</t>
  </si>
  <si>
    <t>第1天</t>
    <phoneticPr fontId="1" type="noConversion"/>
  </si>
  <si>
    <t>第2天</t>
    <phoneticPr fontId="1" type="noConversion"/>
  </si>
  <si>
    <t>地铁一号线&lt;4&gt;</t>
    <phoneticPr fontId="1" type="noConversion"/>
  </si>
  <si>
    <t>月妙</t>
    <phoneticPr fontId="1" type="noConversion"/>
  </si>
  <si>
    <t>第3天</t>
    <phoneticPr fontId="1" type="noConversion"/>
  </si>
  <si>
    <t>巨人之森大乱斗</t>
    <phoneticPr fontId="1" type="noConversion"/>
  </si>
  <si>
    <t>第4天</t>
    <phoneticPr fontId="1" type="noConversion"/>
  </si>
  <si>
    <t>鳄鱼大乱斗</t>
    <phoneticPr fontId="1" type="noConversion"/>
  </si>
  <si>
    <t>第5天</t>
    <phoneticPr fontId="1" type="noConversion"/>
  </si>
  <si>
    <t>成本价</t>
    <phoneticPr fontId="1" type="noConversion"/>
  </si>
  <si>
    <t>智力</t>
    <phoneticPr fontId="1" type="noConversion"/>
  </si>
  <si>
    <t>武器攻击</t>
    <phoneticPr fontId="1" type="noConversion"/>
  </si>
  <si>
    <t>飞镖攻击</t>
    <phoneticPr fontId="1" type="noConversion"/>
  </si>
  <si>
    <t>手套攻击</t>
    <phoneticPr fontId="1" type="noConversion"/>
  </si>
  <si>
    <t>Link攻击</t>
    <phoneticPr fontId="1" type="noConversion"/>
  </si>
  <si>
    <t>双飞斩max</t>
    <phoneticPr fontId="1" type="noConversion"/>
  </si>
  <si>
    <t>双飞斩min</t>
    <phoneticPr fontId="1" type="noConversion"/>
  </si>
  <si>
    <t>双飞斩运气系数min</t>
    <phoneticPr fontId="1" type="noConversion"/>
  </si>
  <si>
    <t>双飞斩运气系数max</t>
    <phoneticPr fontId="1" type="noConversion"/>
  </si>
  <si>
    <t>手套+1G</t>
    <phoneticPr fontId="1" type="noConversion"/>
  </si>
  <si>
    <t>手套+2G</t>
    <phoneticPr fontId="1" type="noConversion"/>
  </si>
  <si>
    <t>手套+3G</t>
    <phoneticPr fontId="1" type="noConversion"/>
  </si>
  <si>
    <t>无手套</t>
    <phoneticPr fontId="1" type="noConversion"/>
  </si>
  <si>
    <t>手套+4G</t>
    <phoneticPr fontId="1" type="noConversion"/>
  </si>
  <si>
    <t>手套+5G</t>
    <phoneticPr fontId="1" type="noConversion"/>
  </si>
  <si>
    <t>手套+6G</t>
    <phoneticPr fontId="1" type="noConversion"/>
  </si>
  <si>
    <t>手套+7G</t>
    <phoneticPr fontId="1" type="noConversion"/>
  </si>
  <si>
    <t>敏刀</t>
    <phoneticPr fontId="1" type="noConversion"/>
  </si>
  <si>
    <t>力刀60</t>
    <phoneticPr fontId="1" type="noConversion"/>
  </si>
  <si>
    <t>力刀70</t>
    <phoneticPr fontId="1" type="noConversion"/>
  </si>
  <si>
    <t>攻击+1</t>
    <phoneticPr fontId="1" type="noConversion"/>
  </si>
  <si>
    <t>运气+</t>
    <phoneticPr fontId="1" type="noConversion"/>
  </si>
  <si>
    <t>攻击+1提升面板</t>
    <phoneticPr fontId="1" type="noConversion"/>
  </si>
  <si>
    <t>运气+5提升面板</t>
    <phoneticPr fontId="1" type="noConversion"/>
  </si>
  <si>
    <t>攻击+1提升伤害</t>
    <phoneticPr fontId="1" type="noConversion"/>
  </si>
  <si>
    <t>运气+5提升伤害</t>
    <phoneticPr fontId="1" type="noConversion"/>
  </si>
  <si>
    <t>到90预估</t>
    <phoneticPr fontId="1" type="noConversion"/>
  </si>
  <si>
    <t>遗迹4</t>
    <phoneticPr fontId="1" type="noConversion"/>
  </si>
  <si>
    <t>到100预估</t>
    <phoneticPr fontId="1" type="noConversion"/>
  </si>
  <si>
    <t>ID</t>
    <phoneticPr fontId="1" type="noConversion"/>
  </si>
  <si>
    <t>蝙蝠魔克星</t>
    <phoneticPr fontId="1" type="noConversion"/>
  </si>
  <si>
    <t>频道</t>
  </si>
  <si>
    <t>频道</t>
    <phoneticPr fontId="1" type="noConversion"/>
  </si>
  <si>
    <t>蝙蝠魔克星1</t>
    <phoneticPr fontId="1" type="noConversion"/>
  </si>
  <si>
    <t>蝙蝠魔克星2</t>
    <phoneticPr fontId="1" type="noConversion"/>
  </si>
  <si>
    <t>蝙蝠魔克星3</t>
  </si>
  <si>
    <t>蝙蝠魔克星4</t>
  </si>
  <si>
    <t>蝙蝠魔克星5</t>
  </si>
  <si>
    <t>蝙蝠魔克星6</t>
  </si>
  <si>
    <t>蝙蝠魔克星7</t>
  </si>
  <si>
    <t>蝙蝠魔克星8</t>
  </si>
  <si>
    <t>蝙蝠魔克星9</t>
  </si>
  <si>
    <t>蝙蝠魔克星10</t>
  </si>
  <si>
    <t>蝙蝠魔克星11</t>
  </si>
  <si>
    <t>蝙蝠魔克星12</t>
  </si>
  <si>
    <t>蝙蝠魔克星13</t>
  </si>
  <si>
    <t>蝙蝠魔克星14</t>
  </si>
  <si>
    <t>蝙蝠魔克星15</t>
  </si>
  <si>
    <t>蝙蝠魔克星16</t>
  </si>
  <si>
    <t>蝙蝠魔克星17</t>
  </si>
  <si>
    <t>蝙蝠魔克星18</t>
  </si>
  <si>
    <t>蝙蝠魔克星19</t>
  </si>
  <si>
    <t>蝙蝠魔克星20</t>
  </si>
  <si>
    <t>蝙蝠魔克星21</t>
  </si>
  <si>
    <t>蝙蝠魔克星22</t>
  </si>
  <si>
    <t>蝙蝠魔克星23</t>
  </si>
  <si>
    <t>蝙蝠魔克星24</t>
  </si>
  <si>
    <t>蝙蝠魔克星25</t>
  </si>
  <si>
    <t>蝙蝠魔克星26</t>
  </si>
  <si>
    <t>蝙蝠魔克星27</t>
  </si>
  <si>
    <t>蝙蝠魔克星28</t>
  </si>
  <si>
    <t>蝙蝠魔克星29</t>
  </si>
  <si>
    <t>蝙蝠魔克星30</t>
  </si>
  <si>
    <t>蝙蝠魔克星31</t>
  </si>
  <si>
    <t>蝙蝠魔克星32</t>
  </si>
  <si>
    <t>蝙蝠魔克星33</t>
  </si>
  <si>
    <t>蝙蝠魔克星34</t>
  </si>
  <si>
    <t>蝙蝠魔克星35</t>
  </si>
  <si>
    <t>蝙蝠魔克星36</t>
  </si>
  <si>
    <t>蝙蝠魔克星37</t>
  </si>
  <si>
    <t>蝙蝠魔克星38</t>
  </si>
  <si>
    <t>蝙蝠魔克星39</t>
  </si>
  <si>
    <t>蝙蝠魔克星40</t>
  </si>
  <si>
    <t>蝙蝠魔克星41</t>
  </si>
  <si>
    <t>蝙蝠魔克星42</t>
  </si>
  <si>
    <t>蝙蝠魔克星43</t>
  </si>
  <si>
    <t>蝙蝠魔克星44</t>
  </si>
  <si>
    <t>蝙蝠魔克星45</t>
  </si>
  <si>
    <t>蝙蝠魔克星46</t>
  </si>
  <si>
    <t>蝙蝠魔克星47</t>
  </si>
  <si>
    <t>蝙蝠魔克星48</t>
  </si>
  <si>
    <t>蝙蝠魔克星49</t>
  </si>
  <si>
    <t>蝙蝠魔克星50</t>
  </si>
  <si>
    <t>蝙蝠魔克星51</t>
  </si>
  <si>
    <t>蝙蝠魔克星52</t>
  </si>
  <si>
    <t>蝙蝠魔克星53</t>
  </si>
  <si>
    <t>蝙蝠魔克星54</t>
  </si>
  <si>
    <t>蝙蝠魔克星55</t>
  </si>
  <si>
    <t>蝙蝠魔克星56</t>
  </si>
  <si>
    <t>蝙蝠魔克星57</t>
  </si>
  <si>
    <t>蝙蝠魔克星58</t>
  </si>
  <si>
    <t>蝙蝠魔克星59</t>
  </si>
  <si>
    <t>蝙蝠魔克星60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</si>
</sst>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rgb="FF00B0F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theme="7" tint="-0.249977111117893"/>
      <name val="等线"/>
      <family val="3"/>
      <charset val="134"/>
      <scheme val="minor"/>
    </font>
    <font>
      <sz val="11"/>
      <color theme="9" tint="-0.249977111117893"/>
      <name val="等线"/>
      <family val="3"/>
      <charset val="134"/>
      <scheme val="minor"/>
    </font>
    <font>
      <b/>
      <sz val="11"/>
      <color theme="9" tint="-0.249977111117893"/>
      <name val="等线"/>
      <family val="3"/>
      <charset val="134"/>
      <scheme val="minor"/>
    </font>
    <font>
      <sz val="11"/>
      <color theme="9" tint="-0.249977111117893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3" fontId="0" fillId="0" borderId="0" xfId="0" applyNumberFormat="1"/>
    <xf numFmtId="3" fontId="3" fillId="0" borderId="0" xfId="0" applyNumberFormat="1" applyFont="1"/>
    <xf numFmtId="9" fontId="0" fillId="0" borderId="0" xfId="0" applyNumberForma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wrapText="1"/>
    </xf>
    <xf numFmtId="0" fontId="8" fillId="0" borderId="0" xfId="0" applyFont="1"/>
    <xf numFmtId="0" fontId="0" fillId="2" borderId="0" xfId="0" applyFill="1" applyAlignment="1">
      <alignment wrapText="1"/>
    </xf>
    <xf numFmtId="10" fontId="9" fillId="0" borderId="0" xfId="0" applyNumberFormat="1" applyFont="1"/>
    <xf numFmtId="10" fontId="10" fillId="0" borderId="0" xfId="0" applyNumberFormat="1" applyFont="1"/>
    <xf numFmtId="10" fontId="11" fillId="0" borderId="0" xfId="0" applyNumberFormat="1" applyFont="1"/>
    <xf numFmtId="0" fontId="3" fillId="0" borderId="0" xfId="0" applyNumberFormat="1" applyFont="1"/>
    <xf numFmtId="0" fontId="0" fillId="0" borderId="0" xfId="0" applyNumberFormat="1"/>
  </cellXfs>
  <cellStyles count="1">
    <cellStyle name="常规" xfId="0" builtinId="0"/>
  </cellStyles>
  <dxfs count="68">
    <dxf>
      <numFmt numFmtId="0" formatCode="General"/>
    </dxf>
    <dxf>
      <font>
        <b/>
        <strike val="0"/>
        <outline val="0"/>
        <shadow val="0"/>
        <u val="none"/>
        <vertAlign val="baseline"/>
        <sz val="11"/>
        <color theme="7" tint="-0.249977111117893"/>
        <name val="等线"/>
        <family val="3"/>
        <charset val="13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</dxf>
    <dxf>
      <font>
        <b/>
        <family val="3"/>
        <charset val="134"/>
      </font>
    </dxf>
    <dxf>
      <font>
        <b/>
        <family val="3"/>
        <charset val="134"/>
      </font>
    </dxf>
    <dxf>
      <font>
        <strike val="0"/>
        <outline val="0"/>
        <shadow val="0"/>
        <u val="none"/>
        <vertAlign val="baseline"/>
        <sz val="11"/>
        <color theme="9" tint="-0.249977111117893"/>
        <name val="等线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1"/>
        <color theme="9" tint="-0.249977111117893"/>
        <name val="等线"/>
        <family val="2"/>
        <scheme val="minor"/>
      </font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9" tint="-0.249977111117893"/>
        <name val="等线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1"/>
        <color theme="9" tint="-0.249977111117893"/>
        <name val="等线"/>
        <scheme val="minor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等线"/>
        <family val="3"/>
        <charset val="13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等线"/>
        <family val="3"/>
        <charset val="13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等线"/>
        <family val="3"/>
        <charset val="13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</dxf>
    <dxf>
      <font>
        <b/>
        <strike val="0"/>
        <outline val="0"/>
        <shadow val="0"/>
        <u val="none"/>
        <vertAlign val="baseline"/>
        <sz val="11"/>
        <color rgb="FF00B0F0"/>
        <name val="等线"/>
        <charset val="134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</dxf>
    <dxf>
      <font>
        <b/>
        <strike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</dxf>
    <dxf>
      <font>
        <b/>
        <strike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</dxf>
    <dxf>
      <numFmt numFmtId="13" formatCode="0%"/>
    </dxf>
    <dxf>
      <font>
        <b/>
        <strike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</dxf>
    <dxf>
      <font>
        <b/>
        <strike val="0"/>
        <outline val="0"/>
        <shadow val="0"/>
        <u val="none"/>
        <vertAlign val="baseline"/>
        <sz val="11"/>
        <color rgb="FF00B050"/>
        <name val="等线"/>
        <charset val="134"/>
        <scheme val="minor"/>
      </font>
    </dxf>
    <dxf>
      <font>
        <b/>
        <strike val="0"/>
        <outline val="0"/>
        <shadow val="0"/>
        <u val="none"/>
        <vertAlign val="baseline"/>
        <sz val="11"/>
        <color rgb="FF00B050"/>
        <name val="等线"/>
        <charset val="134"/>
        <scheme val="minor"/>
      </font>
    </dxf>
    <dxf>
      <alignment horizontal="general"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</dxf>
    <dxf>
      <font>
        <b/>
        <strike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  <numFmt numFmtId="0" formatCode="General"/>
    </dxf>
    <dxf>
      <font>
        <b/>
        <strike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</dxf>
    <dxf>
      <font>
        <b/>
        <strike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</dxf>
    <dxf>
      <font>
        <b/>
        <strike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</dxf>
    <dxf>
      <font>
        <b/>
        <strike val="0"/>
        <outline val="0"/>
        <shadow val="0"/>
        <u val="none"/>
        <vertAlign val="baseline"/>
        <sz val="11"/>
        <color rgb="FF00B050"/>
        <name val="等线"/>
        <family val="3"/>
        <charset val="134"/>
        <scheme val="minor"/>
      </font>
    </dxf>
  </dxfs>
  <tableStyles count="0" defaultTableStyle="TableStyleMedium2" defaultPivotStyle="PivotStyleLight16"/>
  <colors>
    <mruColors>
      <color rgb="FFA8CC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exp!$C$2</c:f>
              <c:strCache>
                <c:ptCount val="1"/>
                <c:pt idx="0">
                  <c:v>升级所需(万)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exp!$A$3:$A$102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exp!$C$3:$C$102</c:f>
              <c:numCache>
                <c:formatCode>General</c:formatCode>
                <c:ptCount val="100"/>
                <c:pt idx="0">
                  <c:v>1.5E-3</c:v>
                </c:pt>
                <c:pt idx="1">
                  <c:v>3.3999999999999998E-3</c:v>
                </c:pt>
                <c:pt idx="2">
                  <c:v>5.7000000000000002E-3</c:v>
                </c:pt>
                <c:pt idx="3">
                  <c:v>9.1999999999999998E-3</c:v>
                </c:pt>
                <c:pt idx="4">
                  <c:v>1.35E-2</c:v>
                </c:pt>
                <c:pt idx="5">
                  <c:v>3.7199999999999997E-2</c:v>
                </c:pt>
                <c:pt idx="6">
                  <c:v>5.6000000000000001E-2</c:v>
                </c:pt>
                <c:pt idx="7">
                  <c:v>8.4000000000000005E-2</c:v>
                </c:pt>
                <c:pt idx="8">
                  <c:v>0.1242</c:v>
                </c:pt>
                <c:pt idx="9">
                  <c:v>0.1716</c:v>
                </c:pt>
                <c:pt idx="10">
                  <c:v>0.23599999999999999</c:v>
                </c:pt>
                <c:pt idx="11">
                  <c:v>0.3216</c:v>
                </c:pt>
                <c:pt idx="12">
                  <c:v>0.42</c:v>
                </c:pt>
                <c:pt idx="13">
                  <c:v>0.54600000000000004</c:v>
                </c:pt>
                <c:pt idx="14">
                  <c:v>0.70499999999999996</c:v>
                </c:pt>
                <c:pt idx="15">
                  <c:v>0.88400000000000001</c:v>
                </c:pt>
                <c:pt idx="16">
                  <c:v>1.1040000000000001</c:v>
                </c:pt>
                <c:pt idx="17">
                  <c:v>1.3715999999999999</c:v>
                </c:pt>
                <c:pt idx="18">
                  <c:v>1.6679999999999999</c:v>
                </c:pt>
                <c:pt idx="19">
                  <c:v>2.0215999999999998</c:v>
                </c:pt>
                <c:pt idx="20">
                  <c:v>2.4401999999999999</c:v>
                </c:pt>
                <c:pt idx="21">
                  <c:v>2.8980000000000001</c:v>
                </c:pt>
                <c:pt idx="22">
                  <c:v>3.4319999999999999</c:v>
                </c:pt>
                <c:pt idx="23">
                  <c:v>4.0511999999999997</c:v>
                </c:pt>
                <c:pt idx="24">
                  <c:v>4.7215999999999996</c:v>
                </c:pt>
                <c:pt idx="25">
                  <c:v>5.49</c:v>
                </c:pt>
                <c:pt idx="26">
                  <c:v>6.3666</c:v>
                </c:pt>
                <c:pt idx="27">
                  <c:v>7.3079999999999998</c:v>
                </c:pt>
                <c:pt idx="28">
                  <c:v>8.3719999999999999</c:v>
                </c:pt>
                <c:pt idx="29">
                  <c:v>9.57</c:v>
                </c:pt>
                <c:pt idx="30">
                  <c:v>10.848000000000001</c:v>
                </c:pt>
                <c:pt idx="31">
                  <c:v>12.276</c:v>
                </c:pt>
                <c:pt idx="32">
                  <c:v>13.8666</c:v>
                </c:pt>
                <c:pt idx="33">
                  <c:v>15.554</c:v>
                </c:pt>
                <c:pt idx="34">
                  <c:v>17.421600000000002</c:v>
                </c:pt>
                <c:pt idx="35">
                  <c:v>19.4832</c:v>
                </c:pt>
                <c:pt idx="36">
                  <c:v>21.66</c:v>
                </c:pt>
                <c:pt idx="37">
                  <c:v>24.05</c:v>
                </c:pt>
                <c:pt idx="38">
                  <c:v>26.668199999999999</c:v>
                </c:pt>
                <c:pt idx="39">
                  <c:v>29.421600000000002</c:v>
                </c:pt>
                <c:pt idx="40">
                  <c:v>32.423999999999999</c:v>
                </c:pt>
                <c:pt idx="41">
                  <c:v>35.691600000000001</c:v>
                </c:pt>
                <c:pt idx="42">
                  <c:v>39.116</c:v>
                </c:pt>
                <c:pt idx="43">
                  <c:v>42.828000000000003</c:v>
                </c:pt>
                <c:pt idx="44">
                  <c:v>46.844999999999999</c:v>
                </c:pt>
                <c:pt idx="45">
                  <c:v>51.042000000000002</c:v>
                </c:pt>
                <c:pt idx="46">
                  <c:v>55.567999999999998</c:v>
                </c:pt>
                <c:pt idx="47">
                  <c:v>60.441600000000001</c:v>
                </c:pt>
                <c:pt idx="48">
                  <c:v>65.52</c:v>
                </c:pt>
                <c:pt idx="49">
                  <c:v>70.971599999999995</c:v>
                </c:pt>
                <c:pt idx="50">
                  <c:v>74.860799999999998</c:v>
                </c:pt>
                <c:pt idx="51">
                  <c:v>78.963099999999997</c:v>
                </c:pt>
                <c:pt idx="52">
                  <c:v>83.290199999999999</c:v>
                </c:pt>
                <c:pt idx="53">
                  <c:v>87.854500000000002</c:v>
                </c:pt>
                <c:pt idx="54">
                  <c:v>92.668899999999994</c:v>
                </c:pt>
                <c:pt idx="55">
                  <c:v>97.747100000000003</c:v>
                </c:pt>
                <c:pt idx="56">
                  <c:v>103.1036</c:v>
                </c:pt>
                <c:pt idx="57">
                  <c:v>108.75360000000001</c:v>
                </c:pt>
                <c:pt idx="58">
                  <c:v>114.7132</c:v>
                </c:pt>
                <c:pt idx="59">
                  <c:v>120.99939999999999</c:v>
                </c:pt>
                <c:pt idx="60">
                  <c:v>127.6301</c:v>
                </c:pt>
                <c:pt idx="61">
                  <c:v>134.6242</c:v>
                </c:pt>
                <c:pt idx="62">
                  <c:v>142.0016</c:v>
                </c:pt>
                <c:pt idx="63">
                  <c:v>149.78319999999999</c:v>
                </c:pt>
                <c:pt idx="64">
                  <c:v>157.9913</c:v>
                </c:pt>
                <c:pt idx="65">
                  <c:v>166.64920000000001</c:v>
                </c:pt>
                <c:pt idx="66">
                  <c:v>175.78149999999999</c:v>
                </c:pt>
                <c:pt idx="67">
                  <c:v>185.4143</c:v>
                </c:pt>
                <c:pt idx="68">
                  <c:v>195.57499999999999</c:v>
                </c:pt>
                <c:pt idx="69">
                  <c:v>206.29249999999999</c:v>
                </c:pt>
                <c:pt idx="70">
                  <c:v>217.59729999999999</c:v>
                </c:pt>
                <c:pt idx="71">
                  <c:v>229.52160000000001</c:v>
                </c:pt>
                <c:pt idx="72">
                  <c:v>242.0993</c:v>
                </c:pt>
                <c:pt idx="73">
                  <c:v>255.3663</c:v>
                </c:pt>
                <c:pt idx="74">
                  <c:v>269.3603</c:v>
                </c:pt>
                <c:pt idx="75">
                  <c:v>284.12119999999999</c:v>
                </c:pt>
                <c:pt idx="76">
                  <c:v>299.69099999999997</c:v>
                </c:pt>
                <c:pt idx="77">
                  <c:v>316.11399999999998</c:v>
                </c:pt>
                <c:pt idx="78">
                  <c:v>333.43700000000001</c:v>
                </c:pt>
                <c:pt idx="79">
                  <c:v>351.70929999999998</c:v>
                </c:pt>
                <c:pt idx="80">
                  <c:v>370.98289999999997</c:v>
                </c:pt>
                <c:pt idx="81">
                  <c:v>391.31270000000001</c:v>
                </c:pt>
                <c:pt idx="82">
                  <c:v>412.75659999999999</c:v>
                </c:pt>
                <c:pt idx="83">
                  <c:v>435.37560000000002</c:v>
                </c:pt>
                <c:pt idx="84">
                  <c:v>459.23410000000001</c:v>
                </c:pt>
                <c:pt idx="85">
                  <c:v>484.40010000000001</c:v>
                </c:pt>
                <c:pt idx="86">
                  <c:v>510.9452</c:v>
                </c:pt>
                <c:pt idx="87">
                  <c:v>538.94489999999996</c:v>
                </c:pt>
                <c:pt idx="88">
                  <c:v>568.47900000000004</c:v>
                </c:pt>
                <c:pt idx="89">
                  <c:v>599.63160000000005</c:v>
                </c:pt>
                <c:pt idx="90">
                  <c:v>632.4914</c:v>
                </c:pt>
                <c:pt idx="91">
                  <c:v>667.15189999999996</c:v>
                </c:pt>
                <c:pt idx="92">
                  <c:v>703.71180000000004</c:v>
                </c:pt>
                <c:pt idx="93">
                  <c:v>742.27520000000004</c:v>
                </c:pt>
                <c:pt idx="94">
                  <c:v>782.95180000000005</c:v>
                </c:pt>
                <c:pt idx="95">
                  <c:v>825.85749999999996</c:v>
                </c:pt>
                <c:pt idx="96">
                  <c:v>871.11440000000005</c:v>
                </c:pt>
                <c:pt idx="97">
                  <c:v>918.85140000000001</c:v>
                </c:pt>
                <c:pt idx="98">
                  <c:v>969.20439999999996</c:v>
                </c:pt>
                <c:pt idx="99">
                  <c:v>1022.3167999999999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A1-4AC3-838E-DF76B3B6B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073760"/>
        <c:axId val="1340431183"/>
      </c:scatterChart>
      <c:valAx>
        <c:axId val="99507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0431183"/>
        <c:crosses val="autoZero"/>
        <c:crossBetween val="midCat"/>
      </c:valAx>
      <c:valAx>
        <c:axId val="134043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507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2</xdr:row>
      <xdr:rowOff>57150</xdr:rowOff>
    </xdr:from>
    <xdr:to>
      <xdr:col>8</xdr:col>
      <xdr:colOff>676275</xdr:colOff>
      <xdr:row>17</xdr:row>
      <xdr:rowOff>85725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718F5FA-5A8B-46D5-957D-77FD5E2C5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67</xdr:row>
      <xdr:rowOff>0</xdr:rowOff>
    </xdr:from>
    <xdr:to>
      <xdr:col>17</xdr:col>
      <xdr:colOff>180781</xdr:colOff>
      <xdr:row>69</xdr:row>
      <xdr:rowOff>133288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309FD7A-FD7A-79E8-128C-C1D80F3E7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72875" y="12125325"/>
          <a:ext cx="1552381" cy="495238"/>
        </a:xfrm>
        <a:prstGeom prst="rect">
          <a:avLst/>
        </a:prstGeom>
      </xdr:spPr>
    </xdr:pic>
    <xdr:clientData/>
  </xdr:twoCellAnchor>
  <xdr:twoCellAnchor editAs="oneCell">
    <xdr:from>
      <xdr:col>15</xdr:col>
      <xdr:colOff>123825</xdr:colOff>
      <xdr:row>71</xdr:row>
      <xdr:rowOff>76200</xdr:rowOff>
    </xdr:from>
    <xdr:to>
      <xdr:col>17</xdr:col>
      <xdr:colOff>18892</xdr:colOff>
      <xdr:row>73</xdr:row>
      <xdr:rowOff>152345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586F209B-0AAE-19AE-EFF6-C3A9F001D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96700" y="12925425"/>
          <a:ext cx="1266667" cy="4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295275</xdr:colOff>
      <xdr:row>32</xdr:row>
      <xdr:rowOff>161925</xdr:rowOff>
    </xdr:from>
    <xdr:to>
      <xdr:col>18</xdr:col>
      <xdr:colOff>456923</xdr:colOff>
      <xdr:row>50</xdr:row>
      <xdr:rowOff>142470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6800F61-31EF-4E28-A92C-6B09525E9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78725" y="3781425"/>
          <a:ext cx="2219048" cy="32380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733425</xdr:colOff>
      <xdr:row>42</xdr:row>
      <xdr:rowOff>9525</xdr:rowOff>
    </xdr:from>
    <xdr:to>
      <xdr:col>13</xdr:col>
      <xdr:colOff>599773</xdr:colOff>
      <xdr:row>57</xdr:row>
      <xdr:rowOff>142519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F3FE499-FEB5-AE79-0DBD-9FF3F6165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0575" y="7791450"/>
          <a:ext cx="2419048" cy="2847619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41</xdr:row>
      <xdr:rowOff>152400</xdr:rowOff>
    </xdr:from>
    <xdr:to>
      <xdr:col>10</xdr:col>
      <xdr:colOff>466421</xdr:colOff>
      <xdr:row>57</xdr:row>
      <xdr:rowOff>113943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496F5E4-B82E-D009-25E8-08C940AB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0" y="7753350"/>
          <a:ext cx="2428571" cy="2857143"/>
        </a:xfrm>
        <a:prstGeom prst="rect">
          <a:avLst/>
        </a:prstGeom>
      </xdr:spPr>
    </xdr:pic>
    <xdr:clientData/>
  </xdr:twoCellAnchor>
  <xdr:twoCellAnchor editAs="oneCell">
    <xdr:from>
      <xdr:col>13</xdr:col>
      <xdr:colOff>733425</xdr:colOff>
      <xdr:row>42</xdr:row>
      <xdr:rowOff>66675</xdr:rowOff>
    </xdr:from>
    <xdr:to>
      <xdr:col>16</xdr:col>
      <xdr:colOff>113988</xdr:colOff>
      <xdr:row>57</xdr:row>
      <xdr:rowOff>171098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B9E67B5-49F5-9251-9020-D068D007A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63275" y="7848600"/>
          <a:ext cx="2495238" cy="2819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18</xdr:col>
      <xdr:colOff>398714</xdr:colOff>
      <xdr:row>46</xdr:row>
      <xdr:rowOff>46714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ED7AC7D-D641-4195-B04B-1F84F6D47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1085850"/>
          <a:ext cx="10685714" cy="72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48</xdr:row>
      <xdr:rowOff>0</xdr:rowOff>
    </xdr:from>
    <xdr:to>
      <xdr:col>20</xdr:col>
      <xdr:colOff>255695</xdr:colOff>
      <xdr:row>89</xdr:row>
      <xdr:rowOff>113358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44554A4-E852-4C47-A2BE-E3B146AC6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33600" y="8686800"/>
          <a:ext cx="11838095" cy="7533333"/>
        </a:xfrm>
        <a:prstGeom prst="rect">
          <a:avLst/>
        </a:prstGeom>
      </xdr:spPr>
    </xdr:pic>
    <xdr:clientData/>
  </xdr:twoCellAnchor>
  <xdr:twoCellAnchor editAs="oneCell">
    <xdr:from>
      <xdr:col>21</xdr:col>
      <xdr:colOff>76200</xdr:colOff>
      <xdr:row>31</xdr:row>
      <xdr:rowOff>0</xdr:rowOff>
    </xdr:from>
    <xdr:to>
      <xdr:col>39</xdr:col>
      <xdr:colOff>417514</xdr:colOff>
      <xdr:row>72</xdr:row>
      <xdr:rowOff>75263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A612868-E31E-4950-AD05-C2C042FCB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00" y="5610225"/>
          <a:ext cx="12685714" cy="749523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D7B663-D240-441E-9D25-3DECABB84217}" name="表4" displayName="表4" ref="I21:L24" totalsRowShown="0">
  <autoFilter ref="I21:L24" xr:uid="{A1D7B663-D240-441E-9D25-3DECABB84217}"/>
  <tableColumns count="4">
    <tableColumn id="1" xr3:uid="{9CBE3E44-469E-4EB7-B7F2-A7828C96D120}" name="列1"/>
    <tableColumn id="2" xr3:uid="{9956E914-F184-455E-AA54-545392ED2C0D}" name="商店"/>
    <tableColumn id="3" xr3:uid="{2B485A41-69B4-4EFD-9FFC-7DCDB04D8F21}" name="拍卖行"/>
    <tableColumn id="4" xr3:uid="{3875922C-7068-45AF-B6E5-B88EC5FABA54}" name="盈利价格">
      <calculatedColumnFormula>J22/0.95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54ED8C-1516-4508-8616-5B88AC8E93A6}" name="金价表" displayName="金价表" ref="B5:E6" totalsRowShown="0" headerRowDxfId="60">
  <autoFilter ref="B5:E6" xr:uid="{8D54ED8C-1516-4508-8616-5B88AC8E93A6}">
    <filterColumn colId="0" hiddenButton="1"/>
    <filterColumn colId="1" hiddenButton="1"/>
    <filterColumn colId="2" hiddenButton="1"/>
    <filterColumn colId="3" hiddenButton="1"/>
  </autoFilter>
  <tableColumns count="4">
    <tableColumn id="1" xr3:uid="{63ED9EB8-73DB-4AD9-B2A4-1D5B7478467C}" name="当前金价1w" dataDxfId="59"/>
    <tableColumn id="2" xr3:uid="{D33CA45C-8193-4B2C-8B27-FBAD392BC340}" name="税后金价">
      <calculatedColumnFormula>金价表[[#This Row],[当前金价1w]]/0.95</calculatedColumnFormula>
    </tableColumn>
    <tableColumn id="3" xr3:uid="{29531BBF-B529-4F64-A29C-03F62C776778}" name="出售商品价格" dataDxfId="58"/>
    <tableColumn id="4" xr3:uid="{35F8F87C-3C60-4850-9D79-EF218F013BD7}" name="等价rmb">
      <calculatedColumnFormula>金价表[[#This Row],[出售商品价格]]*金价表[[#This Row],[当前金价1w]]*0.95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67F430E-EFC5-4A66-809D-3F5B0305E50D}" name="表16" displayName="表16" ref="H12:N34" totalsRowShown="0" headerRowDxfId="57">
  <autoFilter ref="H12:N34" xr:uid="{967F430E-EFC5-4A66-809D-3F5B0305E50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7FFE6FF-4DC3-4141-9556-C34751EE7C54}" name="商品名称" dataDxfId="56"/>
    <tableColumn id="2" xr3:uid="{AA234072-647C-4A37-BA00-45785241169C}" name="购买价格w" dataDxfId="55"/>
    <tableColumn id="6" xr3:uid="{B69C23F2-12E4-49E4-B956-F35FECF6EED2}" name="制作价格" dataDxfId="54"/>
    <tableColumn id="7" xr3:uid="{1F179FDF-DB5D-4D9E-9382-252E36157465}" name="差价（含税）" dataDxfId="53">
      <calculatedColumnFormula>IF(表16[[#This Row],[制作价格]]&gt;0,表16[[#This Row],[购买价格w]]*0.95-表16[[#This Row],[制作价格]],0)</calculatedColumnFormula>
    </tableColumn>
    <tableColumn id="3" xr3:uid="{8A5E4DE9-C2B5-4A40-BB32-99BB0FFB6D5C}" name="等价rmb" dataDxfId="52">
      <calculatedColumnFormula array="1">MIN(表16[[#This Row],[购买价格w]],表16[[#This Row],[制作价格]])*金价表[税后金价]</calculatedColumnFormula>
    </tableColumn>
    <tableColumn id="4" xr3:uid="{DFF8FCC2-0D9D-4B90-A22F-E3039B1304EA}" name="提升"/>
    <tableColumn id="5" xr3:uid="{C9A08E92-7CAC-468F-BAB6-C34C3510F60C}" name="每点提升价格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72A1EC-A5A7-4173-8E9D-EB90E042B439}" name="表5" displayName="表5" ref="E32:L72" totalsRowShown="0">
  <autoFilter ref="E32:L72" xr:uid="{7472A1EC-A5A7-4173-8E9D-EB90E042B43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845B151-23D6-4795-B6F2-CF21BBF78274}" name="源"/>
    <tableColumn id="6" xr3:uid="{6745D84B-176D-410B-A732-E68A39D776C3}" name="开始lv" dataDxfId="67"/>
    <tableColumn id="2" xr3:uid="{EB49316D-EA89-440F-8BED-529A7B30C022}" name="开始" dataDxfId="66"/>
    <tableColumn id="7" xr3:uid="{D165A06A-4105-4A22-9828-A4BEF84DACDC}" name="结束lv" dataDxfId="65"/>
    <tableColumn id="3" xr3:uid="{7BC03053-038D-41AD-84CE-B60879A78C44}" name="结束" dataDxfId="64"/>
    <tableColumn id="8" xr3:uid="{18F6AB19-F5E3-4464-85E9-7510B0FF4FBB}" name="总经验(万)" dataDxfId="63">
      <calculatedColumnFormula>(
 表5[[#This Row],[结束]]
 +SUMIFS(经验表[升级所需],经验表[等级],"&gt;="&amp;表5[[#This Row],[开始lv]])
 -SUMIFS(经验表[升级所需],经验表[等级],"&gt;="&amp;表5[[#This Row],[结束lv]])
 -表5[[#This Row],[开始]]
)
/10000</calculatedColumnFormula>
    </tableColumn>
    <tableColumn id="4" xr3:uid="{14E25966-66F6-42F8-8B80-A23CD832D12D}" name="时间min"/>
    <tableColumn id="5" xr3:uid="{96A93011-DA20-46D8-8102-FAFE34B717F8}" name="exp/h（万）" dataDxfId="62">
      <calculatedColumnFormula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365CC8-742A-4938-828E-8205C574672E}" name="经验表" displayName="经验表" ref="A2:C102" totalsRowShown="0">
  <autoFilter ref="A2:C102" xr:uid="{77365CC8-742A-4938-828E-8205C574672E}">
    <filterColumn colId="0" hiddenButton="1"/>
    <filterColumn colId="1" hiddenButton="1"/>
    <filterColumn colId="2" hiddenButton="1"/>
  </autoFilter>
  <tableColumns count="3">
    <tableColumn id="1" xr3:uid="{3C593048-19E0-4739-89F7-550D3BCA4024}" name="等级"/>
    <tableColumn id="2" xr3:uid="{7BF93B33-4DA7-41C2-A05A-738673B7622F}" name="升级所需"/>
    <tableColumn id="3" xr3:uid="{D469DC4A-2E68-429C-9A30-B15320947E61}" name="升级所需(万)" dataDxfId="61">
      <calculatedColumnFormula>经验表[[#This Row],[升级所需]]/10000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179A0B4-F422-414D-86B4-52AEFB3FEB6F}" name="表9" displayName="表9" ref="O8:S11" totalsRowShown="0">
  <autoFilter ref="O8:S11" xr:uid="{F179A0B4-F422-414D-86B4-52AEFB3FEB6F}"/>
  <tableColumns count="5">
    <tableColumn id="1" xr3:uid="{B0225B14-01BF-43DF-B235-11287404116A}" name="等级"/>
    <tableColumn id="2" xr3:uid="{82A4BD85-00B8-4DB0-8A98-FC9BA460A9D4}" name="怪物"/>
    <tableColumn id="3" xr3:uid="{9D898DC1-4F1A-4087-A5B4-D56B486D44FE}" name="击杀次数"/>
    <tableColumn id="4" xr3:uid="{5E4BCF2C-4462-4E6B-B210-9468A4704E5D}" name="exp"/>
    <tableColumn id="5" xr3:uid="{B6FEA04A-7A6E-44D1-9A0B-350BC621F7FE}" name="每下exp">
      <calculatedColumnFormula>表9[[#This Row],[exp]]/表9[[#This Row],[击杀次数]]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8998DA-BBB2-46CF-8111-B43AA0A92522}" name="表1" displayName="表1" ref="B6:E16" totalsRowShown="0">
  <autoFilter ref="B6:E16" xr:uid="{FB8998DA-BBB2-46CF-8111-B43AA0A92522}">
    <filterColumn colId="0" hiddenButton="1"/>
    <filterColumn colId="1" hiddenButton="1"/>
    <filterColumn colId="2" hiddenButton="1"/>
    <filterColumn colId="3" hiddenButton="1"/>
  </autoFilter>
  <tableColumns count="4">
    <tableColumn id="1" xr3:uid="{698E820D-23C3-4BF8-BEED-4FE313E53471}" name="次数"/>
    <tableColumn id="2" xr3:uid="{84879E6A-8423-4B05-81FF-8B66F1BA776F}" name="几率" dataDxfId="51">
      <calculatedColumnFormula array="1">IFERROR(1 - _xlfn.BINOM.DIST(卷轴参数[预期成功]-1, 表1[[#This Row],[次数]], 卷轴参数[卷概率], TRUE),0)</calculatedColumnFormula>
    </tableColumn>
    <tableColumn id="4" xr3:uid="{E3DE3ED5-E666-48A5-A699-F069DF88052E}" name="成本价" dataDxfId="50">
      <calculatedColumnFormula array="1">表1[[#This Row],[次数]]*卷轴参数[卷价值]</calculatedColumnFormula>
    </tableColumn>
    <tableColumn id="3" xr3:uid="{7C2768F8-9055-4D23-BE1E-FE8B90B3316B}" name="价值" dataDxfId="49">
      <calculatedColumnFormula array="1">IFERROR(1/表1[[#This Row],[几率]]*卷轴参数[卷价值]*表1[[#This Row],[次数]],"-")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969EFF-D36C-4CC8-988C-25CE75BC0798}" name="卷轴参数" displayName="卷轴参数" ref="B3:E4" totalsRowShown="0" headerRowDxfId="48">
  <autoFilter ref="B3:E4" xr:uid="{52969EFF-D36C-4CC8-988C-25CE75BC0798}">
    <filterColumn colId="0" hiddenButton="1"/>
    <filterColumn colId="1" hiddenButton="1"/>
    <filterColumn colId="2" hiddenButton="1"/>
    <filterColumn colId="3" hiddenButton="1"/>
  </autoFilter>
  <tableColumns count="4">
    <tableColumn id="1" xr3:uid="{DC107BBC-406B-498C-BD39-B974C0439AFE}" name="卷概率" dataDxfId="47"/>
    <tableColumn id="2" xr3:uid="{C61182DF-822A-4A58-AE24-69A976436107}" name="预期成功" dataDxfId="46"/>
    <tableColumn id="5" xr3:uid="{0F00CCD6-E594-41C1-8347-E43384BB99BE}" name="卷拍卖行价w" dataDxfId="45"/>
    <tableColumn id="3" xr3:uid="{C4E5C7A1-FB81-480E-9C73-32F750E3D67C}" name="卷价值">
      <calculatedColumnFormula array="1">卷轴参数[[#This Row],[卷拍卖行价w]]*金价表[税后金价]</calculatedColumnFormula>
    </tableColumn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EFEF9C6-D779-41E5-9730-769F54BFE206}" name="表7" displayName="表7" ref="C28:O32" totalsRowCount="1">
  <autoFilter ref="C28:O31" xr:uid="{1EFEF9C6-D779-41E5-9730-769F54BFE2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8F08A040-BDE1-42FF-BDBE-7E0E087A8819}" name="卷概率"/>
    <tableColumn id="8" xr3:uid="{680FF308-0932-4EB2-8486-CA5FEE3FE305}" name="敏捷" dataDxfId="44"/>
    <tableColumn id="9" xr3:uid="{A70A1698-D188-45CC-BD1C-5EB46D8790A5}" name="命中"/>
    <tableColumn id="10" xr3:uid="{DF40AD0D-56B3-4A4D-8D8F-BCBF9EC1301D}" name="移速"/>
    <tableColumn id="3" xr3:uid="{A7118FBF-F08B-458A-BB56-4552824BA5FC}" name="单价" dataDxfId="43" totalsRowDxfId="42"/>
    <tableColumn id="4" xr3:uid="{CA577DD0-7258-45B9-A695-C4171373AE3D}" name="rmb" dataDxfId="41">
      <calculatedColumnFormula array="1">表7[[#This Row],[单价]]*金价表[税后金价]</calculatedColumnFormula>
    </tableColumn>
    <tableColumn id="7" xr3:uid="{3BF04BD0-3887-4D5A-9323-13DA842E9180}" name="每点敏捷价格" dataDxfId="40">
      <calculatedColumnFormula>表7[[#This Row],[rmb]]
/(表7[[#This Row],[卷概率]]*表7[[#This Row],[敏捷]])</calculatedColumnFormula>
    </tableColumn>
    <tableColumn id="11" xr3:uid="{7B62E845-07A3-42E2-92B2-C00C85BAD066}" name="模拟数量" totalsRowFunction="custom" dataDxfId="39">
      <totalsRowFormula>SUM(表7[模拟数量])</totalsRowFormula>
    </tableColumn>
    <tableColumn id="12" xr3:uid="{94F47A8A-0CD2-46BA-BB08-9B69181B3598}" name="成功数量" dataDxfId="38"/>
    <tableColumn id="13" xr3:uid="{D8FA6D3D-13C9-413D-AA5C-EE25CEB6741F}" name="总敏捷" totalsRowFunction="custom" dataDxfId="37">
      <calculatedColumnFormula>表7[[#This Row],[成功数量]]*表7[[#This Row],[敏捷]]</calculatedColumnFormula>
      <totalsRowFormula>SUM(表7[总敏捷])</totalsRowFormula>
    </tableColumn>
    <tableColumn id="14" xr3:uid="{55A7AE7C-6813-49F7-BF22-A6D1331D0893}" name="成本造价" totalsRowFunction="custom" dataDxfId="36">
      <calculatedColumnFormula>表7[[#This Row],[模拟数量]]*表7[[#This Row],[rmb]]</calculatedColumnFormula>
      <totalsRowFormula>SUM(表7[成本造价])</totalsRowFormula>
    </tableColumn>
    <tableColumn id="2" xr3:uid="{7EE726C5-0F2C-402A-94A6-793B6B1029B8}" name="总价格" totalsRowFunction="custom" dataDxfId="35">
      <calculatedColumnFormula>表7[[#This Row],[总敏捷]]*表7[[#This Row],[每点敏捷价格]]</calculatedColumnFormula>
      <totalsRowFormula>SUM(表7[总价格])</totalsRowFormula>
    </tableColumn>
    <tableColumn id="15" xr3:uid="{7DFA1C56-A8FE-42B5-B6C1-2058B28542ED}" name="风险造价" totalsRowFunction="custom" dataDxfId="34">
      <calculatedColumnFormula>表7[[#This Row],[成本造价]]
/IFERROR((1 - _xlfn.BINOM.DIST(表7[[#This Row],[成功数量]]-1, 表7[[#This Row],[模拟数量]], 表7[[#This Row],[卷概率]], TRUE)),0)</calculatedColumnFormula>
      <totalsRowFormula>SUM(表7[风险造价])</totalsRow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F5DA31-758D-4974-A8DB-D862E9E685DC}" name="表7_9" displayName="表7_9" ref="C39:N43" totalsRowCount="1">
  <autoFilter ref="C39:N42" xr:uid="{D2F5DA31-758D-4974-A8DB-D862E9E685DC}"/>
  <tableColumns count="12">
    <tableColumn id="1" xr3:uid="{C9A11298-FA96-49C6-A3A1-A77A91972722}" name="卷概率"/>
    <tableColumn id="8" xr3:uid="{BEDD0CAD-6AB0-4C30-A86C-19070711828D}" name="敏捷" dataDxfId="33"/>
    <tableColumn id="9" xr3:uid="{DB11AE09-BC1F-400F-8121-26D0BBD40CE3}" name="命中"/>
    <tableColumn id="10" xr3:uid="{419A6181-B2C8-4E1A-BD6F-47425EDBEDC1}" name="移速"/>
    <tableColumn id="3" xr3:uid="{06987FE9-FC9A-467C-8516-1C8A6991EFD3}" name="单价" dataDxfId="32" totalsRowDxfId="31"/>
    <tableColumn id="4" xr3:uid="{EC81E847-7526-4094-88CA-6860A893C3B1}" name="rmb" dataDxfId="30">
      <calculatedColumnFormula array="1">表7_9[[#This Row],[单价]]*金价表[税后金价]</calculatedColumnFormula>
    </tableColumn>
    <tableColumn id="7" xr3:uid="{C26F07DB-AA65-4261-A542-9FF829521DAC}" name="敏捷价格" dataDxfId="29">
      <calculatedColumnFormula>表7_9[[#This Row],[rmb]]
/(表7_9[[#This Row],[卷概率]]*表7_9[[#This Row],[敏捷]])</calculatedColumnFormula>
    </tableColumn>
    <tableColumn id="11" xr3:uid="{247B50C8-19A4-4B64-A6C4-FEFA5C146E13}" name="模拟数量" totalsRowFunction="custom" dataDxfId="28">
      <totalsRowFormula>SUM(表7_9[模拟数量])</totalsRowFormula>
    </tableColumn>
    <tableColumn id="12" xr3:uid="{E46A5CC0-4EA5-480B-A804-F448C4FD1200}" name="成功数量" dataDxfId="27"/>
    <tableColumn id="13" xr3:uid="{4297568D-CFCF-46D6-99EB-6BE373700BA1}" name="总敏捷" totalsRowFunction="custom" dataDxfId="26">
      <calculatedColumnFormula>表7_9[[#This Row],[成功数量]]*表7_9[[#This Row],[敏捷]]</calculatedColumnFormula>
      <totalsRowFormula>SUM(表7_9[总敏捷])</totalsRowFormula>
    </tableColumn>
    <tableColumn id="14" xr3:uid="{DF214F81-3AC6-44F7-A044-188A8853DA6B}" name="造价" totalsRowFunction="custom" dataDxfId="25">
      <calculatedColumnFormula>表7_9[[#This Row],[模拟数量]]*表7_9[[#This Row],[rmb]]</calculatedColumnFormula>
      <totalsRowFormula>SUM(表7_9[造价])</totalsRowFormula>
    </tableColumn>
    <tableColumn id="15" xr3:uid="{2749CEFB-FAB2-4688-B950-EB889079A869}" name="风险造价" totalsRowFunction="custom" dataDxfId="24">
      <calculatedColumnFormula>IFERROR(1/(1 - _xlfn.BINOM.DIST(表7_9[[#This Row],[成功数量]]-1, 表7_9[[#This Row],[模拟数量]], 表7_9[[#This Row],[卷概率]], TRUE)),0)
*表7_9[[#This Row],[敏捷价格]]</calculatedColumnFormula>
      <totalsRowFormula>SUM(表7_9[风险造价])</totalsRow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EBDEB06-9EAF-4C59-8B85-E07E60337705}" name="常量表" displayName="常量表" ref="D8:L9" totalsRowShown="0" headerRowDxfId="23">
  <autoFilter ref="D8:L9" xr:uid="{1EC169C2-1CE1-41D3-B5C2-AF9DACDA284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8" xr3:uid="{02FA7E59-ADA0-406F-B856-E1772F9DECCA}" name="伤害下限系数"/>
    <tableColumn id="7" xr3:uid="{F24798D5-BC76-45A3-818D-0FCECBFED9DC}" name="面板主属性系数"/>
    <tableColumn id="4" xr3:uid="{946824A2-E4E6-4FAF-B63F-6061471C271A}" name="面板副属性系数"/>
    <tableColumn id="9" xr3:uid="{506D121F-8A88-467A-82FA-67D094100910}" name="熟练度系数"/>
    <tableColumn id="1" xr3:uid="{83F963E2-50F9-4858-B270-A61447FE684F}" name="双飞斩运气系数max"/>
    <tableColumn id="5" xr3:uid="{656C8470-9335-4994-8946-E5F9E636C442}" name="双飞斩运气系数min"/>
    <tableColumn id="2" xr3:uid="{C35B97EA-302A-4601-A83D-3B4AD4CCFA8E}" name="技能倍率"/>
    <tableColumn id="3" xr3:uid="{45514FC8-5C84-4FDB-B8CE-40D6E13ADFDE}" name="暴击倍率"/>
    <tableColumn id="6" xr3:uid="{3AA310F7-56DF-4FAC-AA8E-B454006FB704}" name="暴击几率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9B4E772-DEE9-473A-837C-3DDDEE94F3D3}" name="怪物参数" displayName="怪物参数" ref="D12:G13" totalsRowShown="0">
  <autoFilter ref="D12:G13" xr:uid="{39B4E772-DEE9-473A-837C-3DDDEE94F3D3}">
    <filterColumn colId="0" hiddenButton="1"/>
    <filterColumn colId="1" hiddenButton="1"/>
    <filterColumn colId="2" hiddenButton="1"/>
    <filterColumn colId="3" hiddenButton="1"/>
  </autoFilter>
  <tableColumns count="4">
    <tableColumn id="4" xr3:uid="{45BDB812-F8BA-4147-B581-FAF6D9456D79}" name="等级差"/>
    <tableColumn id="1" xr3:uid="{11D9F946-C17E-4E9C-9195-261DA3F55D04}" name="怪物防御"/>
    <tableColumn id="2" xr3:uid="{A169B056-87C0-45D6-9CC1-FC2838D90DAC}" name="min系数"/>
    <tableColumn id="3" xr3:uid="{5A4AA7BB-03D1-4996-8D1C-EE991C9496CB}" name="max系数"/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A561F5C-EA5E-422A-8BB0-B9095727B3D5}" name="表15" displayName="表15" ref="D25:X38" totalsRowShown="0" headerRowDxfId="22">
  <autoFilter ref="D25:X38" xr:uid="{EA561F5C-EA5E-422A-8BB0-B9095727B3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2" xr3:uid="{E28116B0-6337-4365-A0F6-32D60BC978B6}" name="备注" dataDxfId="21"/>
    <tableColumn id="19" xr3:uid="{7A53DEB6-2117-436A-BF1B-D301DAF6BCEE}" name="武器攻击" dataDxfId="20"/>
    <tableColumn id="18" xr3:uid="{20152D2D-C68D-446B-8E46-96A7870A92B3}" name="飞镖攻击" dataDxfId="19"/>
    <tableColumn id="17" xr3:uid="{A88072CD-F8EB-44C3-9C7B-02B153E89A1A}" name="手套攻击" dataDxfId="18"/>
    <tableColumn id="16" xr3:uid="{D1098DDD-BCA5-4948-A22C-8762851A9BB4}" name="Link攻击" dataDxfId="2"/>
    <tableColumn id="4" xr3:uid="{1D59A3FA-F5A2-4BF3-8DFD-364A71CE22EE}" name="力量" dataDxfId="17"/>
    <tableColumn id="11" xr3:uid="{BBF260FC-CE43-4380-87B9-5F9EE2064698}" name="敏捷" dataDxfId="16"/>
    <tableColumn id="5" xr3:uid="{85C70B3A-5D87-4857-BD02-D3B80CC6C80E}" name="智力" dataDxfId="15"/>
    <tableColumn id="10" xr3:uid="{BBD0C02A-DFD9-4B1D-B574-6A30BAE2D997}" name="运气" dataDxfId="1"/>
    <tableColumn id="15" xr3:uid="{19169ABF-D16F-4AB7-840E-72174B5817E9}" name="面板max" dataDxfId="14">
      <calculatedColumnFormula array="1">SUM(表15[[#This Row],[武器攻击]],表15[[#This Row],[飞镖攻击]],表15[[#This Row],[手套攻击]],表15[[#This Row],[Link攻击]])
*(
 常量表[面板主属性系数]*表15[[#This Row],[运气]]
 +常量表[面板副属性系数]*SUM(表15[[#This Row],[力量]],表15[[#This Row],[敏捷]])
)/100</calculatedColumnFormula>
    </tableColumn>
    <tableColumn id="14" xr3:uid="{6F6FB551-01A8-45AA-B765-56487CC9414A}" name="面板min" dataDxfId="13">
      <calculatedColumnFormula array="1">SUM(表15[[#This Row],[武器攻击]],表15[[#This Row],[飞镖攻击]],表15[[#This Row],[手套攻击]],表15[[#This Row],[Link攻击]])
*(
 常量表[面板主属性系数]*表15[[#This Row],[运气]]*常量表[熟练度系数]
 +常量表[面板副属性系数]*SUM(表15[[#This Row],[力量]],表15[[#This Row],[敏捷]])
)/100</calculatedColumnFormula>
    </tableColumn>
    <tableColumn id="1" xr3:uid="{0600774E-6E25-4B9E-B1EF-DC7A6148D9E7}" name="攻击+1提升面板" dataDxfId="12">
      <calculatedColumnFormula array="1">SUM(表15[[#This Row],[武器攻击]],表15[[#This Row],[飞镖攻击]],表15[[#This Row],[手套攻击]],表15[[#This Row],[Link攻击]],1)
*(
 常量表[面板主属性系数]*表15[[#This Row],[运气]]
 +常量表[面板副属性系数]*SUM(表15[[#This Row],[力量]],表15[[#This Row],[敏捷]])
)/100
/表15[[#This Row],[面板max]]-1</calculatedColumnFormula>
    </tableColumn>
    <tableColumn id="13" xr3:uid="{F92D18E3-61E1-4175-A13E-DEEF72D61CB3}" name="运气+5提升面板" dataDxfId="11">
      <calculatedColumnFormula array="1">SUM(表15[[#This Row],[武器攻击]],表15[[#This Row],[飞镖攻击]],表15[[#This Row],[手套攻击]],表15[[#This Row],[Link攻击]])
*(
 常量表[面板主属性系数]*(表15[[#This Row],[运气]]+5)
 +常量表[面板副属性系数]*SUM(表15[[#This Row],[力量]],表15[[#This Row],[敏捷]])
)/100
/表15[[#This Row],[面板max]]-1</calculatedColumnFormula>
    </tableColumn>
    <tableColumn id="2" xr3:uid="{219B6184-F7B6-4F19-ADA6-85DF621E3BE2}" name="双飞斩max" dataDxfId="10">
      <calculatedColumnFormula array="1">常量表[双飞斩运气系数max]
*SUM(表15[[#This Row],[武器攻击]],表15[[#This Row],[飞镖攻击]],表15[[#This Row],[手套攻击]],表15[[#This Row],[Link攻击]])
*表15[[#This Row],[运气]]/100
*常量表[技能倍率]</calculatedColumnFormula>
    </tableColumn>
    <tableColumn id="3" xr3:uid="{8B15A05C-D2B1-4EE3-A8A0-B233320DC7E0}" name="双飞斩min" dataDxfId="9">
      <calculatedColumnFormula array="1">常量表[双飞斩运气系数min]
*SUM(表15[[#This Row],[武器攻击]],表15[[#This Row],[飞镖攻击]],表15[[#This Row],[手套攻击]],表15[[#This Row],[Link攻击]])
*表15[[#This Row],[运气]]/100
*常量表[技能倍率]</calculatedColumnFormula>
    </tableColumn>
    <tableColumn id="6" xr3:uid="{CC4D7A50-583C-409D-A439-41839CCB5FBE}" name="暴击伤害max" dataDxfId="8">
      <calculatedColumnFormula array="1">常量表[双飞斩运气系数max]
*SUM(表15[[#This Row],[武器攻击]],表15[[#This Row],[飞镖攻击]],表15[[#This Row],[手套攻击]],表15[[#This Row],[Link攻击]])
*表15[[#This Row],[运气]]/100
*(常量表[技能倍率]+常量表[暴击倍率])</calculatedColumnFormula>
    </tableColumn>
    <tableColumn id="7" xr3:uid="{02CE20E8-6B44-43C6-B599-BF6C200E0989}" name="暴击伤害min" dataDxfId="7">
      <calculatedColumnFormula array="1">常量表[双飞斩运气系数min]
*SUM(表15[[#This Row],[武器攻击]],表15[[#This Row],[飞镖攻击]],表15[[#This Row],[手套攻击]],表15[[#This Row],[Link攻击]])
*表15[[#This Row],[运气]]/100
*(常量表[技能倍率]+常量表[暴击倍率])</calculatedColumnFormula>
    </tableColumn>
    <tableColumn id="20" xr3:uid="{030A6DFF-61EB-463E-AC11-D16E84D830A0}" name="攻击+1提升伤害" dataDxfId="6">
      <calculatedColumnFormula array="1">常量表[双飞斩运气系数max]
*SUM(表15[[#This Row],[武器攻击]],表15[[#This Row],[飞镖攻击]],表15[[#This Row],[手套攻击]],表15[[#This Row],[Link攻击]],1)
*表15[[#This Row],[运气]]/100
*(常量表[技能倍率]+常量表[暴击倍率])
/表15[[#This Row],[暴击伤害max]]-1</calculatedColumnFormula>
    </tableColumn>
    <tableColumn id="21" xr3:uid="{E30714F7-4C29-45F8-B00B-4FBAD467D571}" name="运气+5提升伤害" dataDxfId="5">
      <calculatedColumnFormula array="1">常量表[双飞斩运气系数max]
*SUM(表15[[#This Row],[武器攻击]],表15[[#This Row],[飞镖攻击]],表15[[#This Row],[手套攻击]],表15[[#This Row],[Link攻击]])
*(表15[[#This Row],[运气]]+5)/100
*(常量表[技能倍率]+常量表[暴击倍率])
/表15[[#This Row],[暴击伤害max]]-1</calculatedColumnFormula>
    </tableColumn>
    <tableColumn id="8" xr3:uid="{CDE151F5-6122-4088-B163-44E497C31795}" name="实际伤害max" dataDxfId="4">
      <calculatedColumnFormula array="1">表15[[#This Row],[暴击伤害max]]*(1+0.01*怪物参数[等级差])-怪物参数[怪物防御]*怪物参数[max系数]</calculatedColumnFormula>
    </tableColumn>
    <tableColumn id="9" xr3:uid="{16FD9281-FFFB-49BE-B43A-61A44174EE38}" name="实际伤害min" dataDxfId="3">
      <calculatedColumnFormula array="1">表15[[#This Row],[暴击伤害min]]*(1+0.01*怪物参数[等级差])-怪物参数[怪物防御]*怪物参数[min系数]</calculatedColumnFormula>
    </tableColumn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C10CA6-3516-4511-91D7-5AC2FC907D20}" name="表11" displayName="表11" ref="C9:D70" totalsRowShown="0">
  <autoFilter ref="C9:D70" xr:uid="{8FC10CA6-3516-4511-91D7-5AC2FC907D20}"/>
  <tableColumns count="2">
    <tableColumn id="1" xr3:uid="{7E8883F3-F855-4AD2-83DC-B9AEB448E0C1}" name="ID"/>
    <tableColumn id="2" xr3:uid="{197750A0-BB97-460F-92F8-54483D18F26F}" name="频道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6843B59-80DD-4C01-AC48-36878D95A000}" name="表12" displayName="表12" ref="H9:I69" totalsRowShown="0">
  <autoFilter ref="H9:I69" xr:uid="{C6843B59-80DD-4C01-AC48-36878D95A000}"/>
  <tableColumns count="2">
    <tableColumn id="1" xr3:uid="{29079E86-1107-49A2-A0DA-02BB8F4E5404}" name="频道"/>
    <tableColumn id="2" xr3:uid="{8FFD247E-E1E8-433B-8852-DF7B95A85541}" name="ID" dataDxfId="0">
      <calculatedColumnFormula>_xlfn.XLOOKUP(表12[[#This Row],[频道]],表11[频道],表11[ID],"")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mments" Target="../comments1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drawing" Target="../drawings/drawing3.xml"/><Relationship Id="rId4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C4A5-CF74-4FC2-96C7-9319D1E177B2}">
  <sheetPr>
    <tabColor theme="7" tint="-0.249977111117893"/>
  </sheetPr>
  <dimension ref="I21:L26"/>
  <sheetViews>
    <sheetView workbookViewId="0">
      <selection activeCell="K24" sqref="K24"/>
    </sheetView>
  </sheetViews>
  <sheetFormatPr defaultRowHeight="14.25" x14ac:dyDescent="0.2"/>
  <cols>
    <col min="12" max="12" width="10.25" customWidth="1"/>
  </cols>
  <sheetData>
    <row r="21" spans="9:12" x14ac:dyDescent="0.2">
      <c r="I21" t="s">
        <v>10</v>
      </c>
      <c r="J21" t="s">
        <v>8</v>
      </c>
      <c r="K21" t="s">
        <v>7</v>
      </c>
      <c r="L21" t="s">
        <v>9</v>
      </c>
    </row>
    <row r="22" spans="9:12" x14ac:dyDescent="0.2">
      <c r="I22" t="s">
        <v>6</v>
      </c>
      <c r="J22">
        <v>604</v>
      </c>
      <c r="K22">
        <v>624</v>
      </c>
      <c r="L22">
        <f>J22/0.95</f>
        <v>635.78947368421052</v>
      </c>
    </row>
    <row r="23" spans="9:12" x14ac:dyDescent="0.2">
      <c r="I23" t="s">
        <v>11</v>
      </c>
      <c r="J23">
        <v>192</v>
      </c>
      <c r="K23">
        <v>200</v>
      </c>
      <c r="L23">
        <f>J23/0.95</f>
        <v>202.10526315789474</v>
      </c>
    </row>
    <row r="24" spans="9:12" x14ac:dyDescent="0.2">
      <c r="K24">
        <v>55000</v>
      </c>
      <c r="L24">
        <f>J24/0.95</f>
        <v>0</v>
      </c>
    </row>
    <row r="26" spans="9:12" x14ac:dyDescent="0.2">
      <c r="L26">
        <v>624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6AE7B-FED2-419F-9F17-F95ED25B91AF}">
  <sheetPr>
    <tabColor rgb="FF00B0F0"/>
  </sheetPr>
  <dimension ref="B4:T41"/>
  <sheetViews>
    <sheetView workbookViewId="0">
      <selection activeCell="D6" sqref="D6"/>
    </sheetView>
  </sheetViews>
  <sheetFormatPr defaultRowHeight="14.25" x14ac:dyDescent="0.2"/>
  <cols>
    <col min="2" max="2" width="12.625" customWidth="1"/>
    <col min="3" max="3" width="10.25" customWidth="1"/>
    <col min="5" max="5" width="10" customWidth="1"/>
    <col min="8" max="8" width="17.875" customWidth="1"/>
    <col min="9" max="11" width="12.125" customWidth="1"/>
    <col min="17" max="17" width="13.125" customWidth="1"/>
  </cols>
  <sheetData>
    <row r="4" spans="2:14" x14ac:dyDescent="0.2">
      <c r="B4" t="s">
        <v>26</v>
      </c>
    </row>
    <row r="5" spans="2:14" ht="28.5" x14ac:dyDescent="0.2">
      <c r="B5" s="3" t="s">
        <v>4</v>
      </c>
      <c r="C5" s="3" t="s">
        <v>5</v>
      </c>
      <c r="D5" s="3" t="s">
        <v>107</v>
      </c>
      <c r="E5" s="3" t="s">
        <v>87</v>
      </c>
    </row>
    <row r="6" spans="2:14" x14ac:dyDescent="0.2">
      <c r="B6" s="2">
        <v>0.121</v>
      </c>
      <c r="C6">
        <f>金价表[[#This Row],[当前金价1w]]/0.95</f>
        <v>0.12736842105263158</v>
      </c>
      <c r="D6" s="5">
        <v>9778</v>
      </c>
      <c r="E6">
        <f>金价表[[#This Row],[出售商品价格]]*金价表[[#This Row],[当前金价1w]]*0.95</f>
        <v>1123.9811</v>
      </c>
    </row>
    <row r="8" spans="2:14" x14ac:dyDescent="0.2">
      <c r="I8" cm="1">
        <f t="array" ref="I8">555*金价表[税后金价]</f>
        <v>70.689473684210526</v>
      </c>
      <c r="J8" cm="1">
        <f t="array" ref="J8">2888.8888*金价表[当前金价1w]</f>
        <v>349.55554480000001</v>
      </c>
      <c r="K8" cm="1">
        <f t="array" ref="K8">2888.8888*金价表[当前金价1w]</f>
        <v>349.55554480000001</v>
      </c>
    </row>
    <row r="12" spans="2:14" ht="28.5" x14ac:dyDescent="0.2">
      <c r="H12" s="3" t="s">
        <v>86</v>
      </c>
      <c r="I12" s="3" t="s">
        <v>96</v>
      </c>
      <c r="J12" s="3" t="s">
        <v>97</v>
      </c>
      <c r="K12" s="3" t="s">
        <v>101</v>
      </c>
      <c r="L12" s="3" t="s">
        <v>87</v>
      </c>
      <c r="M12" s="3" t="s">
        <v>89</v>
      </c>
      <c r="N12" s="3" t="s">
        <v>90</v>
      </c>
    </row>
    <row r="13" spans="2:14" x14ac:dyDescent="0.2">
      <c r="H13" s="2" t="s">
        <v>93</v>
      </c>
      <c r="I13" s="9">
        <v>234</v>
      </c>
      <c r="J13" s="9"/>
      <c r="K13" s="2">
        <f>IF(表16[[#This Row],[制作价格]]&gt;0,表16[[#This Row],[购买价格w]]*0.95-表16[[#This Row],[制作价格]],0)</f>
        <v>0</v>
      </c>
      <c r="L13" s="3" cm="1">
        <f t="array" ref="L13">MIN(表16[[#This Row],[购买价格w]],表16[[#This Row],[制作价格]])*金价表[税后金价]</f>
        <v>29.804210526315789</v>
      </c>
      <c r="M13" s="3">
        <v>0</v>
      </c>
      <c r="N13" s="3">
        <f>IFERROR((表16[[#This Row],[等价rmb]]-$L$13)/表16[[#This Row],[提升]],0)</f>
        <v>0</v>
      </c>
    </row>
    <row r="14" spans="2:14" x14ac:dyDescent="0.2">
      <c r="H14" s="2" t="s">
        <v>94</v>
      </c>
      <c r="I14" s="9">
        <v>555.55499999999995</v>
      </c>
      <c r="J14" s="9"/>
      <c r="K14" s="2">
        <f>IF(表16[[#This Row],[制作价格]]&gt;0,表16[[#This Row],[购买价格w]]*0.95-表16[[#This Row],[制作价格]],0)</f>
        <v>0</v>
      </c>
      <c r="L14" s="3" cm="1">
        <f t="array" ref="L14">MIN(表16[[#This Row],[购买价格w]],表16[[#This Row],[制作价格]])*金价表[税后金价]</f>
        <v>70.760163157894723</v>
      </c>
      <c r="M14" s="3">
        <v>1</v>
      </c>
      <c r="N14" s="3">
        <f>IFERROR((表16[[#This Row],[等价rmb]]-$L$13)/表16[[#This Row],[提升]],0)</f>
        <v>40.955952631578938</v>
      </c>
    </row>
    <row r="15" spans="2:14" x14ac:dyDescent="0.2">
      <c r="H15" s="2" t="s">
        <v>95</v>
      </c>
      <c r="I15" s="9">
        <v>988.88879999999995</v>
      </c>
      <c r="J15" s="9"/>
      <c r="K15" s="2">
        <f>IF(表16[[#This Row],[制作价格]]&gt;0,表16[[#This Row],[购买价格w]]*0.95-表16[[#This Row],[制作价格]],0)</f>
        <v>0</v>
      </c>
      <c r="L15" s="3" cm="1">
        <f t="array" ref="L15">MIN(表16[[#This Row],[购买价格w]],表16[[#This Row],[制作价格]])*金价表[税后金价]</f>
        <v>125.95320505263157</v>
      </c>
      <c r="M15" s="3">
        <v>2</v>
      </c>
      <c r="N15" s="3">
        <f>IFERROR((表16[[#This Row],[等价rmb]]-$L$13)/表16[[#This Row],[提升]],0)</f>
        <v>48.074497263157895</v>
      </c>
    </row>
    <row r="16" spans="2:14" x14ac:dyDescent="0.2">
      <c r="H16" s="2" t="s">
        <v>92</v>
      </c>
      <c r="I16" s="9">
        <v>1488.8887999999999</v>
      </c>
      <c r="J16" s="9"/>
      <c r="K16" s="2">
        <f>IF(表16[[#This Row],[制作价格]]&gt;0,表16[[#This Row],[购买价格w]]*0.95-表16[[#This Row],[制作价格]],0)</f>
        <v>0</v>
      </c>
      <c r="L16" s="3" cm="1">
        <f t="array" ref="L16">MIN(表16[[#This Row],[购买价格w]],表16[[#This Row],[制作价格]])*金价表[税后金价]</f>
        <v>189.63741557894735</v>
      </c>
      <c r="M16" s="3">
        <v>3</v>
      </c>
      <c r="N16" s="3">
        <f>IFERROR((表16[[#This Row],[等价rmb]]-$L$13)/表16[[#This Row],[提升]],0)</f>
        <v>53.277735017543854</v>
      </c>
    </row>
    <row r="17" spans="8:20" x14ac:dyDescent="0.2">
      <c r="H17" s="2" t="s">
        <v>88</v>
      </c>
      <c r="I17" s="2">
        <v>1700</v>
      </c>
      <c r="J17" s="2"/>
      <c r="K17" s="2">
        <f>IF(表16[[#This Row],[制作价格]]&gt;0,表16[[#This Row],[购买价格w]]*0.95-表16[[#This Row],[制作价格]],0)</f>
        <v>0</v>
      </c>
      <c r="L17" cm="1">
        <f t="array" ref="L17">MIN(表16[[#This Row],[购买价格w]],表16[[#This Row],[制作价格]])*金价表[税后金价]</f>
        <v>216.52631578947367</v>
      </c>
      <c r="M17">
        <v>4</v>
      </c>
      <c r="N17" s="3">
        <f>IFERROR((表16[[#This Row],[等价rmb]]-$L$13)/表16[[#This Row],[提升]],0)</f>
        <v>46.680526315789471</v>
      </c>
    </row>
    <row r="18" spans="8:20" x14ac:dyDescent="0.2">
      <c r="H18" s="2" t="s">
        <v>91</v>
      </c>
      <c r="I18" s="2">
        <v>3000</v>
      </c>
      <c r="J18" s="2"/>
      <c r="K18" s="2">
        <f>IF(表16[[#This Row],[制作价格]]&gt;0,表16[[#This Row],[购买价格w]]*0.95-表16[[#This Row],[制作价格]],0)</f>
        <v>0</v>
      </c>
      <c r="L18" cm="1">
        <f t="array" ref="L18">MIN(表16[[#This Row],[购买价格w]],表16[[#This Row],[制作价格]])*金价表[税后金价]</f>
        <v>382.10526315789474</v>
      </c>
      <c r="M18">
        <v>5</v>
      </c>
      <c r="N18" s="3">
        <f>IFERROR((表16[[#This Row],[等价rmb]]-$L$13)/表16[[#This Row],[提升]],0)</f>
        <v>70.460210526315791</v>
      </c>
      <c r="Q18">
        <f>555.555+98</f>
        <v>653.55499999999995</v>
      </c>
      <c r="R18" s="1" cm="1">
        <f t="array" ref="R18">Q18*金价表[当前金价1w]</f>
        <v>79.080154999999991</v>
      </c>
    </row>
    <row r="19" spans="8:20" x14ac:dyDescent="0.2">
      <c r="H19" s="2" t="s">
        <v>100</v>
      </c>
      <c r="I19" s="2">
        <v>2988.8888000000002</v>
      </c>
      <c r="J19" s="2"/>
      <c r="K19" s="2">
        <f>IF(表16[[#This Row],[制作价格]]&gt;0,表16[[#This Row],[购买价格w]]*0.95-表16[[#This Row],[制作价格]],0)</f>
        <v>0</v>
      </c>
      <c r="L19" cm="1">
        <f t="array" ref="L19">MIN(表16[[#This Row],[购买价格w]],表16[[#This Row],[制作价格]])*金价表[税后金价]</f>
        <v>380.69004715789475</v>
      </c>
      <c r="M19">
        <v>6</v>
      </c>
      <c r="N19" s="3">
        <f>IFERROR((表16[[#This Row],[等价rmb]]-$L$13)/表16[[#This Row],[提升]],0)</f>
        <v>58.480972771929828</v>
      </c>
    </row>
    <row r="20" spans="8:20" x14ac:dyDescent="0.2">
      <c r="H20" s="2" t="s">
        <v>104</v>
      </c>
      <c r="I20" s="2">
        <v>8000</v>
      </c>
      <c r="J20" s="2"/>
      <c r="K20" s="2">
        <f>IF(表16[[#This Row],[制作价格]]&gt;0,表16[[#This Row],[购买价格w]]*0.95-表16[[#This Row],[制作价格]],0)</f>
        <v>0</v>
      </c>
      <c r="L20" cm="1">
        <f t="array" ref="L20">MIN(表16[[#This Row],[购买价格w]],表16[[#This Row],[制作价格]])*金价表[税后金价]</f>
        <v>1018.9473684210526</v>
      </c>
      <c r="M20">
        <v>7</v>
      </c>
      <c r="N20" s="3">
        <f>IFERROR((表16[[#This Row],[等价rmb]]-$L$13)/表16[[#This Row],[提升]],0)</f>
        <v>141.30616541353382</v>
      </c>
    </row>
    <row r="21" spans="8:20" x14ac:dyDescent="0.2">
      <c r="H21" s="2" t="s">
        <v>115</v>
      </c>
      <c r="I21" s="2">
        <v>2666</v>
      </c>
      <c r="J21" s="2">
        <f>1666+150*7</f>
        <v>2716</v>
      </c>
      <c r="K21" s="2">
        <f>IF(表16[[#This Row],[制作价格]]&gt;0,表16[[#This Row],[购买价格w]]*0.95-表16[[#This Row],[制作价格]],0)</f>
        <v>-183.30000000000018</v>
      </c>
      <c r="L21" cm="1">
        <f t="array" ref="L21">MIN(表16[[#This Row],[购买价格w]],表16[[#This Row],[制作价格]])*金价表[税后金价]</f>
        <v>339.56421052631578</v>
      </c>
      <c r="M21">
        <v>1</v>
      </c>
      <c r="N21" s="3">
        <f>IFERROR((表16[[#This Row],[等价rmb]]-$L$21)/表16[[#This Row],[提升]],0)</f>
        <v>0</v>
      </c>
    </row>
    <row r="22" spans="8:20" x14ac:dyDescent="0.2">
      <c r="H22" s="2" t="s">
        <v>116</v>
      </c>
      <c r="I22" s="2">
        <v>2888</v>
      </c>
      <c r="J22" s="2">
        <f>3333+150*7</f>
        <v>4383</v>
      </c>
      <c r="K22" s="2">
        <f>IF(表16[[#This Row],[制作价格]]&gt;0,表16[[#This Row],[购买价格w]]*0.95-表16[[#This Row],[制作价格]],0)</f>
        <v>-1639.4</v>
      </c>
      <c r="L22" cm="1">
        <f t="array" ref="L22">MIN(表16[[#This Row],[购买价格w]],表16[[#This Row],[制作价格]])*金价表[税后金价]</f>
        <v>367.84</v>
      </c>
      <c r="M22">
        <v>1</v>
      </c>
      <c r="N22" s="3">
        <f>IFERROR((表16[[#This Row],[等价rmb]]-$L$21)/表16[[#This Row],[提升]],0)</f>
        <v>28.275789473684199</v>
      </c>
    </row>
    <row r="23" spans="8:20" x14ac:dyDescent="0.2">
      <c r="H23" s="2" t="s">
        <v>117</v>
      </c>
      <c r="I23" s="2">
        <v>7777</v>
      </c>
      <c r="J23" s="2">
        <f>9999+150*7</f>
        <v>11049</v>
      </c>
      <c r="K23" s="2">
        <f>IF(表16[[#This Row],[制作价格]]&gt;0,表16[[#This Row],[购买价格w]]*0.95-表16[[#This Row],[制作价格]],0)</f>
        <v>-3660.8500000000004</v>
      </c>
      <c r="L23" cm="1">
        <f t="array" ref="L23">MIN(表16[[#This Row],[购买价格w]],表16[[#This Row],[制作价格]])*金价表[税后金价]</f>
        <v>990.54421052631574</v>
      </c>
      <c r="N23" s="3"/>
    </row>
    <row r="24" spans="8:20" x14ac:dyDescent="0.2">
      <c r="H24" s="2" t="s">
        <v>118</v>
      </c>
      <c r="I24" s="2"/>
      <c r="J24" s="2">
        <f>4988.8888+49</f>
        <v>5037.8887999999997</v>
      </c>
      <c r="K24" s="2">
        <f>IF(表16[[#This Row],[制作价格]]&gt;0,表16[[#This Row],[购买价格w]]*0.95-表16[[#This Row],[制作价格]],0)</f>
        <v>-5037.8887999999997</v>
      </c>
      <c r="L24" cm="1">
        <f t="array" ref="L24">MIN(表16[[#This Row],[购买价格w]],表16[[#This Row],[制作价格]])*金价表[税后金价]</f>
        <v>641.66794189473683</v>
      </c>
      <c r="M24">
        <v>2</v>
      </c>
      <c r="N24" s="3">
        <f>IFERROR((表16[[#This Row],[等价rmb]]-$L$21)/表16[[#This Row],[提升]],0)</f>
        <v>151.05186568421053</v>
      </c>
    </row>
    <row r="25" spans="8:20" x14ac:dyDescent="0.2">
      <c r="H25" s="2" t="s">
        <v>132</v>
      </c>
      <c r="I25" s="2"/>
      <c r="J25" s="2"/>
      <c r="K25" s="2">
        <f>IF(表16[[#This Row],[制作价格]]&gt;0,表16[[#This Row],[购买价格w]]*0.95-表16[[#This Row],[制作价格]],0)</f>
        <v>0</v>
      </c>
      <c r="L25" cm="1">
        <f t="array" ref="L25">MIN(表16[[#This Row],[购买价格w]],表16[[#This Row],[制作价格]])*金价表[税后金价]</f>
        <v>0</v>
      </c>
      <c r="M25">
        <v>3</v>
      </c>
      <c r="N25" s="3">
        <f>IFERROR((表16[[#This Row],[等价rmb]]-$L$21)/表16[[#This Row],[提升]],0)</f>
        <v>-113.1880701754386</v>
      </c>
      <c r="Q25" t="s">
        <v>110</v>
      </c>
      <c r="R25" t="s">
        <v>109</v>
      </c>
      <c r="S25" t="s">
        <v>113</v>
      </c>
    </row>
    <row r="26" spans="8:20" x14ac:dyDescent="0.2">
      <c r="H26" s="2" t="s">
        <v>133</v>
      </c>
      <c r="I26" s="2"/>
      <c r="J26" s="2"/>
      <c r="K26" s="2">
        <f>IF(表16[[#This Row],[制作价格]]&gt;0,表16[[#This Row],[购买价格w]]*0.95-表16[[#This Row],[制作价格]],0)</f>
        <v>0</v>
      </c>
      <c r="L26" cm="1">
        <f t="array" ref="L26">MIN(表16[[#This Row],[购买价格w]],表16[[#This Row],[制作价格]])*金价表[税后金价]</f>
        <v>0</v>
      </c>
      <c r="M26">
        <v>4</v>
      </c>
      <c r="N26" s="3">
        <f>IFERROR((表16[[#This Row],[等价rmb]]-$L$21)/表16[[#This Row],[提升]],0)</f>
        <v>-84.891052631578944</v>
      </c>
      <c r="Q26">
        <v>200</v>
      </c>
      <c r="R26">
        <v>86</v>
      </c>
      <c r="S26">
        <f>5*7</f>
        <v>35</v>
      </c>
    </row>
    <row r="27" spans="8:20" x14ac:dyDescent="0.2">
      <c r="H27" s="2" t="s">
        <v>134</v>
      </c>
      <c r="I27" s="2"/>
      <c r="J27" s="2"/>
      <c r="K27" s="2">
        <f>IF(表16[[#This Row],[制作价格]]&gt;0,表16[[#This Row],[购买价格w]]*0.95-表16[[#This Row],[制作价格]],0)</f>
        <v>0</v>
      </c>
      <c r="L27" cm="1">
        <f t="array" ref="L27">MIN(表16[[#This Row],[购买价格w]],表16[[#This Row],[制作价格]])*金价表[税后金价]</f>
        <v>0</v>
      </c>
      <c r="M27">
        <v>5</v>
      </c>
      <c r="N27" s="3">
        <f>IFERROR((表16[[#This Row],[等价rmb]]-$L$21)/表16[[#This Row],[提升]],0)</f>
        <v>-67.912842105263152</v>
      </c>
      <c r="R27" s="1">
        <f>SUM(Q26:S26)</f>
        <v>321</v>
      </c>
      <c r="T27" cm="1">
        <f t="array" ref="T27">R27/金价表[税后金价]</f>
        <v>2520.2479338842977</v>
      </c>
    </row>
    <row r="28" spans="8:20" x14ac:dyDescent="0.2">
      <c r="H28" s="2" t="s">
        <v>135</v>
      </c>
      <c r="I28" s="2"/>
      <c r="J28" s="2"/>
      <c r="K28" s="2">
        <f>IF(表16[[#This Row],[制作价格]]&gt;0,表16[[#This Row],[购买价格w]]*0.95-表16[[#This Row],[制作价格]],0)</f>
        <v>0</v>
      </c>
      <c r="L28" cm="1">
        <f t="array" ref="L28">MIN(表16[[#This Row],[购买价格w]],表16[[#This Row],[制作价格]])*金价表[税后金价]</f>
        <v>0</v>
      </c>
      <c r="M28">
        <v>7</v>
      </c>
      <c r="N28" s="3">
        <f>IFERROR((表16[[#This Row],[等价rmb]]-$L$21)/表16[[#This Row],[提升]],0)</f>
        <v>-48.509172932330827</v>
      </c>
    </row>
    <row r="29" spans="8:20" x14ac:dyDescent="0.2">
      <c r="H29" s="2" t="s">
        <v>136</v>
      </c>
      <c r="I29" s="2"/>
      <c r="J29" s="2"/>
      <c r="K29" s="2">
        <f>IF(表16[[#This Row],[制作价格]]&gt;0,表16[[#This Row],[购买价格w]]*0.95-表16[[#This Row],[制作价格]],0)</f>
        <v>0</v>
      </c>
      <c r="L29" cm="1">
        <f t="array" ref="L29">MIN(表16[[#This Row],[购买价格w]],表16[[#This Row],[制作价格]])*金价表[税后金价]</f>
        <v>0</v>
      </c>
      <c r="M29">
        <v>8</v>
      </c>
      <c r="N29" s="3">
        <f>IFERROR((表16[[#This Row],[等价rmb]]-$L$21)/表16[[#This Row],[提升]],0)</f>
        <v>-42.445526315789472</v>
      </c>
      <c r="Q29" t="s">
        <v>108</v>
      </c>
      <c r="R29">
        <f>4*140</f>
        <v>560</v>
      </c>
      <c r="S29" t="s">
        <v>112</v>
      </c>
    </row>
    <row r="30" spans="8:20" x14ac:dyDescent="0.2">
      <c r="H30" s="2" t="s">
        <v>137</v>
      </c>
      <c r="I30" s="2"/>
      <c r="J30" s="2"/>
      <c r="K30" s="2">
        <f>IF(表16[[#This Row],[制作价格]]&gt;0,表16[[#This Row],[购买价格w]]*0.95-表16[[#This Row],[制作价格]],0)</f>
        <v>0</v>
      </c>
      <c r="L30" cm="1">
        <f t="array" ref="L30">MIN(表16[[#This Row],[购买价格w]],表16[[#This Row],[制作价格]])*金价表[税后金价]</f>
        <v>0</v>
      </c>
      <c r="M30">
        <v>9</v>
      </c>
      <c r="N30" s="3">
        <f>IFERROR((表16[[#This Row],[等价rmb]]-$L$21)/表16[[#This Row],[提升]],0)</f>
        <v>-37.729356725146197</v>
      </c>
      <c r="Q30" t="s">
        <v>111</v>
      </c>
      <c r="R30" s="1">
        <f>L28-R29</f>
        <v>-560</v>
      </c>
    </row>
    <row r="31" spans="8:20" x14ac:dyDescent="0.2">
      <c r="H31" s="8" t="s">
        <v>98</v>
      </c>
      <c r="I31" s="2">
        <v>236</v>
      </c>
      <c r="J31" s="2"/>
      <c r="K31" s="2">
        <f>IF(表16[[#This Row],[制作价格]]&gt;0,表16[[#This Row],[购买价格w]]*0.95-表16[[#This Row],[制作价格]],0)</f>
        <v>0</v>
      </c>
      <c r="L31" cm="1">
        <f t="array" ref="L31">MIN(表16[[#This Row],[购买价格w]],表16[[#This Row],[制作价格]])*金价表[税后金价]</f>
        <v>30.058947368421052</v>
      </c>
    </row>
    <row r="32" spans="8:20" x14ac:dyDescent="0.2">
      <c r="H32" s="8" t="s">
        <v>99</v>
      </c>
      <c r="I32" s="2">
        <v>386</v>
      </c>
      <c r="J32" s="2"/>
      <c r="K32" s="2">
        <f>IF(表16[[#This Row],[制作价格]]&gt;0,表16[[#This Row],[购买价格w]]*0.95-表16[[#This Row],[制作价格]],0)</f>
        <v>0</v>
      </c>
      <c r="L32" cm="1">
        <f t="array" ref="L32">MIN(表16[[#This Row],[购买价格w]],表16[[#This Row],[制作价格]])*金价表[税后金价]</f>
        <v>49.164210526315784</v>
      </c>
      <c r="R32">
        <f>2200/0.35</f>
        <v>6285.7142857142862</v>
      </c>
    </row>
    <row r="33" spans="8:17" x14ac:dyDescent="0.2">
      <c r="H33" s="8" t="s">
        <v>102</v>
      </c>
      <c r="I33" s="2">
        <v>114</v>
      </c>
      <c r="J33" s="2"/>
      <c r="K33" s="2">
        <f>IF(表16[[#This Row],[制作价格]]&gt;0,表16[[#This Row],[购买价格w]]*0.95-表16[[#This Row],[制作价格]],0)</f>
        <v>0</v>
      </c>
      <c r="L33" cm="1">
        <f t="array" ref="L33">MIN(表16[[#This Row],[购买价格w]],表16[[#This Row],[制作价格]])*金价表[税后金价]</f>
        <v>14.52</v>
      </c>
    </row>
    <row r="34" spans="8:17" x14ac:dyDescent="0.2">
      <c r="H34" s="8" t="s">
        <v>103</v>
      </c>
      <c r="I34" s="2">
        <v>326</v>
      </c>
      <c r="J34" s="2"/>
      <c r="K34" s="2">
        <f>IF(表16[[#This Row],[制作价格]]&gt;0,表16[[#This Row],[购买价格w]]*0.95-表16[[#This Row],[制作价格]],0)</f>
        <v>0</v>
      </c>
      <c r="L34" cm="1">
        <f t="array" ref="L34">MIN(表16[[#This Row],[购买价格w]],表16[[#This Row],[制作价格]])*金价表[税后金价]</f>
        <v>41.522105263157897</v>
      </c>
    </row>
    <row r="41" spans="8:17" x14ac:dyDescent="0.2">
      <c r="Q41">
        <f>34+1.2*7</f>
        <v>42.4</v>
      </c>
    </row>
  </sheetData>
  <phoneticPr fontId="1" type="noConversion"/>
  <conditionalFormatting sqref="K13:K34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{E3D1041C-7597-4816-AA60-FA7CE506DFD8}</x14:id>
        </ext>
      </extLst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D1041C-7597-4816-AA60-FA7CE506DFD8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K13:K34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1511-4C2F-4DD6-AA52-B915B93A247B}">
  <dimension ref="A1:S102"/>
  <sheetViews>
    <sheetView zoomScaleNormal="100" workbookViewId="0">
      <pane xSplit="2" ySplit="2" topLeftCell="C38" activePane="bottomRight" state="frozen"/>
      <selection pane="topRight" activeCell="C1" sqref="C1"/>
      <selection pane="bottomLeft" activeCell="A3" sqref="A3"/>
      <selection pane="bottomRight" activeCell="S55" sqref="S55"/>
    </sheetView>
  </sheetViews>
  <sheetFormatPr defaultRowHeight="14.25" x14ac:dyDescent="0.2"/>
  <cols>
    <col min="2" max="2" width="10.25" customWidth="1"/>
    <col min="5" max="5" width="17.25" customWidth="1"/>
    <col min="6" max="7" width="9.5" bestFit="1" customWidth="1"/>
    <col min="9" max="10" width="9.625" customWidth="1"/>
    <col min="11" max="11" width="9.75" customWidth="1"/>
    <col min="12" max="12" width="13.375" customWidth="1"/>
  </cols>
  <sheetData>
    <row r="1" spans="1:19" x14ac:dyDescent="0.2">
      <c r="A1" t="s">
        <v>22</v>
      </c>
    </row>
    <row r="2" spans="1:19" x14ac:dyDescent="0.2">
      <c r="A2" t="s">
        <v>20</v>
      </c>
      <c r="B2" t="s">
        <v>21</v>
      </c>
      <c r="C2" t="s">
        <v>122</v>
      </c>
    </row>
    <row r="3" spans="1:19" x14ac:dyDescent="0.2">
      <c r="A3">
        <v>1</v>
      </c>
      <c r="B3" s="4">
        <v>15</v>
      </c>
      <c r="C3">
        <f>经验表[[#This Row],[升级所需]]/10000</f>
        <v>1.5E-3</v>
      </c>
    </row>
    <row r="4" spans="1:19" x14ac:dyDescent="0.2">
      <c r="A4">
        <v>2</v>
      </c>
      <c r="B4" s="4">
        <v>34</v>
      </c>
      <c r="C4">
        <f>经验表[[#This Row],[升级所需]]/10000</f>
        <v>3.3999999999999998E-3</v>
      </c>
      <c r="E4" s="4"/>
    </row>
    <row r="5" spans="1:19" x14ac:dyDescent="0.2">
      <c r="A5">
        <v>3</v>
      </c>
      <c r="B5" s="4">
        <v>57</v>
      </c>
      <c r="C5">
        <f>经验表[[#This Row],[升级所需]]/10000</f>
        <v>5.7000000000000002E-3</v>
      </c>
    </row>
    <row r="6" spans="1:19" x14ac:dyDescent="0.2">
      <c r="A6">
        <v>4</v>
      </c>
      <c r="B6" s="4">
        <v>92</v>
      </c>
      <c r="C6">
        <f>经验表[[#This Row],[升级所需]]/10000</f>
        <v>9.1999999999999998E-3</v>
      </c>
    </row>
    <row r="7" spans="1:19" x14ac:dyDescent="0.2">
      <c r="A7">
        <v>5</v>
      </c>
      <c r="B7" s="4">
        <v>135</v>
      </c>
      <c r="C7">
        <f>经验表[[#This Row],[升级所需]]/10000</f>
        <v>1.35E-2</v>
      </c>
    </row>
    <row r="8" spans="1:19" x14ac:dyDescent="0.2">
      <c r="A8">
        <v>6</v>
      </c>
      <c r="B8" s="4">
        <v>372</v>
      </c>
      <c r="C8">
        <f>经验表[[#This Row],[升级所需]]/10000</f>
        <v>3.7199999999999997E-2</v>
      </c>
      <c r="O8" t="s">
        <v>46</v>
      </c>
      <c r="P8" t="s">
        <v>47</v>
      </c>
      <c r="Q8" t="s">
        <v>50</v>
      </c>
      <c r="R8" t="s">
        <v>48</v>
      </c>
      <c r="S8" t="s">
        <v>49</v>
      </c>
    </row>
    <row r="9" spans="1:19" x14ac:dyDescent="0.2">
      <c r="A9">
        <v>7</v>
      </c>
      <c r="B9" s="4">
        <v>560</v>
      </c>
      <c r="C9">
        <f>经验表[[#This Row],[升级所需]]/10000</f>
        <v>5.6000000000000001E-2</v>
      </c>
      <c r="O9">
        <v>46</v>
      </c>
      <c r="P9" t="s">
        <v>52</v>
      </c>
      <c r="Q9">
        <v>1.8</v>
      </c>
      <c r="R9">
        <v>77</v>
      </c>
      <c r="S9">
        <f>表9[[#This Row],[exp]]/表9[[#This Row],[击杀次数]]</f>
        <v>42.777777777777779</v>
      </c>
    </row>
    <row r="10" spans="1:19" x14ac:dyDescent="0.2">
      <c r="A10">
        <v>8</v>
      </c>
      <c r="B10" s="4">
        <v>840</v>
      </c>
      <c r="C10">
        <f>经验表[[#This Row],[升级所需]]/10000</f>
        <v>8.4000000000000005E-2</v>
      </c>
      <c r="O10">
        <v>46</v>
      </c>
      <c r="P10" t="s">
        <v>51</v>
      </c>
      <c r="Q10">
        <v>4.5</v>
      </c>
      <c r="R10">
        <v>170</v>
      </c>
      <c r="S10">
        <f>表9[[#This Row],[exp]]/表9[[#This Row],[击杀次数]]</f>
        <v>37.777777777777779</v>
      </c>
    </row>
    <row r="11" spans="1:19" x14ac:dyDescent="0.2">
      <c r="A11">
        <v>9</v>
      </c>
      <c r="B11" s="4">
        <v>1242</v>
      </c>
      <c r="C11">
        <f>经验表[[#This Row],[升级所需]]/10000</f>
        <v>0.1242</v>
      </c>
      <c r="O11">
        <v>48</v>
      </c>
      <c r="P11" t="s">
        <v>58</v>
      </c>
      <c r="Q11">
        <v>3.8</v>
      </c>
      <c r="R11">
        <v>170</v>
      </c>
      <c r="S11">
        <f>表9[[#This Row],[exp]]/表9[[#This Row],[击杀次数]]</f>
        <v>44.736842105263158</v>
      </c>
    </row>
    <row r="12" spans="1:19" x14ac:dyDescent="0.2">
      <c r="A12">
        <v>10</v>
      </c>
      <c r="B12" s="4">
        <v>1716</v>
      </c>
      <c r="C12">
        <f>经验表[[#This Row],[升级所需]]/10000</f>
        <v>0.1716</v>
      </c>
    </row>
    <row r="13" spans="1:19" x14ac:dyDescent="0.2">
      <c r="A13">
        <v>11</v>
      </c>
      <c r="B13" s="4">
        <v>2360</v>
      </c>
      <c r="C13">
        <f>经验表[[#This Row],[升级所需]]/10000</f>
        <v>0.23599999999999999</v>
      </c>
    </row>
    <row r="14" spans="1:19" x14ac:dyDescent="0.2">
      <c r="A14">
        <v>12</v>
      </c>
      <c r="B14" s="4">
        <v>3216</v>
      </c>
      <c r="C14">
        <f>经验表[[#This Row],[升级所需]]/10000</f>
        <v>0.3216</v>
      </c>
    </row>
    <row r="15" spans="1:19" x14ac:dyDescent="0.2">
      <c r="A15">
        <v>13</v>
      </c>
      <c r="B15" s="4">
        <v>4200</v>
      </c>
      <c r="C15">
        <f>经验表[[#This Row],[升级所需]]/10000</f>
        <v>0.42</v>
      </c>
    </row>
    <row r="16" spans="1:19" x14ac:dyDescent="0.2">
      <c r="A16">
        <v>14</v>
      </c>
      <c r="B16" s="4">
        <v>5460</v>
      </c>
      <c r="C16">
        <f>经验表[[#This Row],[升级所需]]/10000</f>
        <v>0.54600000000000004</v>
      </c>
    </row>
    <row r="17" spans="1:12" x14ac:dyDescent="0.2">
      <c r="A17">
        <v>15</v>
      </c>
      <c r="B17" s="4">
        <v>7050</v>
      </c>
      <c r="C17">
        <f>经验表[[#This Row],[升级所需]]/10000</f>
        <v>0.70499999999999996</v>
      </c>
    </row>
    <row r="18" spans="1:12" x14ac:dyDescent="0.2">
      <c r="A18">
        <v>16</v>
      </c>
      <c r="B18" s="4">
        <v>8840</v>
      </c>
      <c r="C18">
        <f>经验表[[#This Row],[升级所需]]/10000</f>
        <v>0.88400000000000001</v>
      </c>
    </row>
    <row r="19" spans="1:12" x14ac:dyDescent="0.2">
      <c r="A19">
        <v>17</v>
      </c>
      <c r="B19" s="4">
        <v>11040</v>
      </c>
      <c r="C19">
        <f>经验表[[#This Row],[升级所需]]/10000</f>
        <v>1.1040000000000001</v>
      </c>
    </row>
    <row r="20" spans="1:12" x14ac:dyDescent="0.2">
      <c r="A20">
        <v>18</v>
      </c>
      <c r="B20" s="4">
        <v>13716</v>
      </c>
      <c r="C20">
        <f>经验表[[#This Row],[升级所需]]/10000</f>
        <v>1.3715999999999999</v>
      </c>
    </row>
    <row r="21" spans="1:12" x14ac:dyDescent="0.2">
      <c r="A21">
        <v>19</v>
      </c>
      <c r="B21" s="4">
        <v>16680</v>
      </c>
      <c r="C21">
        <f>经验表[[#This Row],[升级所需]]/10000</f>
        <v>1.6679999999999999</v>
      </c>
    </row>
    <row r="22" spans="1:12" x14ac:dyDescent="0.2">
      <c r="A22">
        <v>20</v>
      </c>
      <c r="B22" s="4">
        <v>20216</v>
      </c>
      <c r="C22">
        <f>经验表[[#This Row],[升级所需]]/10000</f>
        <v>2.0215999999999998</v>
      </c>
    </row>
    <row r="23" spans="1:12" x14ac:dyDescent="0.2">
      <c r="A23">
        <v>21</v>
      </c>
      <c r="B23" s="4">
        <v>24402</v>
      </c>
      <c r="C23">
        <f>经验表[[#This Row],[升级所需]]/10000</f>
        <v>2.4401999999999999</v>
      </c>
    </row>
    <row r="24" spans="1:12" x14ac:dyDescent="0.2">
      <c r="A24">
        <v>22</v>
      </c>
      <c r="B24" s="4">
        <v>28980</v>
      </c>
      <c r="C24">
        <f>经验表[[#This Row],[升级所需]]/10000</f>
        <v>2.8980000000000001</v>
      </c>
    </row>
    <row r="25" spans="1:12" x14ac:dyDescent="0.2">
      <c r="A25">
        <v>23</v>
      </c>
      <c r="B25" s="4">
        <v>34320</v>
      </c>
      <c r="C25">
        <f>经验表[[#This Row],[升级所需]]/10000</f>
        <v>3.4319999999999999</v>
      </c>
    </row>
    <row r="26" spans="1:12" x14ac:dyDescent="0.2">
      <c r="A26">
        <v>24</v>
      </c>
      <c r="B26" s="4">
        <v>40512</v>
      </c>
      <c r="C26">
        <f>经验表[[#This Row],[升级所需]]/10000</f>
        <v>4.0511999999999997</v>
      </c>
    </row>
    <row r="27" spans="1:12" x14ac:dyDescent="0.2">
      <c r="A27">
        <v>25</v>
      </c>
      <c r="B27" s="4">
        <v>47216</v>
      </c>
      <c r="C27">
        <f>经验表[[#This Row],[升级所需]]/10000</f>
        <v>4.7215999999999996</v>
      </c>
    </row>
    <row r="28" spans="1:12" x14ac:dyDescent="0.2">
      <c r="A28">
        <v>26</v>
      </c>
      <c r="B28" s="4">
        <v>54900</v>
      </c>
      <c r="C28">
        <f>经验表[[#This Row],[升级所需]]/10000</f>
        <v>5.49</v>
      </c>
    </row>
    <row r="29" spans="1:12" x14ac:dyDescent="0.2">
      <c r="A29">
        <v>27</v>
      </c>
      <c r="B29" s="4">
        <v>63666</v>
      </c>
      <c r="C29">
        <f>经验表[[#This Row],[升级所需]]/10000</f>
        <v>6.3666</v>
      </c>
    </row>
    <row r="30" spans="1:12" x14ac:dyDescent="0.2">
      <c r="A30">
        <v>28</v>
      </c>
      <c r="B30" s="4">
        <v>73080</v>
      </c>
      <c r="C30">
        <f>经验表[[#This Row],[升级所需]]/10000</f>
        <v>7.3079999999999998</v>
      </c>
    </row>
    <row r="31" spans="1:12" x14ac:dyDescent="0.2">
      <c r="A31">
        <v>29</v>
      </c>
      <c r="B31" s="4">
        <v>83720</v>
      </c>
      <c r="C31">
        <f>经验表[[#This Row],[升级所需]]/10000</f>
        <v>8.3719999999999999</v>
      </c>
    </row>
    <row r="32" spans="1:12" x14ac:dyDescent="0.2">
      <c r="A32">
        <v>30</v>
      </c>
      <c r="B32" s="4">
        <v>95700</v>
      </c>
      <c r="C32">
        <f>经验表[[#This Row],[升级所需]]/10000</f>
        <v>9.57</v>
      </c>
      <c r="E32" t="s">
        <v>25</v>
      </c>
      <c r="F32" t="s">
        <v>23</v>
      </c>
      <c r="G32" t="s">
        <v>18</v>
      </c>
      <c r="H32" t="s">
        <v>24</v>
      </c>
      <c r="I32" t="s">
        <v>19</v>
      </c>
      <c r="J32" t="s">
        <v>120</v>
      </c>
      <c r="K32" t="s">
        <v>16</v>
      </c>
      <c r="L32" t="s">
        <v>17</v>
      </c>
    </row>
    <row r="33" spans="1:12" x14ac:dyDescent="0.2">
      <c r="A33">
        <v>31</v>
      </c>
      <c r="B33" s="4">
        <v>108480</v>
      </c>
      <c r="C33">
        <f>经验表[[#This Row],[升级所需]]/10000</f>
        <v>10.848000000000001</v>
      </c>
      <c r="E33" t="s">
        <v>15</v>
      </c>
      <c r="F33" s="2">
        <v>40</v>
      </c>
      <c r="G33" s="2">
        <v>26000</v>
      </c>
      <c r="H33" s="2">
        <v>40</v>
      </c>
      <c r="I33" s="2">
        <v>81200</v>
      </c>
      <c r="J33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5.52</v>
      </c>
      <c r="K33" s="2">
        <v>30</v>
      </c>
      <c r="L33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11.04</v>
      </c>
    </row>
    <row r="34" spans="1:12" x14ac:dyDescent="0.2">
      <c r="A34">
        <v>32</v>
      </c>
      <c r="B34" s="4">
        <v>122760</v>
      </c>
      <c r="C34">
        <f>经验表[[#This Row],[升级所需]]/10000</f>
        <v>12.276</v>
      </c>
      <c r="E34" s="7" t="s">
        <v>31</v>
      </c>
      <c r="F34" s="2">
        <v>40</v>
      </c>
      <c r="G34" s="2">
        <v>133763</v>
      </c>
      <c r="H34" s="2">
        <v>43</v>
      </c>
      <c r="I34" s="2">
        <v>22680</v>
      </c>
      <c r="J34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86.428899999999999</v>
      </c>
      <c r="K34" s="2">
        <f>60*10</f>
        <v>600</v>
      </c>
      <c r="L34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8.6428900000000013</v>
      </c>
    </row>
    <row r="35" spans="1:12" x14ac:dyDescent="0.2">
      <c r="A35">
        <v>33</v>
      </c>
      <c r="B35" s="4">
        <v>138666</v>
      </c>
      <c r="C35">
        <f>经验表[[#This Row],[升级所需]]/10000</f>
        <v>13.8666</v>
      </c>
      <c r="E35" t="s">
        <v>29</v>
      </c>
      <c r="F35" s="2">
        <v>43</v>
      </c>
      <c r="G35" s="2">
        <v>87310</v>
      </c>
      <c r="H35" s="2">
        <v>43</v>
      </c>
      <c r="I35" s="2">
        <v>92773</v>
      </c>
      <c r="J35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0.54630000000000001</v>
      </c>
      <c r="K35">
        <v>5.5</v>
      </c>
      <c r="L35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5.9596363636363634</v>
      </c>
    </row>
    <row r="36" spans="1:12" x14ac:dyDescent="0.2">
      <c r="A36">
        <v>34</v>
      </c>
      <c r="B36" s="4">
        <v>155540</v>
      </c>
      <c r="C36">
        <f>经验表[[#This Row],[升级所需]]/10000</f>
        <v>15.554</v>
      </c>
      <c r="E36" t="s">
        <v>15</v>
      </c>
      <c r="F36" s="2">
        <v>43</v>
      </c>
      <c r="G36" s="2">
        <v>94150</v>
      </c>
      <c r="H36" s="2">
        <v>43</v>
      </c>
      <c r="I36" s="2">
        <v>110531</v>
      </c>
      <c r="J36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1.6380999999999999</v>
      </c>
      <c r="K36">
        <v>10</v>
      </c>
      <c r="L36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9.8285999999999998</v>
      </c>
    </row>
    <row r="37" spans="1:12" x14ac:dyDescent="0.2">
      <c r="A37">
        <v>35</v>
      </c>
      <c r="B37" s="4">
        <v>174216</v>
      </c>
      <c r="C37">
        <f>经验表[[#This Row],[升级所需]]/10000</f>
        <v>17.421600000000002</v>
      </c>
      <c r="E37" t="s">
        <v>30</v>
      </c>
      <c r="F37" s="2">
        <v>43</v>
      </c>
      <c r="G37" s="2">
        <v>112780</v>
      </c>
      <c r="H37" s="2">
        <v>43</v>
      </c>
      <c r="I37" s="2">
        <v>126399</v>
      </c>
      <c r="J37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1.3619000000000001</v>
      </c>
      <c r="K37">
        <v>7</v>
      </c>
      <c r="L37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11.673428571428571</v>
      </c>
    </row>
    <row r="38" spans="1:12" x14ac:dyDescent="0.2">
      <c r="A38">
        <v>36</v>
      </c>
      <c r="B38" s="4">
        <v>194832</v>
      </c>
      <c r="C38">
        <f>经验表[[#This Row],[升级所需]]/10000</f>
        <v>19.4832</v>
      </c>
      <c r="E38" t="s">
        <v>32</v>
      </c>
      <c r="F38" s="2">
        <v>43</v>
      </c>
      <c r="G38" s="2">
        <v>362750</v>
      </c>
      <c r="H38" s="2">
        <v>45</v>
      </c>
      <c r="I38" s="2">
        <v>84</v>
      </c>
      <c r="J38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45.677399999999999</v>
      </c>
      <c r="K38">
        <f>5*60</f>
        <v>300</v>
      </c>
      <c r="L38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9.1354800000000012</v>
      </c>
    </row>
    <row r="39" spans="1:12" x14ac:dyDescent="0.2">
      <c r="A39">
        <v>37</v>
      </c>
      <c r="B39" s="4">
        <v>216600</v>
      </c>
      <c r="C39">
        <f>经验表[[#This Row],[升级所需]]/10000</f>
        <v>21.66</v>
      </c>
      <c r="E39" s="7" t="s">
        <v>33</v>
      </c>
      <c r="F39" s="2">
        <v>45</v>
      </c>
      <c r="G39" s="2">
        <v>84</v>
      </c>
      <c r="H39" s="2">
        <v>50</v>
      </c>
      <c r="I39" s="2">
        <v>0</v>
      </c>
      <c r="J39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279.40820000000002</v>
      </c>
      <c r="K39">
        <f>25*60</f>
        <v>1500</v>
      </c>
      <c r="L39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11.176328</v>
      </c>
    </row>
    <row r="40" spans="1:12" x14ac:dyDescent="0.2">
      <c r="A40">
        <v>38</v>
      </c>
      <c r="B40" s="4">
        <v>240500</v>
      </c>
      <c r="C40">
        <f>经验表[[#This Row],[升级所需]]/10000</f>
        <v>24.05</v>
      </c>
      <c r="E40" t="s">
        <v>34</v>
      </c>
      <c r="F40" s="5">
        <v>45</v>
      </c>
      <c r="G40" s="2">
        <v>77900</v>
      </c>
      <c r="H40" s="5">
        <v>45</v>
      </c>
      <c r="I40" s="2">
        <v>98977</v>
      </c>
      <c r="J40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2.1076999999999999</v>
      </c>
      <c r="K40">
        <v>15</v>
      </c>
      <c r="L40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8.4307999999999996</v>
      </c>
    </row>
    <row r="41" spans="1:12" x14ac:dyDescent="0.2">
      <c r="A41">
        <v>39</v>
      </c>
      <c r="B41" s="4">
        <v>266682</v>
      </c>
      <c r="C41">
        <f>经验表[[#This Row],[升级所需]]/10000</f>
        <v>26.668199999999999</v>
      </c>
      <c r="E41" t="s">
        <v>30</v>
      </c>
      <c r="F41" s="5">
        <v>45</v>
      </c>
      <c r="G41" s="2">
        <v>99076</v>
      </c>
      <c r="H41" s="5">
        <v>45</v>
      </c>
      <c r="I41" s="2">
        <v>220414</v>
      </c>
      <c r="J41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12.133800000000001</v>
      </c>
      <c r="K41">
        <v>60</v>
      </c>
      <c r="L41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12.133800000000001</v>
      </c>
    </row>
    <row r="42" spans="1:12" x14ac:dyDescent="0.2">
      <c r="A42">
        <v>40</v>
      </c>
      <c r="B42" s="4">
        <v>294216</v>
      </c>
      <c r="C42">
        <f>经验表[[#This Row],[升级所需]]/10000</f>
        <v>29.421600000000002</v>
      </c>
      <c r="E42" t="s">
        <v>45</v>
      </c>
      <c r="F42" s="2">
        <v>40</v>
      </c>
      <c r="G42" s="2">
        <v>0</v>
      </c>
      <c r="H42" s="2">
        <v>50</v>
      </c>
      <c r="I42" s="2">
        <v>0</v>
      </c>
      <c r="J42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458.89780000000002</v>
      </c>
      <c r="K42">
        <v>2400</v>
      </c>
      <c r="L42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11.472445</v>
      </c>
    </row>
    <row r="43" spans="1:12" x14ac:dyDescent="0.2">
      <c r="A43">
        <v>41</v>
      </c>
      <c r="B43" s="4">
        <v>324240</v>
      </c>
      <c r="C43">
        <f>经验表[[#This Row],[升级所需]]/10000</f>
        <v>32.423999999999999</v>
      </c>
      <c r="E43" t="s">
        <v>56</v>
      </c>
      <c r="F43" s="2">
        <v>46</v>
      </c>
      <c r="G43" s="2">
        <v>182769</v>
      </c>
      <c r="H43" s="2">
        <v>46</v>
      </c>
      <c r="I43" s="2">
        <v>327700</v>
      </c>
      <c r="J43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14.4931</v>
      </c>
      <c r="K43">
        <v>60</v>
      </c>
      <c r="L43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14.4931</v>
      </c>
    </row>
    <row r="44" spans="1:12" x14ac:dyDescent="0.2">
      <c r="A44">
        <v>42</v>
      </c>
      <c r="B44" s="4">
        <v>356916</v>
      </c>
      <c r="C44">
        <f>经验表[[#This Row],[升级所需]]/10000</f>
        <v>35.691600000000001</v>
      </c>
      <c r="E44" t="s">
        <v>56</v>
      </c>
      <c r="F44" s="2">
        <v>46</v>
      </c>
      <c r="G44" s="2">
        <v>332890</v>
      </c>
      <c r="H44" s="2">
        <v>47</v>
      </c>
      <c r="I44" s="2">
        <v>23250</v>
      </c>
      <c r="J44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20.077999999999999</v>
      </c>
      <c r="K44">
        <v>62</v>
      </c>
      <c r="L44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19.430322580645161</v>
      </c>
    </row>
    <row r="45" spans="1:12" x14ac:dyDescent="0.2">
      <c r="A45">
        <v>43</v>
      </c>
      <c r="B45" s="4">
        <v>391160</v>
      </c>
      <c r="C45">
        <f>经验表[[#This Row],[升级所需]]/10000</f>
        <v>39.116</v>
      </c>
      <c r="E45" s="7" t="s">
        <v>57</v>
      </c>
      <c r="F45" s="2">
        <v>48</v>
      </c>
      <c r="G45" s="2">
        <v>67973</v>
      </c>
      <c r="H45" s="2">
        <v>49</v>
      </c>
      <c r="I45" s="2">
        <v>453533</v>
      </c>
      <c r="J45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98.997600000000006</v>
      </c>
      <c r="K45">
        <v>420</v>
      </c>
      <c r="L45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14.142514285714284</v>
      </c>
    </row>
    <row r="46" spans="1:12" x14ac:dyDescent="0.2">
      <c r="A46">
        <v>44</v>
      </c>
      <c r="B46" s="4">
        <v>428280</v>
      </c>
      <c r="C46">
        <f>经验表[[#This Row],[升级所需]]/10000</f>
        <v>42.828000000000003</v>
      </c>
      <c r="E46" s="7" t="s">
        <v>57</v>
      </c>
      <c r="F46" s="2">
        <v>49</v>
      </c>
      <c r="G46" s="2">
        <v>453684</v>
      </c>
      <c r="H46" s="2">
        <v>50</v>
      </c>
      <c r="I46" s="2">
        <v>76559</v>
      </c>
      <c r="J46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27.807500000000001</v>
      </c>
      <c r="K46">
        <v>110</v>
      </c>
      <c r="L46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15.167727272727271</v>
      </c>
    </row>
    <row r="47" spans="1:12" x14ac:dyDescent="0.2">
      <c r="A47">
        <v>45</v>
      </c>
      <c r="B47" s="4">
        <v>468450</v>
      </c>
      <c r="C47">
        <f>经验表[[#This Row],[升级所需]]/10000</f>
        <v>46.844999999999999</v>
      </c>
      <c r="E47" s="7" t="s">
        <v>105</v>
      </c>
      <c r="F47" s="2">
        <v>53</v>
      </c>
      <c r="G47" s="2">
        <v>813000</v>
      </c>
      <c r="H47" s="2">
        <v>55</v>
      </c>
      <c r="I47" s="2">
        <v>77000</v>
      </c>
      <c r="J47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97.544700000000006</v>
      </c>
      <c r="K47">
        <f>540+13</f>
        <v>553</v>
      </c>
      <c r="L47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10.583511754068716</v>
      </c>
    </row>
    <row r="48" spans="1:12" x14ac:dyDescent="0.2">
      <c r="A48">
        <v>46</v>
      </c>
      <c r="B48" s="4">
        <v>510420</v>
      </c>
      <c r="C48">
        <f>经验表[[#This Row],[升级所需]]/10000</f>
        <v>51.042000000000002</v>
      </c>
      <c r="E48" t="s">
        <v>106</v>
      </c>
      <c r="F48" s="2">
        <v>55</v>
      </c>
      <c r="G48" s="2">
        <v>806554</v>
      </c>
      <c r="H48" s="2">
        <v>55</v>
      </c>
      <c r="I48" s="2">
        <v>868338</v>
      </c>
      <c r="J48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6.1783999999999999</v>
      </c>
      <c r="K48">
        <v>30</v>
      </c>
      <c r="L48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12.3568</v>
      </c>
    </row>
    <row r="49" spans="1:19" x14ac:dyDescent="0.2">
      <c r="A49">
        <v>47</v>
      </c>
      <c r="B49" s="4">
        <v>555680</v>
      </c>
      <c r="C49">
        <f>经验表[[#This Row],[升级所需]]/10000</f>
        <v>55.567999999999998</v>
      </c>
      <c r="E49" s="7" t="s">
        <v>114</v>
      </c>
      <c r="F49" s="2">
        <v>56</v>
      </c>
      <c r="G49" s="2">
        <v>709582</v>
      </c>
      <c r="H49" s="2">
        <v>58</v>
      </c>
      <c r="I49" s="2">
        <v>952830</v>
      </c>
      <c r="J49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225.1755</v>
      </c>
      <c r="K49">
        <f>9*60</f>
        <v>540</v>
      </c>
      <c r="L49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25.019500000000001</v>
      </c>
    </row>
    <row r="50" spans="1:19" x14ac:dyDescent="0.2">
      <c r="A50">
        <v>48</v>
      </c>
      <c r="B50" s="4">
        <v>604416</v>
      </c>
      <c r="C50">
        <f>经验表[[#This Row],[升级所需]]/10000</f>
        <v>60.441600000000001</v>
      </c>
      <c r="E50" s="7" t="s">
        <v>119</v>
      </c>
      <c r="F50" s="2">
        <v>59</v>
      </c>
      <c r="G50" s="2">
        <v>435731</v>
      </c>
      <c r="H50" s="2">
        <v>61</v>
      </c>
      <c r="I50" s="2">
        <v>772250</v>
      </c>
      <c r="J50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269.36450000000002</v>
      </c>
      <c r="K50">
        <f>9*60</f>
        <v>540</v>
      </c>
      <c r="L50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29.929388888888887</v>
      </c>
    </row>
    <row r="51" spans="1:19" x14ac:dyDescent="0.2">
      <c r="A51">
        <v>49</v>
      </c>
      <c r="B51" s="4">
        <v>655200</v>
      </c>
      <c r="C51">
        <f>经验表[[#This Row],[升级所需]]/10000</f>
        <v>65.52</v>
      </c>
      <c r="E51" s="7" t="s">
        <v>121</v>
      </c>
      <c r="F51" s="2">
        <v>61</v>
      </c>
      <c r="G51" s="2">
        <v>1070000</v>
      </c>
      <c r="H51" s="2">
        <v>63</v>
      </c>
      <c r="I51" s="2">
        <v>636268</v>
      </c>
      <c r="J51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218.8811</v>
      </c>
      <c r="K51">
        <f>9*60</f>
        <v>540</v>
      </c>
      <c r="L51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24.320122222222221</v>
      </c>
    </row>
    <row r="52" spans="1:19" x14ac:dyDescent="0.2">
      <c r="A52">
        <v>50</v>
      </c>
      <c r="B52" s="4">
        <v>709716</v>
      </c>
      <c r="C52">
        <f>经验表[[#This Row],[升级所需]]/10000</f>
        <v>70.971599999999995</v>
      </c>
      <c r="E52" s="4" t="s">
        <v>130</v>
      </c>
      <c r="F52" s="2">
        <v>70</v>
      </c>
      <c r="G52" s="2">
        <v>878183</v>
      </c>
      <c r="H52" s="2">
        <v>80</v>
      </c>
      <c r="I52" s="2">
        <v>0</v>
      </c>
      <c r="J52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2565.7822000000001</v>
      </c>
      <c r="K52">
        <f>60*24*4.1</f>
        <v>5903.9999999999991</v>
      </c>
      <c r="L52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26.075022357723583</v>
      </c>
    </row>
    <row r="53" spans="1:19" x14ac:dyDescent="0.2">
      <c r="A53">
        <v>51</v>
      </c>
      <c r="B53" s="4">
        <v>748608</v>
      </c>
      <c r="C53">
        <f>经验表[[#This Row],[升级所需]]/10000</f>
        <v>74.860799999999998</v>
      </c>
      <c r="E53" s="8" t="s">
        <v>138</v>
      </c>
      <c r="F53" s="2">
        <v>70</v>
      </c>
      <c r="G53" s="2">
        <v>878183</v>
      </c>
      <c r="H53" s="2">
        <v>71</v>
      </c>
      <c r="I53" s="2">
        <v>1444048</v>
      </c>
      <c r="J53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262.87900000000002</v>
      </c>
      <c r="K53">
        <f>10*60</f>
        <v>600</v>
      </c>
      <c r="L53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26.2879</v>
      </c>
    </row>
    <row r="54" spans="1:19" x14ac:dyDescent="0.2">
      <c r="A54">
        <v>52</v>
      </c>
      <c r="B54" s="4">
        <v>789631</v>
      </c>
      <c r="C54">
        <f>经验表[[#This Row],[升级所需]]/10000</f>
        <v>78.963099999999997</v>
      </c>
      <c r="E54" t="s">
        <v>131</v>
      </c>
      <c r="F54" s="2">
        <v>71</v>
      </c>
      <c r="G54" s="2">
        <v>1467499</v>
      </c>
      <c r="H54" s="2">
        <v>71</v>
      </c>
      <c r="I54" s="2">
        <v>1582500</v>
      </c>
      <c r="J54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11.5001</v>
      </c>
      <c r="K54">
        <v>31</v>
      </c>
      <c r="L54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22.258258064516131</v>
      </c>
    </row>
    <row r="55" spans="1:19" x14ac:dyDescent="0.2">
      <c r="A55">
        <v>53</v>
      </c>
      <c r="B55" s="4">
        <v>832902</v>
      </c>
      <c r="C55">
        <f>经验表[[#This Row],[升级所需]]/10000</f>
        <v>83.290199999999999</v>
      </c>
      <c r="E55" s="8" t="s">
        <v>139</v>
      </c>
      <c r="F55" s="2">
        <v>71</v>
      </c>
      <c r="G55" s="2">
        <v>1598626</v>
      </c>
      <c r="H55" s="2">
        <v>73</v>
      </c>
      <c r="I55" s="2">
        <v>0</v>
      </c>
      <c r="J55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287.25630000000001</v>
      </c>
      <c r="K55">
        <f>10*60</f>
        <v>600</v>
      </c>
      <c r="L55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28.725629999999999</v>
      </c>
      <c r="S55">
        <f>350*25</f>
        <v>8750</v>
      </c>
    </row>
    <row r="56" spans="1:19" x14ac:dyDescent="0.2">
      <c r="A56">
        <v>54</v>
      </c>
      <c r="B56" s="4">
        <v>878545</v>
      </c>
      <c r="C56">
        <f>经验表[[#This Row],[升级所需]]/10000</f>
        <v>87.854500000000002</v>
      </c>
      <c r="E56" t="s">
        <v>140</v>
      </c>
      <c r="F56" s="2">
        <v>73</v>
      </c>
      <c r="G56" s="2">
        <v>64300</v>
      </c>
      <c r="H56" s="2">
        <v>73</v>
      </c>
      <c r="I56" s="2">
        <v>160604</v>
      </c>
      <c r="J56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9.6303999999999998</v>
      </c>
      <c r="K56">
        <v>20.5</v>
      </c>
      <c r="L56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28.186536585365854</v>
      </c>
    </row>
    <row r="57" spans="1:19" x14ac:dyDescent="0.2">
      <c r="A57">
        <v>55</v>
      </c>
      <c r="B57" s="4">
        <v>926689</v>
      </c>
      <c r="C57">
        <f>经验表[[#This Row],[升级所需]]/10000</f>
        <v>92.668899999999994</v>
      </c>
      <c r="E57" t="s">
        <v>141</v>
      </c>
      <c r="F57" s="2">
        <v>21</v>
      </c>
      <c r="G57" s="2">
        <v>6954</v>
      </c>
      <c r="H57" s="2">
        <v>21</v>
      </c>
      <c r="I57" s="2">
        <v>13051</v>
      </c>
      <c r="J57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0.60970000000000002</v>
      </c>
      <c r="K57">
        <v>8</v>
      </c>
      <c r="L57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4.5727500000000001</v>
      </c>
    </row>
    <row r="58" spans="1:19" x14ac:dyDescent="0.2">
      <c r="A58">
        <v>56</v>
      </c>
      <c r="B58" s="4">
        <v>977471</v>
      </c>
      <c r="C58">
        <f>经验表[[#This Row],[升级所需]]/10000</f>
        <v>97.747100000000003</v>
      </c>
      <c r="E58" s="8" t="s">
        <v>142</v>
      </c>
      <c r="F58" s="2">
        <v>73</v>
      </c>
      <c r="G58" s="2">
        <v>227270</v>
      </c>
      <c r="H58" s="2">
        <v>73</v>
      </c>
      <c r="I58" s="2">
        <v>1501144</v>
      </c>
      <c r="J58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127.3874</v>
      </c>
      <c r="K58">
        <v>300</v>
      </c>
      <c r="L58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25.477480000000003</v>
      </c>
    </row>
    <row r="59" spans="1:19" x14ac:dyDescent="0.2">
      <c r="A59">
        <v>57</v>
      </c>
      <c r="B59" s="4">
        <v>1031036</v>
      </c>
      <c r="C59">
        <f>经验表[[#This Row],[升级所需]]/10000</f>
        <v>103.1036</v>
      </c>
      <c r="E59" t="s">
        <v>143</v>
      </c>
      <c r="F59" s="2">
        <v>73</v>
      </c>
      <c r="G59" s="2">
        <v>1573500</v>
      </c>
      <c r="H59" s="2">
        <v>73</v>
      </c>
      <c r="I59" s="2">
        <v>1703569</v>
      </c>
      <c r="J59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13.0069</v>
      </c>
      <c r="K59">
        <v>30</v>
      </c>
      <c r="L59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26.0138</v>
      </c>
    </row>
    <row r="60" spans="1:19" x14ac:dyDescent="0.2">
      <c r="A60">
        <v>58</v>
      </c>
      <c r="B60" s="4">
        <v>1087536</v>
      </c>
      <c r="C60">
        <f>经验表[[#This Row],[升级所需]]/10000</f>
        <v>108.75360000000001</v>
      </c>
      <c r="E60" t="s">
        <v>131</v>
      </c>
      <c r="F60" s="2">
        <v>74</v>
      </c>
      <c r="G60" s="2">
        <v>142647</v>
      </c>
      <c r="H60" s="2">
        <v>74</v>
      </c>
      <c r="I60" s="2">
        <v>353757</v>
      </c>
      <c r="J60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21.111000000000001</v>
      </c>
      <c r="K60">
        <v>42</v>
      </c>
      <c r="L60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30.158571428571431</v>
      </c>
    </row>
    <row r="61" spans="1:19" x14ac:dyDescent="0.2">
      <c r="A61">
        <v>59</v>
      </c>
      <c r="B61" s="4">
        <v>1147132</v>
      </c>
      <c r="C61">
        <f>经验表[[#This Row],[升级所需]]/10000</f>
        <v>114.7132</v>
      </c>
      <c r="E61" t="s">
        <v>131</v>
      </c>
      <c r="F61" s="2">
        <v>74</v>
      </c>
      <c r="G61" s="2">
        <v>809865</v>
      </c>
      <c r="H61" s="2">
        <v>74</v>
      </c>
      <c r="I61" s="2">
        <v>1108757</v>
      </c>
      <c r="J61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29.889199999999999</v>
      </c>
      <c r="K61">
        <v>59.5</v>
      </c>
      <c r="L61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30.140369747899157</v>
      </c>
    </row>
    <row r="62" spans="1:19" x14ac:dyDescent="0.2">
      <c r="A62">
        <v>60</v>
      </c>
      <c r="B62" s="4">
        <v>1209994</v>
      </c>
      <c r="C62">
        <f>经验表[[#This Row],[升级所需]]/10000</f>
        <v>120.99939999999999</v>
      </c>
      <c r="E62" s="8" t="s">
        <v>144</v>
      </c>
      <c r="F62" s="2">
        <v>74</v>
      </c>
      <c r="G62" s="2">
        <v>1598438</v>
      </c>
      <c r="H62" s="2">
        <v>75</v>
      </c>
      <c r="I62" s="2">
        <v>1505000</v>
      </c>
      <c r="J62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246.02250000000001</v>
      </c>
      <c r="K62">
        <f>10*60</f>
        <v>600</v>
      </c>
      <c r="L62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24.602250000000002</v>
      </c>
    </row>
    <row r="63" spans="1:19" x14ac:dyDescent="0.2">
      <c r="A63">
        <v>61</v>
      </c>
      <c r="B63" s="4">
        <v>1276301</v>
      </c>
      <c r="C63">
        <f>经验表[[#This Row],[升级所需]]/10000</f>
        <v>127.6301</v>
      </c>
      <c r="E63" t="s">
        <v>145</v>
      </c>
      <c r="F63" s="2">
        <v>75</v>
      </c>
      <c r="G63" s="2">
        <v>2074000</v>
      </c>
      <c r="H63" s="2">
        <v>75</v>
      </c>
      <c r="I63" s="2">
        <v>2141632</v>
      </c>
      <c r="J63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6.7632000000000003</v>
      </c>
      <c r="K63">
        <v>16</v>
      </c>
      <c r="L63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25.361999999999998</v>
      </c>
    </row>
    <row r="64" spans="1:19" x14ac:dyDescent="0.2">
      <c r="A64">
        <v>62</v>
      </c>
      <c r="B64" s="4">
        <v>1346242</v>
      </c>
      <c r="C64">
        <f>经验表[[#This Row],[升级所需]]/10000</f>
        <v>134.6242</v>
      </c>
      <c r="E64" t="s">
        <v>140</v>
      </c>
      <c r="F64" s="2">
        <v>75</v>
      </c>
      <c r="G64" s="2">
        <v>1208304</v>
      </c>
      <c r="H64" s="2">
        <v>76</v>
      </c>
      <c r="I64" s="2">
        <v>1000000</v>
      </c>
      <c r="J64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248.5299</v>
      </c>
      <c r="K64">
        <f>9*60</f>
        <v>540</v>
      </c>
      <c r="L64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27.614433333333331</v>
      </c>
    </row>
    <row r="65" spans="1:12" x14ac:dyDescent="0.2">
      <c r="A65">
        <v>63</v>
      </c>
      <c r="B65" s="4">
        <v>1420016</v>
      </c>
      <c r="C65">
        <f>经验表[[#This Row],[升级所需]]/10000</f>
        <v>142.0016</v>
      </c>
      <c r="E65" t="s">
        <v>131</v>
      </c>
      <c r="F65" s="2">
        <v>77</v>
      </c>
      <c r="G65" s="2">
        <v>1439018</v>
      </c>
      <c r="H65" s="2">
        <v>77</v>
      </c>
      <c r="I65" s="2">
        <v>1584954</v>
      </c>
      <c r="J65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14.5936</v>
      </c>
      <c r="K65">
        <v>30.5</v>
      </c>
      <c r="L65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28.708721311475408</v>
      </c>
    </row>
    <row r="66" spans="1:12" x14ac:dyDescent="0.2">
      <c r="A66">
        <v>64</v>
      </c>
      <c r="B66" s="4">
        <v>1497832</v>
      </c>
      <c r="C66">
        <f>经验表[[#This Row],[升级所需]]/10000</f>
        <v>149.78319999999999</v>
      </c>
      <c r="E66" s="8" t="s">
        <v>146</v>
      </c>
      <c r="F66" s="2">
        <v>77</v>
      </c>
      <c r="G66" s="2">
        <v>2996910</v>
      </c>
      <c r="H66" s="2">
        <v>80</v>
      </c>
      <c r="I66" s="2">
        <v>0</v>
      </c>
      <c r="J66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649.55100000000004</v>
      </c>
      <c r="K66">
        <f>24*60</f>
        <v>1440</v>
      </c>
      <c r="L66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27.064624999999999</v>
      </c>
    </row>
    <row r="67" spans="1:12" x14ac:dyDescent="0.2">
      <c r="A67">
        <v>65</v>
      </c>
      <c r="B67" s="4">
        <v>1579913</v>
      </c>
      <c r="C67">
        <f>经验表[[#This Row],[升级所需]]/10000</f>
        <v>157.9913</v>
      </c>
      <c r="E67" t="s">
        <v>131</v>
      </c>
      <c r="F67" s="2">
        <v>80</v>
      </c>
      <c r="G67" s="2">
        <v>2622632</v>
      </c>
      <c r="H67" s="2">
        <v>80</v>
      </c>
      <c r="I67" s="2">
        <v>2708984</v>
      </c>
      <c r="J67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8.6351999999999993</v>
      </c>
      <c r="K67">
        <v>17.5</v>
      </c>
      <c r="L67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29.606400000000001</v>
      </c>
    </row>
    <row r="68" spans="1:12" x14ac:dyDescent="0.2">
      <c r="A68">
        <v>66</v>
      </c>
      <c r="B68" s="4">
        <v>1666492</v>
      </c>
      <c r="C68">
        <f>经验表[[#This Row],[升级所需]]/10000</f>
        <v>166.64920000000001</v>
      </c>
      <c r="E68" t="s">
        <v>174</v>
      </c>
      <c r="F68" s="2">
        <v>84</v>
      </c>
      <c r="G68" s="2"/>
      <c r="H68" s="2">
        <v>90</v>
      </c>
      <c r="I68" s="2">
        <v>0</v>
      </c>
      <c r="J68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2997.3789000000002</v>
      </c>
      <c r="K68">
        <f>60*38*3</f>
        <v>6840</v>
      </c>
      <c r="L68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26.292797368421052</v>
      </c>
    </row>
    <row r="69" spans="1:12" x14ac:dyDescent="0.2">
      <c r="A69">
        <v>67</v>
      </c>
      <c r="B69" s="4">
        <v>1757815</v>
      </c>
      <c r="C69">
        <f>经验表[[#This Row],[升级所需]]/10000</f>
        <v>175.78149999999999</v>
      </c>
      <c r="E69" t="s">
        <v>175</v>
      </c>
      <c r="F69" s="2">
        <v>81</v>
      </c>
      <c r="G69" s="2">
        <v>2042534</v>
      </c>
      <c r="H69" s="2">
        <v>82</v>
      </c>
      <c r="I69" s="2">
        <v>1036313</v>
      </c>
      <c r="J69" s="2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270.36079999999998</v>
      </c>
      <c r="K69">
        <f>9.5*60</f>
        <v>570</v>
      </c>
      <c r="L69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28.459031578947364</v>
      </c>
    </row>
    <row r="70" spans="1:12" x14ac:dyDescent="0.2">
      <c r="A70">
        <v>68</v>
      </c>
      <c r="B70" s="4">
        <v>1854143</v>
      </c>
      <c r="C70">
        <f>经验表[[#This Row],[升级所需]]/10000</f>
        <v>185.4143</v>
      </c>
      <c r="E70" t="s">
        <v>131</v>
      </c>
      <c r="F70" s="2">
        <v>82</v>
      </c>
      <c r="G70" s="2">
        <v>2568226</v>
      </c>
      <c r="H70" s="2">
        <v>82</v>
      </c>
      <c r="I70" s="2">
        <v>2677316</v>
      </c>
      <c r="J70" s="15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10.909000000000001</v>
      </c>
      <c r="K70">
        <v>19</v>
      </c>
      <c r="L70" s="16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34.449473684210531</v>
      </c>
    </row>
    <row r="71" spans="1:12" x14ac:dyDescent="0.2">
      <c r="A71">
        <v>69</v>
      </c>
      <c r="B71" s="4">
        <v>1955750</v>
      </c>
      <c r="C71">
        <f>经验表[[#This Row],[升级所需]]/10000</f>
        <v>195.57499999999999</v>
      </c>
      <c r="E71" t="s">
        <v>131</v>
      </c>
      <c r="F71" s="2">
        <v>83</v>
      </c>
      <c r="G71" s="2">
        <v>3539025</v>
      </c>
      <c r="H71" s="2">
        <v>83</v>
      </c>
      <c r="I71" s="2">
        <v>3611699</v>
      </c>
      <c r="J71" s="15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7.2674000000000003</v>
      </c>
      <c r="K71">
        <v>13</v>
      </c>
      <c r="L71" s="16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33.541846153846151</v>
      </c>
    </row>
    <row r="72" spans="1:12" x14ac:dyDescent="0.2">
      <c r="A72">
        <v>70</v>
      </c>
      <c r="B72" s="4">
        <v>2062925</v>
      </c>
      <c r="C72">
        <f>经验表[[#This Row],[升级所需]]/10000</f>
        <v>206.29249999999999</v>
      </c>
      <c r="E72" t="s">
        <v>176</v>
      </c>
      <c r="F72" s="2">
        <v>85</v>
      </c>
      <c r="G72" s="2"/>
      <c r="H72" s="2">
        <v>100</v>
      </c>
      <c r="I72" s="2">
        <v>0</v>
      </c>
      <c r="J72" s="15">
        <f>(
 表5[[#This Row],[结束]]
 +SUMIFS(经验表[升级所需],经验表[等级],"&gt;="&amp;表5[[#This Row],[开始lv]])
 -SUMIFS(经验表[升级所需],经验表[等级],"&gt;="&amp;表5[[#This Row],[结束lv]])
 -表5[[#This Row],[开始]]
)
/10000</f>
        <v>10275.244699999999</v>
      </c>
      <c r="K72">
        <f>60*350</f>
        <v>21000</v>
      </c>
      <c r="L72" s="16">
        <f>60/表5[[#This Row],[时间min]]
*(
 表5[[#This Row],[结束]]
 +SUMIFS(经验表[升级所需],经验表[等级],"&gt;="&amp;表5[[#This Row],[开始lv]])
 -SUMIFS(经验表[升级所需],经验表[等级],"&gt;="&amp;表5[[#This Row],[结束lv]])
 -表5[[#This Row],[开始]]
)
/10000</f>
        <v>29.357841999999998</v>
      </c>
    </row>
    <row r="73" spans="1:12" x14ac:dyDescent="0.2">
      <c r="A73">
        <v>71</v>
      </c>
      <c r="B73" s="4">
        <v>2175973</v>
      </c>
      <c r="C73">
        <f>经验表[[#This Row],[升级所需]]/10000</f>
        <v>217.59729999999999</v>
      </c>
    </row>
    <row r="74" spans="1:12" x14ac:dyDescent="0.2">
      <c r="A74">
        <v>72</v>
      </c>
      <c r="B74" s="4">
        <v>2295216</v>
      </c>
      <c r="C74">
        <f>经验表[[#This Row],[升级所需]]/10000</f>
        <v>229.52160000000001</v>
      </c>
    </row>
    <row r="75" spans="1:12" x14ac:dyDescent="0.2">
      <c r="A75">
        <v>73</v>
      </c>
      <c r="B75" s="4">
        <v>2420993</v>
      </c>
      <c r="C75">
        <f>经验表[[#This Row],[升级所需]]/10000</f>
        <v>242.0993</v>
      </c>
    </row>
    <row r="76" spans="1:12" x14ac:dyDescent="0.2">
      <c r="A76">
        <v>74</v>
      </c>
      <c r="B76" s="4">
        <v>2553663</v>
      </c>
      <c r="C76">
        <f>经验表[[#This Row],[升级所需]]/10000</f>
        <v>255.3663</v>
      </c>
    </row>
    <row r="77" spans="1:12" x14ac:dyDescent="0.2">
      <c r="A77">
        <v>75</v>
      </c>
      <c r="B77" s="4">
        <v>2693603</v>
      </c>
      <c r="C77">
        <f>经验表[[#This Row],[升级所需]]/10000</f>
        <v>269.3603</v>
      </c>
    </row>
    <row r="78" spans="1:12" x14ac:dyDescent="0.2">
      <c r="A78">
        <v>76</v>
      </c>
      <c r="B78" s="4">
        <v>2841212</v>
      </c>
      <c r="C78">
        <f>经验表[[#This Row],[升级所需]]/10000</f>
        <v>284.12119999999999</v>
      </c>
    </row>
    <row r="79" spans="1:12" x14ac:dyDescent="0.2">
      <c r="A79">
        <v>77</v>
      </c>
      <c r="B79" s="4">
        <v>2996910</v>
      </c>
      <c r="C79">
        <f>经验表[[#This Row],[升级所需]]/10000</f>
        <v>299.69099999999997</v>
      </c>
    </row>
    <row r="80" spans="1:12" x14ac:dyDescent="0.2">
      <c r="A80">
        <v>78</v>
      </c>
      <c r="B80" s="4">
        <v>3161140</v>
      </c>
      <c r="C80">
        <f>经验表[[#This Row],[升级所需]]/10000</f>
        <v>316.11399999999998</v>
      </c>
    </row>
    <row r="81" spans="1:3" x14ac:dyDescent="0.2">
      <c r="A81">
        <v>79</v>
      </c>
      <c r="B81" s="4">
        <v>3334370</v>
      </c>
      <c r="C81">
        <f>经验表[[#This Row],[升级所需]]/10000</f>
        <v>333.43700000000001</v>
      </c>
    </row>
    <row r="82" spans="1:3" x14ac:dyDescent="0.2">
      <c r="A82">
        <v>80</v>
      </c>
      <c r="B82" s="4">
        <v>3517093</v>
      </c>
      <c r="C82">
        <f>经验表[[#This Row],[升级所需]]/10000</f>
        <v>351.70929999999998</v>
      </c>
    </row>
    <row r="83" spans="1:3" x14ac:dyDescent="0.2">
      <c r="A83">
        <v>81</v>
      </c>
      <c r="B83" s="4">
        <v>3709829</v>
      </c>
      <c r="C83">
        <f>经验表[[#This Row],[升级所需]]/10000</f>
        <v>370.98289999999997</v>
      </c>
    </row>
    <row r="84" spans="1:3" x14ac:dyDescent="0.2">
      <c r="A84">
        <v>82</v>
      </c>
      <c r="B84" s="4">
        <v>3913127</v>
      </c>
      <c r="C84">
        <f>经验表[[#This Row],[升级所需]]/10000</f>
        <v>391.31270000000001</v>
      </c>
    </row>
    <row r="85" spans="1:3" x14ac:dyDescent="0.2">
      <c r="A85">
        <v>83</v>
      </c>
      <c r="B85" s="4">
        <v>4127566</v>
      </c>
      <c r="C85">
        <f>经验表[[#This Row],[升级所需]]/10000</f>
        <v>412.75659999999999</v>
      </c>
    </row>
    <row r="86" spans="1:3" x14ac:dyDescent="0.2">
      <c r="A86">
        <v>84</v>
      </c>
      <c r="B86" s="4">
        <v>4353756</v>
      </c>
      <c r="C86">
        <f>经验表[[#This Row],[升级所需]]/10000</f>
        <v>435.37560000000002</v>
      </c>
    </row>
    <row r="87" spans="1:3" x14ac:dyDescent="0.2">
      <c r="A87">
        <v>85</v>
      </c>
      <c r="B87" s="4">
        <v>4592341</v>
      </c>
      <c r="C87">
        <f>经验表[[#This Row],[升级所需]]/10000</f>
        <v>459.23410000000001</v>
      </c>
    </row>
    <row r="88" spans="1:3" x14ac:dyDescent="0.2">
      <c r="A88">
        <v>86</v>
      </c>
      <c r="B88" s="4">
        <v>4844001</v>
      </c>
      <c r="C88">
        <f>经验表[[#This Row],[升级所需]]/10000</f>
        <v>484.40010000000001</v>
      </c>
    </row>
    <row r="89" spans="1:3" x14ac:dyDescent="0.2">
      <c r="A89">
        <v>87</v>
      </c>
      <c r="B89" s="4">
        <v>5109452</v>
      </c>
      <c r="C89">
        <f>经验表[[#This Row],[升级所需]]/10000</f>
        <v>510.9452</v>
      </c>
    </row>
    <row r="90" spans="1:3" x14ac:dyDescent="0.2">
      <c r="A90">
        <v>88</v>
      </c>
      <c r="B90" s="4">
        <v>5389449</v>
      </c>
      <c r="C90">
        <f>经验表[[#This Row],[升级所需]]/10000</f>
        <v>538.94489999999996</v>
      </c>
    </row>
    <row r="91" spans="1:3" x14ac:dyDescent="0.2">
      <c r="A91">
        <v>89</v>
      </c>
      <c r="B91" s="4">
        <v>5684790</v>
      </c>
      <c r="C91">
        <f>经验表[[#This Row],[升级所需]]/10000</f>
        <v>568.47900000000004</v>
      </c>
    </row>
    <row r="92" spans="1:3" x14ac:dyDescent="0.2">
      <c r="A92">
        <v>90</v>
      </c>
      <c r="B92" s="4">
        <v>5996316</v>
      </c>
      <c r="C92">
        <f>经验表[[#This Row],[升级所需]]/10000</f>
        <v>599.63160000000005</v>
      </c>
    </row>
    <row r="93" spans="1:3" x14ac:dyDescent="0.2">
      <c r="A93">
        <v>91</v>
      </c>
      <c r="B93" s="4">
        <v>6324914</v>
      </c>
      <c r="C93">
        <f>经验表[[#This Row],[升级所需]]/10000</f>
        <v>632.4914</v>
      </c>
    </row>
    <row r="94" spans="1:3" x14ac:dyDescent="0.2">
      <c r="A94">
        <v>92</v>
      </c>
      <c r="B94" s="4">
        <v>6671519</v>
      </c>
      <c r="C94">
        <f>经验表[[#This Row],[升级所需]]/10000</f>
        <v>667.15189999999996</v>
      </c>
    </row>
    <row r="95" spans="1:3" x14ac:dyDescent="0.2">
      <c r="A95">
        <v>93</v>
      </c>
      <c r="B95" s="4">
        <v>7037118</v>
      </c>
      <c r="C95">
        <f>经验表[[#This Row],[升级所需]]/10000</f>
        <v>703.71180000000004</v>
      </c>
    </row>
    <row r="96" spans="1:3" x14ac:dyDescent="0.2">
      <c r="A96">
        <v>94</v>
      </c>
      <c r="B96" s="4">
        <v>7422752</v>
      </c>
      <c r="C96">
        <f>经验表[[#This Row],[升级所需]]/10000</f>
        <v>742.27520000000004</v>
      </c>
    </row>
    <row r="97" spans="1:3" x14ac:dyDescent="0.2">
      <c r="A97">
        <v>95</v>
      </c>
      <c r="B97" s="4">
        <v>7829518</v>
      </c>
      <c r="C97">
        <f>经验表[[#This Row],[升级所需]]/10000</f>
        <v>782.95180000000005</v>
      </c>
    </row>
    <row r="98" spans="1:3" x14ac:dyDescent="0.2">
      <c r="A98">
        <v>96</v>
      </c>
      <c r="B98" s="4">
        <v>8258575</v>
      </c>
      <c r="C98">
        <f>经验表[[#This Row],[升级所需]]/10000</f>
        <v>825.85749999999996</v>
      </c>
    </row>
    <row r="99" spans="1:3" x14ac:dyDescent="0.2">
      <c r="A99">
        <v>97</v>
      </c>
      <c r="B99" s="4">
        <v>8711144</v>
      </c>
      <c r="C99">
        <f>经验表[[#This Row],[升级所需]]/10000</f>
        <v>871.11440000000005</v>
      </c>
    </row>
    <row r="100" spans="1:3" x14ac:dyDescent="0.2">
      <c r="A100">
        <v>98</v>
      </c>
      <c r="B100" s="4">
        <v>9188514</v>
      </c>
      <c r="C100">
        <f>经验表[[#This Row],[升级所需]]/10000</f>
        <v>918.85140000000001</v>
      </c>
    </row>
    <row r="101" spans="1:3" x14ac:dyDescent="0.2">
      <c r="A101">
        <v>99</v>
      </c>
      <c r="B101" s="4">
        <v>9692044</v>
      </c>
      <c r="C101">
        <f>经验表[[#This Row],[升级所需]]/10000</f>
        <v>969.20439999999996</v>
      </c>
    </row>
    <row r="102" spans="1:3" x14ac:dyDescent="0.2">
      <c r="A102">
        <v>100</v>
      </c>
      <c r="B102" s="4">
        <v>10223168</v>
      </c>
      <c r="C102">
        <f>经验表[[#This Row],[升级所需]]/10000</f>
        <v>1022.3167999999999</v>
      </c>
    </row>
  </sheetData>
  <phoneticPr fontId="1" type="noConversion"/>
  <pageMargins left="0.7" right="0.7" top="0.75" bottom="0.75" header="0.3" footer="0.3"/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B8A4-3AA8-4110-B925-89EB0CBA6491}">
  <dimension ref="B2:O43"/>
  <sheetViews>
    <sheetView workbookViewId="0">
      <selection activeCell="B13" sqref="B7:D13"/>
    </sheetView>
  </sheetViews>
  <sheetFormatPr defaultRowHeight="14.25" x14ac:dyDescent="0.2"/>
  <cols>
    <col min="3" max="3" width="10.25" customWidth="1"/>
  </cols>
  <sheetData>
    <row r="2" spans="2:5" x14ac:dyDescent="0.2">
      <c r="B2" t="s">
        <v>44</v>
      </c>
    </row>
    <row r="3" spans="2:5" ht="28.5" x14ac:dyDescent="0.2">
      <c r="B3" s="3" t="s">
        <v>0</v>
      </c>
      <c r="C3" s="3" t="s">
        <v>2</v>
      </c>
      <c r="D3" s="3" t="s">
        <v>14</v>
      </c>
      <c r="E3" s="3" t="s">
        <v>12</v>
      </c>
    </row>
    <row r="4" spans="2:5" x14ac:dyDescent="0.2">
      <c r="B4" s="2">
        <v>0.6</v>
      </c>
      <c r="C4" s="2">
        <v>5</v>
      </c>
      <c r="D4" s="2">
        <v>70</v>
      </c>
      <c r="E4" cm="1">
        <f t="array" ref="E4">卷轴参数[[#This Row],[卷拍卖行价w]]*金价表[税后金价]</f>
        <v>8.9157894736842103</v>
      </c>
    </row>
    <row r="6" spans="2:5" x14ac:dyDescent="0.2">
      <c r="B6" t="s">
        <v>1</v>
      </c>
      <c r="C6" t="s">
        <v>3</v>
      </c>
      <c r="D6" t="s">
        <v>147</v>
      </c>
      <c r="E6" t="s">
        <v>13</v>
      </c>
    </row>
    <row r="7" spans="2:5" x14ac:dyDescent="0.2">
      <c r="B7">
        <v>1</v>
      </c>
      <c r="C7" cm="1">
        <f t="array" ref="C7">IFERROR(1 - _xlfn.BINOM.DIST(卷轴参数[预期成功]-1, 表1[[#This Row],[次数]], 卷轴参数[卷概率], TRUE),0)</f>
        <v>0</v>
      </c>
      <c r="D7" cm="1">
        <f t="array" ref="D7">表1[[#This Row],[次数]]*卷轴参数[卷价值]</f>
        <v>8.9157894736842103</v>
      </c>
      <c r="E7" t="str" cm="1">
        <f t="array" ref="E7">IFERROR(1/表1[[#This Row],[几率]]*卷轴参数[卷价值]*表1[[#This Row],[次数]],"-")</f>
        <v>-</v>
      </c>
    </row>
    <row r="8" spans="2:5" x14ac:dyDescent="0.2">
      <c r="B8">
        <v>2</v>
      </c>
      <c r="C8" cm="1">
        <f t="array" ref="C8">IFERROR(1 - _xlfn.BINOM.DIST(卷轴参数[预期成功]-1, 表1[[#This Row],[次数]], 卷轴参数[卷概率], TRUE),0)</f>
        <v>0</v>
      </c>
      <c r="D8" cm="1">
        <f t="array" ref="D8">表1[[#This Row],[次数]]*卷轴参数[卷价值]</f>
        <v>17.831578947368421</v>
      </c>
      <c r="E8" t="str" cm="1">
        <f t="array" ref="E8">IFERROR(1/表1[[#This Row],[几率]]*卷轴参数[卷价值]*表1[[#This Row],[次数]],"-")</f>
        <v>-</v>
      </c>
    </row>
    <row r="9" spans="2:5" x14ac:dyDescent="0.2">
      <c r="B9">
        <v>3</v>
      </c>
      <c r="C9" cm="1">
        <f t="array" ref="C9">IFERROR(1 - _xlfn.BINOM.DIST(卷轴参数[预期成功]-1, 表1[[#This Row],[次数]], 卷轴参数[卷概率], TRUE),0)</f>
        <v>0</v>
      </c>
      <c r="D9" cm="1">
        <f t="array" ref="D9">表1[[#This Row],[次数]]*卷轴参数[卷价值]</f>
        <v>26.747368421052631</v>
      </c>
      <c r="E9" t="str" cm="1">
        <f t="array" ref="E9">IFERROR(1/表1[[#This Row],[几率]]*卷轴参数[卷价值]*表1[[#This Row],[次数]],"-")</f>
        <v>-</v>
      </c>
    </row>
    <row r="10" spans="2:5" x14ac:dyDescent="0.2">
      <c r="B10">
        <v>4</v>
      </c>
      <c r="C10" cm="1">
        <f t="array" ref="C10">IFERROR(1 - _xlfn.BINOM.DIST(卷轴参数[预期成功]-1, 表1[[#This Row],[次数]], 卷轴参数[卷概率], TRUE),0)</f>
        <v>0</v>
      </c>
      <c r="D10" cm="1">
        <f t="array" ref="D10">表1[[#This Row],[次数]]*卷轴参数[卷价值]</f>
        <v>35.663157894736841</v>
      </c>
      <c r="E10" t="str" cm="1">
        <f t="array" ref="E10">IFERROR(1/表1[[#This Row],[几率]]*卷轴参数[卷价值]*表1[[#This Row],[次数]],"-")</f>
        <v>-</v>
      </c>
    </row>
    <row r="11" spans="2:5" x14ac:dyDescent="0.2">
      <c r="B11">
        <v>5</v>
      </c>
      <c r="C11" cm="1">
        <f t="array" ref="C11">IFERROR(1 - _xlfn.BINOM.DIST(卷轴参数[预期成功]-1, 表1[[#This Row],[次数]], 卷轴参数[卷概率], TRUE),0)</f>
        <v>7.7760000000000051E-2</v>
      </c>
      <c r="D11" cm="1">
        <f t="array" ref="D11">表1[[#This Row],[次数]]*卷轴参数[卷价值]</f>
        <v>44.578947368421055</v>
      </c>
      <c r="E11" cm="1">
        <f t="array" ref="E11">IFERROR(1/表1[[#This Row],[几率]]*卷轴参数[卷价值]*表1[[#This Row],[次数]],"-")</f>
        <v>573.28893220706038</v>
      </c>
    </row>
    <row r="12" spans="2:5" x14ac:dyDescent="0.2">
      <c r="B12">
        <v>6</v>
      </c>
      <c r="C12" cm="1">
        <f t="array" ref="C12">IFERROR(1 - _xlfn.BINOM.DIST(卷轴参数[预期成功]-1, 表1[[#This Row],[次数]], 卷轴参数[卷概率], TRUE),0)</f>
        <v>0.23327999999999993</v>
      </c>
      <c r="D12" cm="1">
        <f t="array" ref="D12">表1[[#This Row],[次数]]*卷轴参数[卷价值]</f>
        <v>53.494736842105262</v>
      </c>
      <c r="E12" cm="1">
        <f t="array" ref="E12">IFERROR(1/表1[[#This Row],[几率]]*卷轴参数[卷价值]*表1[[#This Row],[次数]],"-")</f>
        <v>229.3155728828244</v>
      </c>
    </row>
    <row r="13" spans="2:5" x14ac:dyDescent="0.2">
      <c r="B13">
        <v>7</v>
      </c>
      <c r="C13" cm="1">
        <f t="array" ref="C13">IFERROR(1 - _xlfn.BINOM.DIST(卷轴参数[预期成功]-1, 表1[[#This Row],[次数]], 卷轴参数[卷概率], TRUE),0)</f>
        <v>0.41990399999999983</v>
      </c>
      <c r="D13" cm="1">
        <f t="array" ref="D13">表1[[#This Row],[次数]]*卷轴参数[卷价值]</f>
        <v>62.410526315789468</v>
      </c>
      <c r="E13" cm="1">
        <f t="array" ref="E13">IFERROR(1/表1[[#This Row],[几率]]*卷轴参数[卷价值]*表1[[#This Row],[次数]],"-")</f>
        <v>148.63046390553436</v>
      </c>
    </row>
    <row r="14" spans="2:5" x14ac:dyDescent="0.2">
      <c r="B14">
        <v>8</v>
      </c>
      <c r="C14" cm="1">
        <f t="array" ref="C14">IFERROR(1 - _xlfn.BINOM.DIST(卷轴参数[预期成功]-1, 表1[[#This Row],[次数]], 卷轴参数[卷概率], TRUE),0)</f>
        <v>0.5940863999999999</v>
      </c>
      <c r="D14" cm="1">
        <f t="array" ref="D14">表1[[#This Row],[次数]]*卷轴参数[卷价值]</f>
        <v>71.326315789473682</v>
      </c>
      <c r="E14" cm="1">
        <f t="array" ref="E14">IFERROR(1/表1[[#This Row],[几率]]*卷轴参数[卷价值]*表1[[#This Row],[次数]],"-")</f>
        <v>120.06050936273527</v>
      </c>
    </row>
    <row r="15" spans="2:5" x14ac:dyDescent="0.2">
      <c r="B15">
        <v>9</v>
      </c>
      <c r="C15" cm="1">
        <f t="array" ref="C15">IFERROR(1 - _xlfn.BINOM.DIST(卷轴参数[预期成功]-1, 表1[[#This Row],[次数]], 卷轴参数[卷概率], TRUE),0)</f>
        <v>0.73343231999999992</v>
      </c>
      <c r="D15" cm="1">
        <f t="array" ref="D15">表1[[#This Row],[次数]]*卷轴参数[卷价值]</f>
        <v>80.242105263157896</v>
      </c>
      <c r="E15" cm="1">
        <f t="array" ref="E15">IFERROR(1/表1[[#This Row],[几率]]*卷轴参数[卷价值]*表1[[#This Row],[次数]],"-")</f>
        <v>109.40628477233986</v>
      </c>
    </row>
    <row r="16" spans="2:5" x14ac:dyDescent="0.2">
      <c r="B16">
        <v>10</v>
      </c>
      <c r="C16" cm="1">
        <f t="array" ref="C16">IFERROR(1 - _xlfn.BINOM.DIST(卷轴参数[预期成功]-1, 表1[[#This Row],[次数]], 卷轴参数[卷概率], TRUE),0)</f>
        <v>0.83376138239999997</v>
      </c>
      <c r="D16" cm="1">
        <f t="array" ref="D16">表1[[#This Row],[次数]]*卷轴参数[卷价值]</f>
        <v>89.15789473684211</v>
      </c>
      <c r="E16" cm="1">
        <f t="array" ref="E16">IFERROR(1/表1[[#This Row],[几率]]*卷轴参数[卷价值]*表1[[#This Row],[次数]],"-")</f>
        <v>106.93454580517894</v>
      </c>
    </row>
    <row r="28" spans="3:15" x14ac:dyDescent="0.2">
      <c r="C28" t="s">
        <v>0</v>
      </c>
      <c r="D28" t="s">
        <v>38</v>
      </c>
      <c r="E28" t="s">
        <v>36</v>
      </c>
      <c r="F28" t="s">
        <v>37</v>
      </c>
      <c r="G28" t="s">
        <v>27</v>
      </c>
      <c r="H28" t="s">
        <v>28</v>
      </c>
      <c r="I28" t="s">
        <v>53</v>
      </c>
      <c r="J28" t="s">
        <v>39</v>
      </c>
      <c r="K28" t="s">
        <v>41</v>
      </c>
      <c r="L28" t="s">
        <v>40</v>
      </c>
      <c r="M28" t="s">
        <v>55</v>
      </c>
      <c r="N28" t="s">
        <v>54</v>
      </c>
      <c r="O28" t="s">
        <v>43</v>
      </c>
    </row>
    <row r="29" spans="3:15" x14ac:dyDescent="0.2">
      <c r="C29" s="6">
        <v>0.1</v>
      </c>
      <c r="D29" s="2">
        <v>5</v>
      </c>
      <c r="E29" s="2">
        <v>3</v>
      </c>
      <c r="F29" s="2">
        <v>1</v>
      </c>
      <c r="G29" s="2">
        <v>19</v>
      </c>
      <c r="H29" cm="1">
        <f t="array" ref="H29">表7[[#This Row],[单价]]*金价表[税后金价]</f>
        <v>2.42</v>
      </c>
      <c r="I29">
        <f>表7[[#This Row],[rmb]]
/(表7[[#This Row],[卷概率]]*表7[[#This Row],[敏捷]])</f>
        <v>4.84</v>
      </c>
      <c r="J29" s="2">
        <v>6</v>
      </c>
      <c r="K29" s="2">
        <v>3</v>
      </c>
      <c r="L29">
        <f>表7[[#This Row],[成功数量]]*表7[[#This Row],[敏捷]]</f>
        <v>15</v>
      </c>
      <c r="M29">
        <f>表7[[#This Row],[模拟数量]]*表7[[#This Row],[rmb]]</f>
        <v>14.52</v>
      </c>
      <c r="N29">
        <f>表7[[#This Row],[总敏捷]]*表7[[#This Row],[每点敏捷价格]]</f>
        <v>72.599999999999994</v>
      </c>
      <c r="O29">
        <f>表7[[#This Row],[成本造价]]
/IFERROR((1 - _xlfn.BINOM.DIST(表7[[#This Row],[成功数量]]-1, 表7[[#This Row],[模拟数量]], 表7[[#This Row],[卷概率]], TRUE)),0)</f>
        <v>916.08832807570798</v>
      </c>
    </row>
    <row r="30" spans="3:15" x14ac:dyDescent="0.2">
      <c r="C30" s="6">
        <v>0.6</v>
      </c>
      <c r="D30" s="2">
        <v>2</v>
      </c>
      <c r="E30" s="2">
        <v>1</v>
      </c>
      <c r="F30" s="2"/>
      <c r="G30" s="2">
        <v>137</v>
      </c>
      <c r="H30" cm="1">
        <f t="array" ref="H30">表7[[#This Row],[单价]]*金价表[税后金价]</f>
        <v>17.449473684210524</v>
      </c>
      <c r="I30">
        <f>表7[[#This Row],[rmb]]
/(表7[[#This Row],[卷概率]]*表7[[#This Row],[敏捷]])</f>
        <v>14.541228070175437</v>
      </c>
      <c r="J30" s="2">
        <v>0</v>
      </c>
      <c r="K30" s="2">
        <f>表7[[#This Row],[模拟数量]]</f>
        <v>0</v>
      </c>
      <c r="L30">
        <f>表7[[#This Row],[成功数量]]*表7[[#This Row],[敏捷]]</f>
        <v>0</v>
      </c>
      <c r="M30">
        <f>表7[[#This Row],[模拟数量]]*表7[[#This Row],[rmb]]</f>
        <v>0</v>
      </c>
      <c r="N30">
        <f>表7[[#This Row],[总敏捷]]*表7[[#This Row],[每点敏捷价格]]</f>
        <v>0</v>
      </c>
      <c r="O30" t="e">
        <f>表7[[#This Row],[成本造价]]
/IFERROR((1 - _xlfn.BINOM.DIST(表7[[#This Row],[成功数量]]-1, 表7[[#This Row],[模拟数量]], 表7[[#This Row],[卷概率]], TRUE)),0)</f>
        <v>#DIV/0!</v>
      </c>
    </row>
    <row r="31" spans="3:15" x14ac:dyDescent="0.2">
      <c r="C31" s="6">
        <v>1</v>
      </c>
      <c r="D31" s="2">
        <v>1</v>
      </c>
      <c r="E31" s="2"/>
      <c r="F31" s="2"/>
      <c r="G31">
        <v>3.5</v>
      </c>
      <c r="H31" cm="1">
        <f t="array" ref="H31">表7[[#This Row],[单价]]*金价表[税后金价]</f>
        <v>0.44578947368421051</v>
      </c>
      <c r="I31">
        <f>表7[[#This Row],[rmb]]
/(表7[[#This Row],[卷概率]]*表7[[#This Row],[敏捷]])</f>
        <v>0.44578947368421051</v>
      </c>
      <c r="J31" s="2">
        <v>4</v>
      </c>
      <c r="K31">
        <f>表7[[#This Row],[模拟数量]]</f>
        <v>4</v>
      </c>
      <c r="L31">
        <f>表7[[#This Row],[成功数量]]*表7[[#This Row],[敏捷]]</f>
        <v>4</v>
      </c>
      <c r="M31">
        <f>表7[[#This Row],[模拟数量]]*表7[[#This Row],[rmb]]</f>
        <v>1.7831578947368421</v>
      </c>
      <c r="N31">
        <f>表7[[#This Row],[总敏捷]]*表7[[#This Row],[每点敏捷价格]]</f>
        <v>1.7831578947368421</v>
      </c>
      <c r="O31">
        <f>表7[[#This Row],[成本造价]]
/IFERROR((1 - _xlfn.BINOM.DIST(表7[[#This Row],[成功数量]]-1, 表7[[#This Row],[模拟数量]], 表7[[#This Row],[卷概率]], TRUE)),0)</f>
        <v>1.7831578947368421</v>
      </c>
    </row>
    <row r="32" spans="3:15" x14ac:dyDescent="0.2">
      <c r="G32" s="2"/>
      <c r="J32">
        <f>SUM(表7[模拟数量])</f>
        <v>10</v>
      </c>
      <c r="L32">
        <f>SUM(表7[总敏捷])</f>
        <v>19</v>
      </c>
      <c r="M32">
        <f>SUM(表7[成本造价])</f>
        <v>16.303157894736842</v>
      </c>
      <c r="N32">
        <f>SUM(表7[总价格])</f>
        <v>74.38315789473684</v>
      </c>
      <c r="O32" t="e">
        <f>SUM(表7[风险造价])</f>
        <v>#DIV/0!</v>
      </c>
    </row>
    <row r="39" spans="3:14" x14ac:dyDescent="0.2">
      <c r="C39" t="s">
        <v>0</v>
      </c>
      <c r="D39" t="s">
        <v>38</v>
      </c>
      <c r="E39" t="s">
        <v>36</v>
      </c>
      <c r="F39" t="s">
        <v>37</v>
      </c>
      <c r="G39" t="s">
        <v>27</v>
      </c>
      <c r="H39" t="s">
        <v>28</v>
      </c>
      <c r="I39" t="s">
        <v>35</v>
      </c>
      <c r="J39" t="s">
        <v>39</v>
      </c>
      <c r="K39" t="s">
        <v>41</v>
      </c>
      <c r="L39" t="s">
        <v>40</v>
      </c>
      <c r="M39" t="s">
        <v>42</v>
      </c>
      <c r="N39" t="s">
        <v>43</v>
      </c>
    </row>
    <row r="40" spans="3:14" x14ac:dyDescent="0.2">
      <c r="C40" s="6">
        <v>0.1</v>
      </c>
      <c r="D40" s="2">
        <v>5</v>
      </c>
      <c r="E40" s="2">
        <v>3</v>
      </c>
      <c r="F40" s="2">
        <v>1</v>
      </c>
      <c r="G40" s="2">
        <v>19</v>
      </c>
      <c r="H40" cm="1">
        <f t="array" ref="H40">表7_9[[#This Row],[单价]]*金价表[税后金价]</f>
        <v>2.42</v>
      </c>
      <c r="I40">
        <f>表7_9[[#This Row],[rmb]]
/(表7_9[[#This Row],[卷概率]]*表7_9[[#This Row],[敏捷]])</f>
        <v>4.84</v>
      </c>
      <c r="J40" s="2">
        <v>7</v>
      </c>
      <c r="K40" s="2">
        <v>3</v>
      </c>
      <c r="L40">
        <f>表7_9[[#This Row],[成功数量]]*表7_9[[#This Row],[敏捷]]</f>
        <v>15</v>
      </c>
      <c r="M40">
        <f>表7_9[[#This Row],[模拟数量]]*表7_9[[#This Row],[rmb]]</f>
        <v>16.939999999999998</v>
      </c>
      <c r="N40">
        <f>IFERROR(1/(1 - _xlfn.BINOM.DIST(表7_9[[#This Row],[成功数量]]-1, 表7_9[[#This Row],[模拟数量]], 表7_9[[#This Row],[卷概率]], TRUE)),0)
*表7_9[[#This Row],[敏捷价格]]</f>
        <v>188.38915594651942</v>
      </c>
    </row>
    <row r="41" spans="3:14" x14ac:dyDescent="0.2">
      <c r="C41" s="6">
        <v>0.6</v>
      </c>
      <c r="D41" s="2">
        <v>2</v>
      </c>
      <c r="E41" s="2">
        <v>1</v>
      </c>
      <c r="F41" s="2"/>
      <c r="G41" s="2">
        <v>137</v>
      </c>
      <c r="H41" cm="1">
        <f t="array" ref="H41">表7_9[[#This Row],[单价]]*金价表[税后金价]</f>
        <v>17.449473684210524</v>
      </c>
      <c r="I41">
        <f>表7_9[[#This Row],[rmb]]
/(表7_9[[#This Row],[卷概率]]*表7_9[[#This Row],[敏捷]])</f>
        <v>14.541228070175437</v>
      </c>
      <c r="J41" s="2">
        <v>3</v>
      </c>
      <c r="K41" s="2">
        <v>3</v>
      </c>
      <c r="L41">
        <f>表7_9[[#This Row],[成功数量]]*表7_9[[#This Row],[敏捷]]</f>
        <v>6</v>
      </c>
      <c r="M41">
        <f>表7_9[[#This Row],[模拟数量]]*表7_9[[#This Row],[rmb]]</f>
        <v>52.348421052631572</v>
      </c>
      <c r="N41">
        <f>IFERROR(1/(1 - _xlfn.BINOM.DIST(表7_9[[#This Row],[成功数量]]-1, 表7_9[[#This Row],[模拟数量]], 表7_9[[#This Row],[卷概率]], TRUE)),0)
*表7_9[[#This Row],[敏捷价格]]</f>
        <v>67.320500324886297</v>
      </c>
    </row>
    <row r="42" spans="3:14" x14ac:dyDescent="0.2">
      <c r="C42" s="6">
        <v>1</v>
      </c>
      <c r="D42" s="2">
        <v>1</v>
      </c>
      <c r="E42" s="2"/>
      <c r="F42" s="2"/>
      <c r="G42">
        <v>3.5</v>
      </c>
      <c r="H42" cm="1">
        <f t="array" ref="H42">表7_9[[#This Row],[单价]]*金价表[税后金价]</f>
        <v>0.44578947368421051</v>
      </c>
      <c r="I42">
        <f>表7_9[[#This Row],[rmb]]
/(表7_9[[#This Row],[卷概率]]*表7_9[[#This Row],[敏捷]])</f>
        <v>0.44578947368421051</v>
      </c>
      <c r="J42" s="2">
        <v>0</v>
      </c>
      <c r="K42">
        <f>表7_9[[#This Row],[模拟数量]]</f>
        <v>0</v>
      </c>
      <c r="L42">
        <f>表7_9[[#This Row],[成功数量]]*表7_9[[#This Row],[敏捷]]</f>
        <v>0</v>
      </c>
      <c r="M42">
        <f>表7_9[[#This Row],[模拟数量]]*表7_9[[#This Row],[rmb]]</f>
        <v>0</v>
      </c>
      <c r="N42">
        <f>IFERROR(1/(1 - _xlfn.BINOM.DIST(表7_9[[#This Row],[成功数量]]-1, 表7_9[[#This Row],[模拟数量]], 表7_9[[#This Row],[卷概率]], TRUE)),0)
*表7_9[[#This Row],[敏捷价格]]</f>
        <v>0</v>
      </c>
    </row>
    <row r="43" spans="3:14" x14ac:dyDescent="0.2">
      <c r="G43" s="2"/>
      <c r="J43">
        <f>SUM(表7_9[模拟数量])</f>
        <v>10</v>
      </c>
      <c r="L43">
        <f>SUM(表7_9[总敏捷])</f>
        <v>21</v>
      </c>
      <c r="M43">
        <f>SUM(表7_9[造价])</f>
        <v>69.288421052631577</v>
      </c>
      <c r="N43">
        <f>SUM(表7_9[风险造价])</f>
        <v>255.70965627140572</v>
      </c>
    </row>
  </sheetData>
  <phoneticPr fontId="1" type="noConversion"/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E4F5-1983-43C5-86AB-660F992C424E}">
  <dimension ref="B2:X38"/>
  <sheetViews>
    <sheetView workbookViewId="0">
      <selection activeCell="J12" sqref="J12"/>
    </sheetView>
  </sheetViews>
  <sheetFormatPr defaultRowHeight="14.25" x14ac:dyDescent="0.2"/>
  <cols>
    <col min="4" max="4" width="17.25" customWidth="1"/>
    <col min="5" max="6" width="10.25" customWidth="1"/>
    <col min="11" max="11" width="13" customWidth="1"/>
    <col min="12" max="13" width="10.25" customWidth="1"/>
    <col min="14" max="14" width="13.875" customWidth="1"/>
    <col min="15" max="20" width="13.5" customWidth="1"/>
    <col min="21" max="21" width="13.875" customWidth="1"/>
    <col min="22" max="22" width="13.5" customWidth="1"/>
    <col min="23" max="24" width="12.5" customWidth="1"/>
    <col min="25" max="25" width="16.625" customWidth="1"/>
    <col min="26" max="26" width="14.875" customWidth="1"/>
    <col min="27" max="30" width="19" customWidth="1"/>
  </cols>
  <sheetData>
    <row r="2" spans="2:12" x14ac:dyDescent="0.2">
      <c r="B2" t="s">
        <v>59</v>
      </c>
      <c r="J2" t="s">
        <v>60</v>
      </c>
    </row>
    <row r="3" spans="2:12" x14ac:dyDescent="0.2">
      <c r="B3" t="s">
        <v>61</v>
      </c>
      <c r="J3" t="s">
        <v>62</v>
      </c>
    </row>
    <row r="4" spans="2:12" x14ac:dyDescent="0.2">
      <c r="J4" t="s">
        <v>63</v>
      </c>
    </row>
    <row r="5" spans="2:12" x14ac:dyDescent="0.2">
      <c r="J5" t="s">
        <v>64</v>
      </c>
    </row>
    <row r="6" spans="2:12" x14ac:dyDescent="0.2">
      <c r="J6" t="s">
        <v>65</v>
      </c>
    </row>
    <row r="7" spans="2:12" x14ac:dyDescent="0.2">
      <c r="D7" t="s">
        <v>66</v>
      </c>
    </row>
    <row r="8" spans="2:12" ht="42.75" x14ac:dyDescent="0.2">
      <c r="D8" s="3" t="s">
        <v>83</v>
      </c>
      <c r="E8" s="3" t="s">
        <v>128</v>
      </c>
      <c r="F8" s="3" t="s">
        <v>129</v>
      </c>
      <c r="G8" s="3" t="s">
        <v>67</v>
      </c>
      <c r="H8" s="3" t="s">
        <v>156</v>
      </c>
      <c r="I8" s="3" t="s">
        <v>155</v>
      </c>
      <c r="J8" s="3" t="s">
        <v>71</v>
      </c>
      <c r="K8" s="3" t="s">
        <v>72</v>
      </c>
      <c r="L8" s="3" t="s">
        <v>73</v>
      </c>
    </row>
    <row r="9" spans="2:12" x14ac:dyDescent="0.2">
      <c r="D9">
        <v>0.6</v>
      </c>
      <c r="E9">
        <v>3.6</v>
      </c>
      <c r="F9">
        <v>1</v>
      </c>
      <c r="G9">
        <v>0.54</v>
      </c>
      <c r="H9">
        <v>5</v>
      </c>
      <c r="I9">
        <v>2.5</v>
      </c>
      <c r="J9">
        <v>1.5</v>
      </c>
      <c r="K9">
        <v>1</v>
      </c>
      <c r="L9">
        <v>0.5</v>
      </c>
    </row>
    <row r="11" spans="2:12" x14ac:dyDescent="0.2">
      <c r="D11" t="s">
        <v>77</v>
      </c>
    </row>
    <row r="12" spans="2:12" x14ac:dyDescent="0.2">
      <c r="D12" t="s">
        <v>82</v>
      </c>
      <c r="E12" t="s">
        <v>76</v>
      </c>
      <c r="F12" t="s">
        <v>78</v>
      </c>
      <c r="G12" t="s">
        <v>79</v>
      </c>
    </row>
    <row r="13" spans="2:12" x14ac:dyDescent="0.2">
      <c r="D13">
        <v>-10</v>
      </c>
      <c r="E13">
        <v>420</v>
      </c>
      <c r="F13">
        <v>0.6</v>
      </c>
      <c r="G13">
        <v>0.5</v>
      </c>
    </row>
    <row r="20" spans="4:24" x14ac:dyDescent="0.2">
      <c r="L20" t="s">
        <v>69</v>
      </c>
    </row>
    <row r="22" spans="4:24" x14ac:dyDescent="0.2">
      <c r="L22" t="s">
        <v>70</v>
      </c>
    </row>
    <row r="25" spans="4:24" ht="28.5" x14ac:dyDescent="0.2">
      <c r="D25" s="3" t="s">
        <v>85</v>
      </c>
      <c r="E25" s="3" t="s">
        <v>149</v>
      </c>
      <c r="F25" s="3" t="s">
        <v>150</v>
      </c>
      <c r="G25" s="3" t="s">
        <v>151</v>
      </c>
      <c r="H25" s="3" t="s">
        <v>152</v>
      </c>
      <c r="I25" s="3" t="s">
        <v>68</v>
      </c>
      <c r="J25" s="3" t="s">
        <v>38</v>
      </c>
      <c r="K25" s="3" t="s">
        <v>148</v>
      </c>
      <c r="L25" s="3" t="s">
        <v>84</v>
      </c>
      <c r="M25" s="3" t="s">
        <v>126</v>
      </c>
      <c r="N25" s="3" t="s">
        <v>127</v>
      </c>
      <c r="O25" s="11" t="s">
        <v>170</v>
      </c>
      <c r="P25" s="11" t="s">
        <v>171</v>
      </c>
      <c r="Q25" s="3" t="s">
        <v>153</v>
      </c>
      <c r="R25" s="3" t="s">
        <v>154</v>
      </c>
      <c r="S25" s="3" t="s">
        <v>75</v>
      </c>
      <c r="T25" s="3" t="s">
        <v>74</v>
      </c>
      <c r="U25" s="11" t="s">
        <v>172</v>
      </c>
      <c r="V25" s="11" t="s">
        <v>173</v>
      </c>
      <c r="W25" s="3" t="s">
        <v>80</v>
      </c>
      <c r="X25" s="3" t="s">
        <v>81</v>
      </c>
    </row>
    <row r="26" spans="4:24" x14ac:dyDescent="0.2">
      <c r="D26" s="8" t="s">
        <v>160</v>
      </c>
      <c r="E26" s="2">
        <v>43</v>
      </c>
      <c r="F26" s="2">
        <v>23</v>
      </c>
      <c r="G26" s="2">
        <v>0</v>
      </c>
      <c r="H26" s="2">
        <v>3</v>
      </c>
      <c r="I26" s="10">
        <v>6</v>
      </c>
      <c r="J26" s="10">
        <v>105</v>
      </c>
      <c r="K26" s="10">
        <v>6</v>
      </c>
      <c r="L26" s="10">
        <v>371</v>
      </c>
      <c r="M26" cm="1">
        <f t="array" ref="M26">SUM(表15[[#This Row],[武器攻击]],表15[[#This Row],[飞镖攻击]],表15[[#This Row],[手套攻击]],表15[[#This Row],[Link攻击]])
*(
 常量表[面板主属性系数]*表15[[#This Row],[运气]]
 +常量表[面板副属性系数]*SUM(表15[[#This Row],[力量]],表15[[#This Row],[敏捷]])
)/100</f>
        <v>998.15400000000011</v>
      </c>
      <c r="N26" cm="1">
        <f t="array" ref="N26">SUM(表15[[#This Row],[武器攻击]],表15[[#This Row],[飞镖攻击]],表15[[#This Row],[手套攻击]],表15[[#This Row],[Link攻击]])
*(
 常量表[面板主属性系数]*表15[[#This Row],[运气]]*常量表[熟练度系数]
 +常量表[面板副属性系数]*SUM(表15[[#This Row],[力量]],表15[[#This Row],[敏捷]])
)/100</f>
        <v>574.2345600000001</v>
      </c>
      <c r="O26" s="12" cm="1">
        <f t="array" ref="O26">SUM(表15[[#This Row],[武器攻击]],表15[[#This Row],[飞镖攻击]],表15[[#This Row],[手套攻击]],表15[[#This Row],[Link攻击]],1)
*(
 常量表[面板主属性系数]*表15[[#This Row],[运气]]
 +常量表[面板副属性系数]*SUM(表15[[#This Row],[力量]],表15[[#This Row],[敏捷]])
)/100
/表15[[#This Row],[面板max]]-1</f>
        <v>1.449275362318847E-2</v>
      </c>
      <c r="P26" s="12" cm="1">
        <f t="array" ref="P26">SUM(表15[[#This Row],[武器攻击]],表15[[#This Row],[飞镖攻击]],表15[[#This Row],[手套攻击]],表15[[#This Row],[Link攻击]])
*(
 常量表[面板主属性系数]*(表15[[#This Row],[运气]]+5)
 +常量表[面板副属性系数]*SUM(表15[[#This Row],[力量]],表15[[#This Row],[敏捷]])
)/100
/表15[[#This Row],[面板max]]-1</f>
        <v>1.24429697221069E-2</v>
      </c>
      <c r="Q26" cm="1">
        <f t="array" ref="Q26">常量表[双飞斩运气系数max]
*SUM(表15[[#This Row],[武器攻击]],表15[[#This Row],[飞镖攻击]],表15[[#This Row],[手套攻击]],表15[[#This Row],[Link攻击]])
*表15[[#This Row],[运气]]/100
*常量表[技能倍率]</f>
        <v>1919.9250000000002</v>
      </c>
      <c r="R26" cm="1">
        <f t="array" ref="R26">常量表[双飞斩运气系数min]
*SUM(表15[[#This Row],[武器攻击]],表15[[#This Row],[飞镖攻击]],表15[[#This Row],[手套攻击]],表15[[#This Row],[Link攻击]])
*表15[[#This Row],[运气]]/100
*常量表[技能倍率]</f>
        <v>959.96250000000009</v>
      </c>
      <c r="S26" cm="1">
        <f t="array" ref="S26">常量表[双飞斩运气系数max]
*SUM(表15[[#This Row],[武器攻击]],表15[[#This Row],[飞镖攻击]],表15[[#This Row],[手套攻击]],表15[[#This Row],[Link攻击]])
*表15[[#This Row],[运气]]/100
*(常量表[技能倍率]+常量表[暴击倍率])</f>
        <v>3199.875</v>
      </c>
      <c r="T26" cm="1">
        <f t="array" ref="T26">常量表[双飞斩运气系数min]
*SUM(表15[[#This Row],[武器攻击]],表15[[#This Row],[飞镖攻击]],表15[[#This Row],[手套攻击]],表15[[#This Row],[Link攻击]])
*表15[[#This Row],[运气]]/100
*(常量表[技能倍率]+常量表[暴击倍率])</f>
        <v>1599.9375</v>
      </c>
      <c r="U26" s="14" cm="1">
        <f t="array" ref="U26">常量表[双飞斩运气系数max]
*SUM(表15[[#This Row],[武器攻击]],表15[[#This Row],[飞镖攻击]],表15[[#This Row],[手套攻击]],表15[[#This Row],[Link攻击]],1)
*表15[[#This Row],[运气]]/100
*(常量表[技能倍率]+常量表[暴击倍率])
/表15[[#This Row],[暴击伤害max]]-1</f>
        <v>1.449275362318847E-2</v>
      </c>
      <c r="V26" s="14" cm="1">
        <f t="array" ref="V26">常量表[双飞斩运气系数max]
*SUM(表15[[#This Row],[武器攻击]],表15[[#This Row],[飞镖攻击]],表15[[#This Row],[手套攻击]],表15[[#This Row],[Link攻击]])
*(表15[[#This Row],[运气]]+5)/100
*(常量表[技能倍率]+常量表[暴击倍率])
/表15[[#This Row],[暴击伤害max]]-1</f>
        <v>1.3477088948786964E-2</v>
      </c>
      <c r="W26" s="1" cm="1">
        <f t="array" ref="W26">表15[[#This Row],[暴击伤害max]]*(1+0.01*怪物参数[等级差])-怪物参数[怪物防御]*怪物参数[max系数]</f>
        <v>2669.8875000000003</v>
      </c>
      <c r="X26" s="1" cm="1">
        <f t="array" ref="X26">表15[[#This Row],[暴击伤害min]]*(1+0.01*怪物参数[等级差])-怪物参数[怪物防御]*怪物参数[min系数]</f>
        <v>1187.9437500000001</v>
      </c>
    </row>
    <row r="27" spans="4:24" x14ac:dyDescent="0.2">
      <c r="D27" s="8" t="s">
        <v>157</v>
      </c>
      <c r="E27" s="2">
        <v>43</v>
      </c>
      <c r="F27" s="2">
        <v>23</v>
      </c>
      <c r="G27" s="2">
        <v>1</v>
      </c>
      <c r="H27" s="2">
        <v>3</v>
      </c>
      <c r="I27" s="10">
        <v>6</v>
      </c>
      <c r="J27" s="10">
        <v>105</v>
      </c>
      <c r="K27" s="10">
        <v>6</v>
      </c>
      <c r="L27" s="10">
        <v>371</v>
      </c>
      <c r="M27" cm="1">
        <f t="array" ref="M27">SUM(表15[[#This Row],[武器攻击]],表15[[#This Row],[飞镖攻击]],表15[[#This Row],[手套攻击]],表15[[#This Row],[Link攻击]])
*(
 常量表[面板主属性系数]*表15[[#This Row],[运气]]
 +常量表[面板副属性系数]*SUM(表15[[#This Row],[力量]],表15[[#This Row],[敏捷]])
)/100</f>
        <v>1012.6200000000001</v>
      </c>
      <c r="N27" cm="1">
        <f t="array" ref="N27">SUM(表15[[#This Row],[武器攻击]],表15[[#This Row],[飞镖攻击]],表15[[#This Row],[手套攻击]],表15[[#This Row],[Link攻击]])
*(
 常量表[面板主属性系数]*表15[[#This Row],[运气]]*常量表[熟练度系数]
 +常量表[面板副属性系数]*SUM(表15[[#This Row],[力量]],表15[[#This Row],[敏捷]])
)/100</f>
        <v>582.55680000000007</v>
      </c>
      <c r="O27" s="12" cm="1">
        <f t="array" ref="O27">SUM(表15[[#This Row],[武器攻击]],表15[[#This Row],[飞镖攻击]],表15[[#This Row],[手套攻击]],表15[[#This Row],[Link攻击]],1)
*(
 常量表[面板主属性系数]*表15[[#This Row],[运气]]
 +常量表[面板副属性系数]*SUM(表15[[#This Row],[力量]],表15[[#This Row],[敏捷]])
)/100
/表15[[#This Row],[面板max]]-1</f>
        <v>1.4285714285714235E-2</v>
      </c>
      <c r="P27" s="12" cm="1">
        <f t="array" ref="P27">SUM(表15[[#This Row],[武器攻击]],表15[[#This Row],[飞镖攻击]],表15[[#This Row],[手套攻击]],表15[[#This Row],[Link攻击]])
*(
 常量表[面板主属性系数]*(表15[[#This Row],[运气]]+5)
 +常量表[面板副属性系数]*SUM(表15[[#This Row],[力量]],表15[[#This Row],[敏捷]])
)/100
/表15[[#This Row],[面板max]]-1</f>
        <v>1.2442969722107122E-2</v>
      </c>
      <c r="Q27" cm="1">
        <f t="array" ref="Q27">常量表[双飞斩运气系数max]
*SUM(表15[[#This Row],[武器攻击]],表15[[#This Row],[飞镖攻击]],表15[[#This Row],[手套攻击]],表15[[#This Row],[Link攻击]])
*表15[[#This Row],[运气]]/100
*常量表[技能倍率]</f>
        <v>1947.75</v>
      </c>
      <c r="R27" cm="1">
        <f t="array" ref="R27">常量表[双飞斩运气系数min]
*SUM(表15[[#This Row],[武器攻击]],表15[[#This Row],[飞镖攻击]],表15[[#This Row],[手套攻击]],表15[[#This Row],[Link攻击]])
*表15[[#This Row],[运气]]/100
*常量表[技能倍率]</f>
        <v>973.875</v>
      </c>
      <c r="S27" cm="1">
        <f t="array" ref="S27">常量表[双飞斩运气系数max]
*SUM(表15[[#This Row],[武器攻击]],表15[[#This Row],[飞镖攻击]],表15[[#This Row],[手套攻击]],表15[[#This Row],[Link攻击]])
*表15[[#This Row],[运气]]/100
*(常量表[技能倍率]+常量表[暴击倍率])</f>
        <v>3246.25</v>
      </c>
      <c r="T27" cm="1">
        <f t="array" ref="T27">常量表[双飞斩运气系数min]
*SUM(表15[[#This Row],[武器攻击]],表15[[#This Row],[飞镖攻击]],表15[[#This Row],[手套攻击]],表15[[#This Row],[Link攻击]])
*表15[[#This Row],[运气]]/100
*(常量表[技能倍率]+常量表[暴击倍率])</f>
        <v>1623.125</v>
      </c>
      <c r="U27" s="14" cm="1">
        <f t="array" ref="U27">常量表[双飞斩运气系数max]
*SUM(表15[[#This Row],[武器攻击]],表15[[#This Row],[飞镖攻击]],表15[[#This Row],[手套攻击]],表15[[#This Row],[Link攻击]],1)
*表15[[#This Row],[运气]]/100
*(常量表[技能倍率]+常量表[暴击倍率])
/表15[[#This Row],[暴击伤害max]]-1</f>
        <v>1.4285714285714235E-2</v>
      </c>
      <c r="V27" s="14" cm="1">
        <f t="array" ref="V27">常量表[双飞斩运气系数max]
*SUM(表15[[#This Row],[武器攻击]],表15[[#This Row],[飞镖攻击]],表15[[#This Row],[手套攻击]],表15[[#This Row],[Link攻击]])
*(表15[[#This Row],[运气]]+5)/100
*(常量表[技能倍率]+常量表[暴击倍率])
/表15[[#This Row],[暴击伤害max]]-1</f>
        <v>1.3477088948786964E-2</v>
      </c>
      <c r="W27" s="1" cm="1">
        <f t="array" ref="W27">表15[[#This Row],[暴击伤害max]]*(1+0.01*怪物参数[等级差])-怪物参数[怪物防御]*怪物参数[max系数]</f>
        <v>2711.625</v>
      </c>
      <c r="X27" s="1" cm="1">
        <f t="array" ref="X27">表15[[#This Row],[暴击伤害min]]*(1+0.01*怪物参数[等级差])-怪物参数[怪物防御]*怪物参数[min系数]</f>
        <v>1208.8125</v>
      </c>
    </row>
    <row r="28" spans="4:24" x14ac:dyDescent="0.2">
      <c r="D28" s="8" t="s">
        <v>158</v>
      </c>
      <c r="E28" s="2">
        <v>43</v>
      </c>
      <c r="F28" s="2">
        <v>23</v>
      </c>
      <c r="G28" s="2">
        <v>2</v>
      </c>
      <c r="H28" s="2">
        <v>3</v>
      </c>
      <c r="I28" s="10">
        <v>6</v>
      </c>
      <c r="J28" s="10">
        <v>105</v>
      </c>
      <c r="K28" s="10">
        <v>6</v>
      </c>
      <c r="L28" s="10">
        <v>371</v>
      </c>
      <c r="M28" cm="1">
        <f t="array" ref="M28">SUM(表15[[#This Row],[武器攻击]],表15[[#This Row],[飞镖攻击]],表15[[#This Row],[手套攻击]],表15[[#This Row],[Link攻击]])
*(
 常量表[面板主属性系数]*表15[[#This Row],[运气]]
 +常量表[面板副属性系数]*SUM(表15[[#This Row],[力量]],表15[[#This Row],[敏捷]])
)/100</f>
        <v>1027.086</v>
      </c>
      <c r="N28" cm="1">
        <f t="array" ref="N28">SUM(表15[[#This Row],[武器攻击]],表15[[#This Row],[飞镖攻击]],表15[[#This Row],[手套攻击]],表15[[#This Row],[Link攻击]])
*(
 常量表[面板主属性系数]*表15[[#This Row],[运气]]*常量表[熟练度系数]
 +常量表[面板副属性系数]*SUM(表15[[#This Row],[力量]],表15[[#This Row],[敏捷]])
)/100</f>
        <v>590.87904000000015</v>
      </c>
      <c r="O28" s="12" cm="1">
        <f t="array" ref="O28">SUM(表15[[#This Row],[武器攻击]],表15[[#This Row],[飞镖攻击]],表15[[#This Row],[手套攻击]],表15[[#This Row],[Link攻击]],1)
*(
 常量表[面板主属性系数]*表15[[#This Row],[运气]]
 +常量表[面板副属性系数]*SUM(表15[[#This Row],[力量]],表15[[#This Row],[敏捷]])
)/100
/表15[[#This Row],[面板max]]-1</f>
        <v>1.4084507042253724E-2</v>
      </c>
      <c r="P28" s="12" cm="1">
        <f t="array" ref="P28">SUM(表15[[#This Row],[武器攻击]],表15[[#This Row],[飞镖攻击]],表15[[#This Row],[手套攻击]],表15[[#This Row],[Link攻击]])
*(
 常量表[面板主属性系数]*(表15[[#This Row],[运气]]+5)
 +常量表[面板副属性系数]*SUM(表15[[#This Row],[力量]],表15[[#This Row],[敏捷]])
)/100
/表15[[#This Row],[面板max]]-1</f>
        <v>1.24429697221069E-2</v>
      </c>
      <c r="Q28" cm="1">
        <f t="array" ref="Q28">常量表[双飞斩运气系数max]
*SUM(表15[[#This Row],[武器攻击]],表15[[#This Row],[飞镖攻击]],表15[[#This Row],[手套攻击]],表15[[#This Row],[Link攻击]])
*表15[[#This Row],[运气]]/100
*常量表[技能倍率]</f>
        <v>1975.5749999999998</v>
      </c>
      <c r="R28" cm="1">
        <f t="array" ref="R28">常量表[双飞斩运气系数min]
*SUM(表15[[#This Row],[武器攻击]],表15[[#This Row],[飞镖攻击]],表15[[#This Row],[手套攻击]],表15[[#This Row],[Link攻击]])
*表15[[#This Row],[运气]]/100
*常量表[技能倍率]</f>
        <v>987.78749999999991</v>
      </c>
      <c r="S28" cm="1">
        <f t="array" ref="S28">常量表[双飞斩运气系数max]
*SUM(表15[[#This Row],[武器攻击]],表15[[#This Row],[飞镖攻击]],表15[[#This Row],[手套攻击]],表15[[#This Row],[Link攻击]])
*表15[[#This Row],[运气]]/100
*(常量表[技能倍率]+常量表[暴击倍率])</f>
        <v>3292.625</v>
      </c>
      <c r="T28" cm="1">
        <f t="array" ref="T28">常量表[双飞斩运气系数min]
*SUM(表15[[#This Row],[武器攻击]],表15[[#This Row],[飞镖攻击]],表15[[#This Row],[手套攻击]],表15[[#This Row],[Link攻击]])
*表15[[#This Row],[运气]]/100
*(常量表[技能倍率]+常量表[暴击倍率])</f>
        <v>1646.3125</v>
      </c>
      <c r="U28" s="14" cm="1">
        <f t="array" ref="U28">常量表[双飞斩运气系数max]
*SUM(表15[[#This Row],[武器攻击]],表15[[#This Row],[飞镖攻击]],表15[[#This Row],[手套攻击]],表15[[#This Row],[Link攻击]],1)
*表15[[#This Row],[运气]]/100
*(常量表[技能倍率]+常量表[暴击倍率])
/表15[[#This Row],[暴击伤害max]]-1</f>
        <v>1.4084507042253502E-2</v>
      </c>
      <c r="V28" s="14" cm="1">
        <f t="array" ref="V28">常量表[双飞斩运气系数max]
*SUM(表15[[#This Row],[武器攻击]],表15[[#This Row],[飞镖攻击]],表15[[#This Row],[手套攻击]],表15[[#This Row],[Link攻击]])
*(表15[[#This Row],[运气]]+5)/100
*(常量表[技能倍率]+常量表[暴击倍率])
/表15[[#This Row],[暴击伤害max]]-1</f>
        <v>1.3477088948786964E-2</v>
      </c>
      <c r="W28" s="1" cm="1">
        <f t="array" ref="W28">表15[[#This Row],[暴击伤害max]]*(1+0.01*怪物参数[等级差])-怪物参数[怪物防御]*怪物参数[max系数]</f>
        <v>2753.3625000000002</v>
      </c>
      <c r="X28" s="1" cm="1">
        <f t="array" ref="X28">表15[[#This Row],[暴击伤害min]]*(1+0.01*怪物参数[等级差])-怪物参数[怪物防御]*怪物参数[min系数]</f>
        <v>1229.6812500000001</v>
      </c>
    </row>
    <row r="29" spans="4:24" x14ac:dyDescent="0.2">
      <c r="D29" s="8" t="s">
        <v>159</v>
      </c>
      <c r="E29" s="2">
        <v>43</v>
      </c>
      <c r="F29" s="2">
        <v>23</v>
      </c>
      <c r="G29" s="2">
        <v>3</v>
      </c>
      <c r="H29" s="2">
        <v>3</v>
      </c>
      <c r="I29" s="10">
        <v>6</v>
      </c>
      <c r="J29" s="10">
        <v>105</v>
      </c>
      <c r="K29" s="10">
        <v>6</v>
      </c>
      <c r="L29" s="10">
        <v>371</v>
      </c>
      <c r="M29" cm="1">
        <f t="array" ref="M29">SUM(表15[[#This Row],[武器攻击]],表15[[#This Row],[飞镖攻击]],表15[[#This Row],[手套攻击]],表15[[#This Row],[Link攻击]])
*(
 常量表[面板主属性系数]*表15[[#This Row],[运气]]
 +常量表[面板副属性系数]*SUM(表15[[#This Row],[力量]],表15[[#This Row],[敏捷]])
)/100</f>
        <v>1041.5520000000001</v>
      </c>
      <c r="N29" cm="1">
        <f t="array" ref="N29">SUM(表15[[#This Row],[武器攻击]],表15[[#This Row],[飞镖攻击]],表15[[#This Row],[手套攻击]],表15[[#This Row],[Link攻击]])
*(
 常量表[面板主属性系数]*表15[[#This Row],[运气]]*常量表[熟练度系数]
 +常量表[面板副属性系数]*SUM(表15[[#This Row],[力量]],表15[[#This Row],[敏捷]])
)/100</f>
        <v>599.20128000000011</v>
      </c>
      <c r="O29" s="12" cm="1">
        <f t="array" ref="O29">SUM(表15[[#This Row],[武器攻击]],表15[[#This Row],[飞镖攻击]],表15[[#This Row],[手套攻击]],表15[[#This Row],[Link攻击]],1)
*(
 常量表[面板主属性系数]*表15[[#This Row],[运气]]
 +常量表[面板副属性系数]*SUM(表15[[#This Row],[力量]],表15[[#This Row],[敏捷]])
)/100
/表15[[#This Row],[面板max]]-1</f>
        <v>1.388888888888884E-2</v>
      </c>
      <c r="P29" s="12" cm="1">
        <f t="array" ref="P29">SUM(表15[[#This Row],[武器攻击]],表15[[#This Row],[飞镖攻击]],表15[[#This Row],[手套攻击]],表15[[#This Row],[Link攻击]])
*(
 常量表[面板主属性系数]*(表15[[#This Row],[运气]]+5)
 +常量表[面板副属性系数]*SUM(表15[[#This Row],[力量]],表15[[#This Row],[敏捷]])
)/100
/表15[[#This Row],[面板max]]-1</f>
        <v>1.2442969722107122E-2</v>
      </c>
      <c r="Q29" cm="1">
        <f t="array" ref="Q29">常量表[双飞斩运气系数max]
*SUM(表15[[#This Row],[武器攻击]],表15[[#This Row],[飞镖攻击]],表15[[#This Row],[手套攻击]],表15[[#This Row],[Link攻击]])
*表15[[#This Row],[运气]]/100
*常量表[技能倍率]</f>
        <v>2003.3999999999999</v>
      </c>
      <c r="R29" cm="1">
        <f t="array" ref="R29">常量表[双飞斩运气系数min]
*SUM(表15[[#This Row],[武器攻击]],表15[[#This Row],[飞镖攻击]],表15[[#This Row],[手套攻击]],表15[[#This Row],[Link攻击]])
*表15[[#This Row],[运气]]/100
*常量表[技能倍率]</f>
        <v>1001.6999999999999</v>
      </c>
      <c r="S29" cm="1">
        <f t="array" ref="S29">常量表[双飞斩运气系数max]
*SUM(表15[[#This Row],[武器攻击]],表15[[#This Row],[飞镖攻击]],表15[[#This Row],[手套攻击]],表15[[#This Row],[Link攻击]])
*表15[[#This Row],[运气]]/100
*(常量表[技能倍率]+常量表[暴击倍率])</f>
        <v>3339</v>
      </c>
      <c r="T29" cm="1">
        <f t="array" ref="T29">常量表[双飞斩运气系数min]
*SUM(表15[[#This Row],[武器攻击]],表15[[#This Row],[飞镖攻击]],表15[[#This Row],[手套攻击]],表15[[#This Row],[Link攻击]])
*表15[[#This Row],[运气]]/100
*(常量表[技能倍率]+常量表[暴击倍率])</f>
        <v>1669.5</v>
      </c>
      <c r="U29" s="14" cm="1">
        <f t="array" ref="U29">常量表[双飞斩运气系数max]
*SUM(表15[[#This Row],[武器攻击]],表15[[#This Row],[飞镖攻击]],表15[[#This Row],[手套攻击]],表15[[#This Row],[Link攻击]],1)
*表15[[#This Row],[运气]]/100
*(常量表[技能倍率]+常量表[暴击倍率])
/表15[[#This Row],[暴击伤害max]]-1</f>
        <v>1.388888888888884E-2</v>
      </c>
      <c r="V29" s="14" cm="1">
        <f t="array" ref="V29">常量表[双飞斩运气系数max]
*SUM(表15[[#This Row],[武器攻击]],表15[[#This Row],[飞镖攻击]],表15[[#This Row],[手套攻击]],表15[[#This Row],[Link攻击]])
*(表15[[#This Row],[运气]]+5)/100
*(常量表[技能倍率]+常量表[暴击倍率])
/表15[[#This Row],[暴击伤害max]]-1</f>
        <v>1.3477088948786964E-2</v>
      </c>
      <c r="W29" s="1" cm="1">
        <f t="array" ref="W29">表15[[#This Row],[暴击伤害max]]*(1+0.01*怪物参数[等级差])-怪物参数[怪物防御]*怪物参数[max系数]</f>
        <v>2795.1</v>
      </c>
      <c r="X29" s="1" cm="1">
        <f t="array" ref="X29">表15[[#This Row],[暴击伤害min]]*(1+0.01*怪物参数[等级差])-怪物参数[怪物防御]*怪物参数[min系数]</f>
        <v>1250.55</v>
      </c>
    </row>
    <row r="30" spans="4:24" x14ac:dyDescent="0.2">
      <c r="D30" s="8" t="s">
        <v>161</v>
      </c>
      <c r="E30" s="2">
        <v>43</v>
      </c>
      <c r="F30" s="2">
        <v>23</v>
      </c>
      <c r="G30" s="2">
        <v>4</v>
      </c>
      <c r="H30" s="2">
        <v>3</v>
      </c>
      <c r="I30" s="10">
        <v>6</v>
      </c>
      <c r="J30" s="10">
        <v>105</v>
      </c>
      <c r="K30" s="10">
        <v>6</v>
      </c>
      <c r="L30" s="10">
        <v>371</v>
      </c>
      <c r="M30" cm="1">
        <f t="array" ref="M30">SUM(表15[[#This Row],[武器攻击]],表15[[#This Row],[飞镖攻击]],表15[[#This Row],[手套攻击]],表15[[#This Row],[Link攻击]])
*(
 常量表[面板主属性系数]*表15[[#This Row],[运气]]
 +常量表[面板副属性系数]*SUM(表15[[#This Row],[力量]],表15[[#This Row],[敏捷]])
)/100</f>
        <v>1056.018</v>
      </c>
      <c r="N30" cm="1">
        <f t="array" ref="N30">SUM(表15[[#This Row],[武器攻击]],表15[[#This Row],[飞镖攻击]],表15[[#This Row],[手套攻击]],表15[[#This Row],[Link攻击]])
*(
 常量表[面板主属性系数]*表15[[#This Row],[运气]]*常量表[熟练度系数]
 +常量表[面板副属性系数]*SUM(表15[[#This Row],[力量]],表15[[#This Row],[敏捷]])
)/100</f>
        <v>607.52352000000019</v>
      </c>
      <c r="O30" s="12" cm="1">
        <f t="array" ref="O30">SUM(表15[[#This Row],[武器攻击]],表15[[#This Row],[飞镖攻击]],表15[[#This Row],[手套攻击]],表15[[#This Row],[Link攻击]],1)
*(
 常量表[面板主属性系数]*表15[[#This Row],[运气]]
 +常量表[面板副属性系数]*SUM(表15[[#This Row],[力量]],表15[[#This Row],[敏捷]])
)/100
/表15[[#This Row],[面板max]]-1</f>
        <v>1.3698630136986356E-2</v>
      </c>
      <c r="P30" s="12" cm="1">
        <f t="array" ref="P30">SUM(表15[[#This Row],[武器攻击]],表15[[#This Row],[飞镖攻击]],表15[[#This Row],[手套攻击]],表15[[#This Row],[Link攻击]])
*(
 常量表[面板主属性系数]*(表15[[#This Row],[运气]]+5)
 +常量表[面板副属性系数]*SUM(表15[[#This Row],[力量]],表15[[#This Row],[敏捷]])
)/100
/表15[[#This Row],[面板max]]-1</f>
        <v>1.2442969722107122E-2</v>
      </c>
      <c r="Q30" cm="1">
        <f t="array" ref="Q30">常量表[双飞斩运气系数max]
*SUM(表15[[#This Row],[武器攻击]],表15[[#This Row],[飞镖攻击]],表15[[#This Row],[手套攻击]],表15[[#This Row],[Link攻击]])
*表15[[#This Row],[运气]]/100
*常量表[技能倍率]</f>
        <v>2031.2250000000001</v>
      </c>
      <c r="R30" cm="1">
        <f t="array" ref="R30">常量表[双飞斩运气系数min]
*SUM(表15[[#This Row],[武器攻击]],表15[[#This Row],[飞镖攻击]],表15[[#This Row],[手套攻击]],表15[[#This Row],[Link攻击]])
*表15[[#This Row],[运气]]/100
*常量表[技能倍率]</f>
        <v>1015.6125000000001</v>
      </c>
      <c r="S30" cm="1">
        <f t="array" ref="S30">常量表[双飞斩运气系数max]
*SUM(表15[[#This Row],[武器攻击]],表15[[#This Row],[飞镖攻击]],表15[[#This Row],[手套攻击]],表15[[#This Row],[Link攻击]])
*表15[[#This Row],[运气]]/100
*(常量表[技能倍率]+常量表[暴击倍率])</f>
        <v>3385.375</v>
      </c>
      <c r="T30" cm="1">
        <f t="array" ref="T30">常量表[双飞斩运气系数min]
*SUM(表15[[#This Row],[武器攻击]],表15[[#This Row],[飞镖攻击]],表15[[#This Row],[手套攻击]],表15[[#This Row],[Link攻击]])
*表15[[#This Row],[运气]]/100
*(常量表[技能倍率]+常量表[暴击倍率])</f>
        <v>1692.6875</v>
      </c>
      <c r="U30" s="14" cm="1">
        <f t="array" ref="U30">常量表[双飞斩运气系数max]
*SUM(表15[[#This Row],[武器攻击]],表15[[#This Row],[飞镖攻击]],表15[[#This Row],[手套攻击]],表15[[#This Row],[Link攻击]],1)
*表15[[#This Row],[运气]]/100
*(常量表[技能倍率]+常量表[暴击倍率])
/表15[[#This Row],[暴击伤害max]]-1</f>
        <v>1.3698630136986356E-2</v>
      </c>
      <c r="V30" s="14" cm="1">
        <f t="array" ref="V30">常量表[双飞斩运气系数max]
*SUM(表15[[#This Row],[武器攻击]],表15[[#This Row],[飞镖攻击]],表15[[#This Row],[手套攻击]],表15[[#This Row],[Link攻击]])
*(表15[[#This Row],[运气]]+5)/100
*(常量表[技能倍率]+常量表[暴击倍率])
/表15[[#This Row],[暴击伤害max]]-1</f>
        <v>1.3477088948786964E-2</v>
      </c>
      <c r="W30" s="1" cm="1">
        <f t="array" ref="W30">表15[[#This Row],[暴击伤害max]]*(1+0.01*怪物参数[等级差])-怪物参数[怪物防御]*怪物参数[max系数]</f>
        <v>2836.8375000000001</v>
      </c>
      <c r="X30" s="1" cm="1">
        <f t="array" ref="X30">表15[[#This Row],[暴击伤害min]]*(1+0.01*怪物参数[等级差])-怪物参数[怪物防御]*怪物参数[min系数]</f>
        <v>1271.41875</v>
      </c>
    </row>
    <row r="31" spans="4:24" x14ac:dyDescent="0.2">
      <c r="D31" s="8" t="s">
        <v>162</v>
      </c>
      <c r="E31" s="2">
        <v>43</v>
      </c>
      <c r="F31" s="2">
        <v>23</v>
      </c>
      <c r="G31" s="2">
        <v>5</v>
      </c>
      <c r="H31" s="2">
        <v>3</v>
      </c>
      <c r="I31" s="10">
        <v>6</v>
      </c>
      <c r="J31" s="10">
        <v>105</v>
      </c>
      <c r="K31" s="10">
        <v>6</v>
      </c>
      <c r="L31" s="10">
        <v>371</v>
      </c>
      <c r="M31" cm="1">
        <f t="array" ref="M31">SUM(表15[[#This Row],[武器攻击]],表15[[#This Row],[飞镖攻击]],表15[[#This Row],[手套攻击]],表15[[#This Row],[Link攻击]])
*(
 常量表[面板主属性系数]*表15[[#This Row],[运气]]
 +常量表[面板副属性系数]*SUM(表15[[#This Row],[力量]],表15[[#This Row],[敏捷]])
)/100</f>
        <v>1070.4840000000002</v>
      </c>
      <c r="N31" cm="1">
        <f t="array" ref="N31">SUM(表15[[#This Row],[武器攻击]],表15[[#This Row],[飞镖攻击]],表15[[#This Row],[手套攻击]],表15[[#This Row],[Link攻击]])
*(
 常量表[面板主属性系数]*表15[[#This Row],[运气]]*常量表[熟练度系数]
 +常量表[面板副属性系数]*SUM(表15[[#This Row],[力量]],表15[[#This Row],[敏捷]])
)/100</f>
        <v>615.84576000000015</v>
      </c>
      <c r="O31" s="12" cm="1">
        <f t="array" ref="O31">SUM(表15[[#This Row],[武器攻击]],表15[[#This Row],[飞镖攻击]],表15[[#This Row],[手套攻击]],表15[[#This Row],[Link攻击]],1)
*(
 常量表[面板主属性系数]*表15[[#This Row],[运气]]
 +常量表[面板副属性系数]*SUM(表15[[#This Row],[力量]],表15[[#This Row],[敏捷]])
)/100
/表15[[#This Row],[面板max]]-1</f>
        <v>1.3513513513513375E-2</v>
      </c>
      <c r="P31" s="12" cm="1">
        <f t="array" ref="P31">SUM(表15[[#This Row],[武器攻击]],表15[[#This Row],[飞镖攻击]],表15[[#This Row],[手套攻击]],表15[[#This Row],[Link攻击]])
*(
 常量表[面板主属性系数]*(表15[[#This Row],[运气]]+5)
 +常量表[面板副属性系数]*SUM(表15[[#This Row],[力量]],表15[[#This Row],[敏捷]])
)/100
/表15[[#This Row],[面板max]]-1</f>
        <v>1.24429697221069E-2</v>
      </c>
      <c r="Q31" cm="1">
        <f t="array" ref="Q31">常量表[双飞斩运气系数max]
*SUM(表15[[#This Row],[武器攻击]],表15[[#This Row],[飞镖攻击]],表15[[#This Row],[手套攻击]],表15[[#This Row],[Link攻击]])
*表15[[#This Row],[运气]]/100
*常量表[技能倍率]</f>
        <v>2059.0500000000002</v>
      </c>
      <c r="R31" cm="1">
        <f t="array" ref="R31">常量表[双飞斩运气系数min]
*SUM(表15[[#This Row],[武器攻击]],表15[[#This Row],[飞镖攻击]],表15[[#This Row],[手套攻击]],表15[[#This Row],[Link攻击]])
*表15[[#This Row],[运气]]/100
*常量表[技能倍率]</f>
        <v>1029.5250000000001</v>
      </c>
      <c r="S31" cm="1">
        <f t="array" ref="S31">常量表[双飞斩运气系数max]
*SUM(表15[[#This Row],[武器攻击]],表15[[#This Row],[飞镖攻击]],表15[[#This Row],[手套攻击]],表15[[#This Row],[Link攻击]])
*表15[[#This Row],[运气]]/100
*(常量表[技能倍率]+常量表[暴击倍率])</f>
        <v>3431.75</v>
      </c>
      <c r="T31" cm="1">
        <f t="array" ref="T31">常量表[双飞斩运气系数min]
*SUM(表15[[#This Row],[武器攻击]],表15[[#This Row],[飞镖攻击]],表15[[#This Row],[手套攻击]],表15[[#This Row],[Link攻击]])
*表15[[#This Row],[运气]]/100
*(常量表[技能倍率]+常量表[暴击倍率])</f>
        <v>1715.875</v>
      </c>
      <c r="U31" s="14" cm="1">
        <f t="array" ref="U31">常量表[双飞斩运气系数max]
*SUM(表15[[#This Row],[武器攻击]],表15[[#This Row],[飞镖攻击]],表15[[#This Row],[手套攻击]],表15[[#This Row],[Link攻击]],1)
*表15[[#This Row],[运气]]/100
*(常量表[技能倍率]+常量表[暴击倍率])
/表15[[#This Row],[暴击伤害max]]-1</f>
        <v>1.3513513513513598E-2</v>
      </c>
      <c r="V31" s="14" cm="1">
        <f t="array" ref="V31">常量表[双飞斩运气系数max]
*SUM(表15[[#This Row],[武器攻击]],表15[[#This Row],[飞镖攻击]],表15[[#This Row],[手套攻击]],表15[[#This Row],[Link攻击]])
*(表15[[#This Row],[运气]]+5)/100
*(常量表[技能倍率]+常量表[暴击倍率])
/表15[[#This Row],[暴击伤害max]]-1</f>
        <v>1.3477088948786964E-2</v>
      </c>
      <c r="W31" s="1" cm="1">
        <f t="array" ref="W31">表15[[#This Row],[暴击伤害max]]*(1+0.01*怪物参数[等级差])-怪物参数[怪物防御]*怪物参数[max系数]</f>
        <v>2878.5750000000003</v>
      </c>
      <c r="X31" s="1" cm="1">
        <f t="array" ref="X31">表15[[#This Row],[暴击伤害min]]*(1+0.01*怪物参数[等级差])-怪物参数[怪物防御]*怪物参数[min系数]</f>
        <v>1292.2875000000001</v>
      </c>
    </row>
    <row r="32" spans="4:24" x14ac:dyDescent="0.2">
      <c r="D32" s="8" t="s">
        <v>163</v>
      </c>
      <c r="E32" s="2">
        <v>43</v>
      </c>
      <c r="F32" s="2">
        <v>23</v>
      </c>
      <c r="G32" s="2">
        <v>6</v>
      </c>
      <c r="H32" s="2">
        <v>3</v>
      </c>
      <c r="I32" s="10">
        <v>6</v>
      </c>
      <c r="J32" s="10">
        <v>105</v>
      </c>
      <c r="K32" s="10">
        <v>6</v>
      </c>
      <c r="L32" s="10">
        <v>371</v>
      </c>
      <c r="M32" cm="1">
        <f t="array" ref="M32">SUM(表15[[#This Row],[武器攻击]],表15[[#This Row],[飞镖攻击]],表15[[#This Row],[手套攻击]],表15[[#This Row],[Link攻击]])
*(
 常量表[面板主属性系数]*表15[[#This Row],[运气]]
 +常量表[面板副属性系数]*SUM(表15[[#This Row],[力量]],表15[[#This Row],[敏捷]])
)/100</f>
        <v>1084.95</v>
      </c>
      <c r="N32" cm="1">
        <f t="array" ref="N32">SUM(表15[[#This Row],[武器攻击]],表15[[#This Row],[飞镖攻击]],表15[[#This Row],[手套攻击]],表15[[#This Row],[Link攻击]])
*(
 常量表[面板主属性系数]*表15[[#This Row],[运气]]*常量表[熟练度系数]
 +常量表[面板副属性系数]*SUM(表15[[#This Row],[力量]],表15[[#This Row],[敏捷]])
)/100</f>
        <v>624.16800000000012</v>
      </c>
      <c r="O32" s="12" cm="1">
        <f t="array" ref="O32">SUM(表15[[#This Row],[武器攻击]],表15[[#This Row],[飞镖攻击]],表15[[#This Row],[手套攻击]],表15[[#This Row],[Link攻击]],1)
*(
 常量表[面板主属性系数]*表15[[#This Row],[运气]]
 +常量表[面板副属性系数]*SUM(表15[[#This Row],[力量]],表15[[#This Row],[敏捷]])
)/100
/表15[[#This Row],[面板max]]-1</f>
        <v>1.3333333333333419E-2</v>
      </c>
      <c r="P32" s="12" cm="1">
        <f t="array" ref="P32">SUM(表15[[#This Row],[武器攻击]],表15[[#This Row],[飞镖攻击]],表15[[#This Row],[手套攻击]],表15[[#This Row],[Link攻击]])
*(
 常量表[面板主属性系数]*(表15[[#This Row],[运气]]+5)
 +常量表[面板副属性系数]*SUM(表15[[#This Row],[力量]],表15[[#This Row],[敏捷]])
)/100
/表15[[#This Row],[面板max]]-1</f>
        <v>1.24429697221069E-2</v>
      </c>
      <c r="Q32" cm="1">
        <f t="array" ref="Q32">常量表[双飞斩运气系数max]
*SUM(表15[[#This Row],[武器攻击]],表15[[#This Row],[飞镖攻击]],表15[[#This Row],[手套攻击]],表15[[#This Row],[Link攻击]])
*表15[[#This Row],[运气]]/100
*常量表[技能倍率]</f>
        <v>2086.875</v>
      </c>
      <c r="R32" cm="1">
        <f t="array" ref="R32">常量表[双飞斩运气系数min]
*SUM(表15[[#This Row],[武器攻击]],表15[[#This Row],[飞镖攻击]],表15[[#This Row],[手套攻击]],表15[[#This Row],[Link攻击]])
*表15[[#This Row],[运气]]/100
*常量表[技能倍率]</f>
        <v>1043.4375</v>
      </c>
      <c r="S32" cm="1">
        <f t="array" ref="S32">常量表[双飞斩运气系数max]
*SUM(表15[[#This Row],[武器攻击]],表15[[#This Row],[飞镖攻击]],表15[[#This Row],[手套攻击]],表15[[#This Row],[Link攻击]])
*表15[[#This Row],[运气]]/100
*(常量表[技能倍率]+常量表[暴击倍率])</f>
        <v>3478.125</v>
      </c>
      <c r="T32" cm="1">
        <f t="array" ref="T32">常量表[双飞斩运气系数min]
*SUM(表15[[#This Row],[武器攻击]],表15[[#This Row],[飞镖攻击]],表15[[#This Row],[手套攻击]],表15[[#This Row],[Link攻击]])
*表15[[#This Row],[运气]]/100
*(常量表[技能倍率]+常量表[暴击倍率])</f>
        <v>1739.0625</v>
      </c>
      <c r="U32" s="14" cm="1">
        <f t="array" ref="U32">常量表[双飞斩运气系数max]
*SUM(表15[[#This Row],[武器攻击]],表15[[#This Row],[飞镖攻击]],表15[[#This Row],[手套攻击]],表15[[#This Row],[Link攻击]],1)
*表15[[#This Row],[运气]]/100
*(常量表[技能倍率]+常量表[暴击倍率])
/表15[[#This Row],[暴击伤害max]]-1</f>
        <v>1.3333333333333419E-2</v>
      </c>
      <c r="V32" s="14" cm="1">
        <f t="array" ref="V32">常量表[双飞斩运气系数max]
*SUM(表15[[#This Row],[武器攻击]],表15[[#This Row],[飞镖攻击]],表15[[#This Row],[手套攻击]],表15[[#This Row],[Link攻击]])
*(表15[[#This Row],[运气]]+5)/100
*(常量表[技能倍率]+常量表[暴击倍率])
/表15[[#This Row],[暴击伤害max]]-1</f>
        <v>1.3477088948786964E-2</v>
      </c>
      <c r="W32" s="1" cm="1">
        <f t="array" ref="W32">表15[[#This Row],[暴击伤害max]]*(1+0.01*怪物参数[等级差])-怪物参数[怪物防御]*怪物参数[max系数]</f>
        <v>2920.3125</v>
      </c>
      <c r="X32" s="1" cm="1">
        <f t="array" ref="X32">表15[[#This Row],[暴击伤害min]]*(1+0.01*怪物参数[等级差])-怪物参数[怪物防御]*怪物参数[min系数]</f>
        <v>1313.15625</v>
      </c>
    </row>
    <row r="33" spans="4:24" x14ac:dyDescent="0.2">
      <c r="D33" s="8" t="s">
        <v>164</v>
      </c>
      <c r="E33" s="2">
        <v>43</v>
      </c>
      <c r="F33" s="2">
        <v>23</v>
      </c>
      <c r="G33" s="2">
        <v>7</v>
      </c>
      <c r="H33" s="2">
        <v>3</v>
      </c>
      <c r="I33" s="10">
        <v>6</v>
      </c>
      <c r="J33" s="10">
        <v>105</v>
      </c>
      <c r="K33" s="10">
        <v>6</v>
      </c>
      <c r="L33" s="10">
        <v>371</v>
      </c>
      <c r="M33" s="1" cm="1">
        <f t="array" ref="M33">SUM(表15[[#This Row],[武器攻击]],表15[[#This Row],[飞镖攻击]],表15[[#This Row],[手套攻击]],表15[[#This Row],[Link攻击]])
*(
 常量表[面板主属性系数]*表15[[#This Row],[运气]]
 +常量表[面板副属性系数]*SUM(表15[[#This Row],[力量]],表15[[#This Row],[敏捷]])
)/100</f>
        <v>1099.4160000000002</v>
      </c>
      <c r="N33" s="1" cm="1">
        <f t="array" ref="N33">SUM(表15[[#This Row],[武器攻击]],表15[[#This Row],[飞镖攻击]],表15[[#This Row],[手套攻击]],表15[[#This Row],[Link攻击]])
*(
 常量表[面板主属性系数]*表15[[#This Row],[运气]]*常量表[熟练度系数]
 +常量表[面板副属性系数]*SUM(表15[[#This Row],[力量]],表15[[#This Row],[敏捷]])
)/100</f>
        <v>632.49024000000009</v>
      </c>
      <c r="O33" s="13" cm="1">
        <f t="array" ref="O33">SUM(表15[[#This Row],[武器攻击]],表15[[#This Row],[飞镖攻击]],表15[[#This Row],[手套攻击]],表15[[#This Row],[Link攻击]],1)
*(
 常量表[面板主属性系数]*表15[[#This Row],[运气]]
 +常量表[面板副属性系数]*SUM(表15[[#This Row],[力量]],表15[[#This Row],[敏捷]])
)/100
/表15[[#This Row],[面板max]]-1</f>
        <v>1.3157894736842035E-2</v>
      </c>
      <c r="P33" s="13" cm="1">
        <f t="array" ref="P33">SUM(表15[[#This Row],[武器攻击]],表15[[#This Row],[飞镖攻击]],表15[[#This Row],[手套攻击]],表15[[#This Row],[Link攻击]])
*(
 常量表[面板主属性系数]*(表15[[#This Row],[运气]]+5)
 +常量表[面板副属性系数]*SUM(表15[[#This Row],[力量]],表15[[#This Row],[敏捷]])
)/100
/表15[[#This Row],[面板max]]-1</f>
        <v>1.24429697221069E-2</v>
      </c>
      <c r="Q33" s="1" cm="1">
        <f t="array" ref="Q33">常量表[双飞斩运气系数max]
*SUM(表15[[#This Row],[武器攻击]],表15[[#This Row],[飞镖攻击]],表15[[#This Row],[手套攻击]],表15[[#This Row],[Link攻击]])
*表15[[#This Row],[运气]]/100
*常量表[技能倍率]</f>
        <v>2114.6999999999998</v>
      </c>
      <c r="R33" s="1" cm="1">
        <f t="array" ref="R33">常量表[双飞斩运气系数min]
*SUM(表15[[#This Row],[武器攻击]],表15[[#This Row],[飞镖攻击]],表15[[#This Row],[手套攻击]],表15[[#This Row],[Link攻击]])
*表15[[#This Row],[运气]]/100
*常量表[技能倍率]</f>
        <v>1057.3499999999999</v>
      </c>
      <c r="S33" s="1" cm="1">
        <f t="array" ref="S33">常量表[双飞斩运气系数max]
*SUM(表15[[#This Row],[武器攻击]],表15[[#This Row],[飞镖攻击]],表15[[#This Row],[手套攻击]],表15[[#This Row],[Link攻击]])
*表15[[#This Row],[运气]]/100
*(常量表[技能倍率]+常量表[暴击倍率])</f>
        <v>3524.5</v>
      </c>
      <c r="T33" s="1" cm="1">
        <f t="array" ref="T33">常量表[双飞斩运气系数min]
*SUM(表15[[#This Row],[武器攻击]],表15[[#This Row],[飞镖攻击]],表15[[#This Row],[手套攻击]],表15[[#This Row],[Link攻击]])
*表15[[#This Row],[运气]]/100
*(常量表[技能倍率]+常量表[暴击倍率])</f>
        <v>1762.25</v>
      </c>
      <c r="U33" s="14" cm="1">
        <f t="array" ref="U33">常量表[双飞斩运气系数max]
*SUM(表15[[#This Row],[武器攻击]],表15[[#This Row],[飞镖攻击]],表15[[#This Row],[手套攻击]],表15[[#This Row],[Link攻击]],1)
*表15[[#This Row],[运气]]/100
*(常量表[技能倍率]+常量表[暴击倍率])
/表15[[#This Row],[暴击伤害max]]-1</f>
        <v>1.3157894736842035E-2</v>
      </c>
      <c r="V33" s="14" cm="1">
        <f t="array" ref="V33">常量表[双飞斩运气系数max]
*SUM(表15[[#This Row],[武器攻击]],表15[[#This Row],[飞镖攻击]],表15[[#This Row],[手套攻击]],表15[[#This Row],[Link攻击]])
*(表15[[#This Row],[运气]]+5)/100
*(常量表[技能倍率]+常量表[暴击倍率])
/表15[[#This Row],[暴击伤害max]]-1</f>
        <v>1.3477088948786964E-2</v>
      </c>
      <c r="W33" s="1" cm="1">
        <f t="array" ref="W33">表15[[#This Row],[暴击伤害max]]*(1+0.01*怪物参数[等级差])-怪物参数[怪物防御]*怪物参数[max系数]</f>
        <v>2962.05</v>
      </c>
      <c r="X33" s="1" cm="1">
        <f t="array" ref="X33">表15[[#This Row],[暴击伤害min]]*(1+0.01*怪物参数[等级差])-怪物参数[怪物防御]*怪物参数[min系数]</f>
        <v>1334.0250000000001</v>
      </c>
    </row>
    <row r="34" spans="4:24" x14ac:dyDescent="0.2">
      <c r="D34" s="8" t="s">
        <v>168</v>
      </c>
      <c r="E34" s="2">
        <v>43</v>
      </c>
      <c r="F34" s="2">
        <v>23</v>
      </c>
      <c r="G34" s="2">
        <v>8</v>
      </c>
      <c r="H34" s="2">
        <v>3</v>
      </c>
      <c r="I34" s="10">
        <v>6</v>
      </c>
      <c r="J34" s="10">
        <v>105</v>
      </c>
      <c r="K34" s="10">
        <v>6</v>
      </c>
      <c r="L34" s="10">
        <v>371</v>
      </c>
      <c r="M34" cm="1">
        <f t="array" ref="M34">SUM(表15[[#This Row],[武器攻击]],表15[[#This Row],[飞镖攻击]],表15[[#This Row],[手套攻击]],表15[[#This Row],[Link攻击]])
*(
 常量表[面板主属性系数]*表15[[#This Row],[运气]]
 +常量表[面板副属性系数]*SUM(表15[[#This Row],[力量]],表15[[#This Row],[敏捷]])
)/100</f>
        <v>1113.8820000000001</v>
      </c>
      <c r="N34" cm="1">
        <f t="array" ref="N34">SUM(表15[[#This Row],[武器攻击]],表15[[#This Row],[飞镖攻击]],表15[[#This Row],[手套攻击]],表15[[#This Row],[Link攻击]])
*(
 常量表[面板主属性系数]*表15[[#This Row],[运气]]*常量表[熟练度系数]
 +常量表[面板副属性系数]*SUM(表15[[#This Row],[力量]],表15[[#This Row],[敏捷]])
)/100</f>
        <v>640.81248000000016</v>
      </c>
      <c r="O34" s="12" cm="1">
        <f t="array" ref="O34">SUM(表15[[#This Row],[武器攻击]],表15[[#This Row],[飞镖攻击]],表15[[#This Row],[手套攻击]],表15[[#This Row],[Link攻击]],1)
*(
 常量表[面板主属性系数]*表15[[#This Row],[运气]]
 +常量表[面板副属性系数]*SUM(表15[[#This Row],[力量]],表15[[#This Row],[敏捷]])
)/100
/表15[[#This Row],[面板max]]-1</f>
        <v>1.2987012987013102E-2</v>
      </c>
      <c r="P34" s="12" cm="1">
        <f t="array" ref="P34">SUM(表15[[#This Row],[武器攻击]],表15[[#This Row],[飞镖攻击]],表15[[#This Row],[手套攻击]],表15[[#This Row],[Link攻击]])
*(
 常量表[面板主属性系数]*(表15[[#This Row],[运气]]+5)
 +常量表[面板副属性系数]*SUM(表15[[#This Row],[力量]],表15[[#This Row],[敏捷]])
)/100
/表15[[#This Row],[面板max]]-1</f>
        <v>1.2442969722107122E-2</v>
      </c>
      <c r="Q34" cm="1">
        <f t="array" ref="Q34">常量表[双飞斩运气系数max]
*SUM(表15[[#This Row],[武器攻击]],表15[[#This Row],[飞镖攻击]],表15[[#This Row],[手套攻击]],表15[[#This Row],[Link攻击]])
*表15[[#This Row],[运气]]/100
*常量表[技能倍率]</f>
        <v>2142.5249999999996</v>
      </c>
      <c r="R34" cm="1">
        <f t="array" ref="R34">常量表[双飞斩运气系数min]
*SUM(表15[[#This Row],[武器攻击]],表15[[#This Row],[飞镖攻击]],表15[[#This Row],[手套攻击]],表15[[#This Row],[Link攻击]])
*表15[[#This Row],[运气]]/100
*常量表[技能倍率]</f>
        <v>1071.2624999999998</v>
      </c>
      <c r="S34" s="1" cm="1">
        <f t="array" ref="S34">常量表[双飞斩运气系数max]
*SUM(表15[[#This Row],[武器攻击]],表15[[#This Row],[飞镖攻击]],表15[[#This Row],[手套攻击]],表15[[#This Row],[Link攻击]])
*表15[[#This Row],[运气]]/100
*(常量表[技能倍率]+常量表[暴击倍率])</f>
        <v>3570.875</v>
      </c>
      <c r="T34" s="1" cm="1">
        <f t="array" ref="T34">常量表[双飞斩运气系数min]
*SUM(表15[[#This Row],[武器攻击]],表15[[#This Row],[飞镖攻击]],表15[[#This Row],[手套攻击]],表15[[#This Row],[Link攻击]])
*表15[[#This Row],[运气]]/100
*(常量表[技能倍率]+常量表[暴击倍率])</f>
        <v>1785.4375</v>
      </c>
      <c r="U34" s="14" cm="1">
        <f t="array" ref="U34">常量表[双飞斩运气系数max]
*SUM(表15[[#This Row],[武器攻击]],表15[[#This Row],[飞镖攻击]],表15[[#This Row],[手套攻击]],表15[[#This Row],[Link攻击]],1)
*表15[[#This Row],[运气]]/100
*(常量表[技能倍率]+常量表[暴击倍率])
/表15[[#This Row],[暴击伤害max]]-1</f>
        <v>1.298701298701288E-2</v>
      </c>
      <c r="V34" s="14" cm="1">
        <f t="array" ref="V34">常量表[双飞斩运气系数max]
*SUM(表15[[#This Row],[武器攻击]],表15[[#This Row],[飞镖攻击]],表15[[#This Row],[手套攻击]],表15[[#This Row],[Link攻击]])
*(表15[[#This Row],[运气]]+5)/100
*(常量表[技能倍率]+常量表[暴击倍率])
/表15[[#This Row],[暴击伤害max]]-1</f>
        <v>1.3477088948786964E-2</v>
      </c>
      <c r="W34" s="1" cm="1">
        <f t="array" ref="W34">表15[[#This Row],[暴击伤害max]]*(1+0.01*怪物参数[等级差])-怪物参数[怪物防御]*怪物参数[max系数]</f>
        <v>3003.7874999999999</v>
      </c>
      <c r="X34" s="1" cm="1">
        <f t="array" ref="X34">表15[[#This Row],[暴击伤害min]]*(1+0.01*怪物参数[等级差])-怪物参数[怪物防御]*怪物参数[min系数]</f>
        <v>1354.89375</v>
      </c>
    </row>
    <row r="35" spans="4:24" x14ac:dyDescent="0.2">
      <c r="D35" s="8" t="s">
        <v>169</v>
      </c>
      <c r="E35" s="2">
        <v>43</v>
      </c>
      <c r="F35" s="2">
        <v>23</v>
      </c>
      <c r="G35" s="2">
        <v>7</v>
      </c>
      <c r="H35" s="2">
        <v>3</v>
      </c>
      <c r="I35" s="10">
        <v>6</v>
      </c>
      <c r="J35" s="10">
        <v>105</v>
      </c>
      <c r="K35" s="10">
        <v>6</v>
      </c>
      <c r="L35" s="10">
        <f>L34+6</f>
        <v>377</v>
      </c>
      <c r="M35" cm="1">
        <f t="array" ref="M35">SUM(表15[[#This Row],[武器攻击]],表15[[#This Row],[飞镖攻击]],表15[[#This Row],[手套攻击]],表15[[#This Row],[Link攻击]])
*(
 常量表[面板主属性系数]*表15[[#This Row],[运气]]
 +常量表[面板副属性系数]*SUM(表15[[#This Row],[力量]],表15[[#This Row],[敏捷]])
)/100</f>
        <v>1115.8319999999999</v>
      </c>
      <c r="N35" cm="1">
        <f t="array" ref="N35">SUM(表15[[#This Row],[武器攻击]],表15[[#This Row],[飞镖攻击]],表15[[#This Row],[手套攻击]],表15[[#This Row],[Link攻击]])
*(
 常量表[面板主属性系数]*表15[[#This Row],[运气]]*常量表[熟练度系数]
 +常量表[面板副属性系数]*SUM(表15[[#This Row],[力量]],表15[[#This Row],[敏捷]])
)/100</f>
        <v>641.35488000000009</v>
      </c>
      <c r="O35" s="12" cm="1">
        <f t="array" ref="O35">SUM(表15[[#This Row],[武器攻击]],表15[[#This Row],[飞镖攻击]],表15[[#This Row],[手套攻击]],表15[[#This Row],[Link攻击]],1)
*(
 常量表[面板主属性系数]*表15[[#This Row],[运气]]
 +常量表[面板副属性系数]*SUM(表15[[#This Row],[力量]],表15[[#This Row],[敏捷]])
)/100
/表15[[#This Row],[面板max]]-1</f>
        <v>1.3157894736842257E-2</v>
      </c>
      <c r="P35" s="12" cm="1">
        <f t="array" ref="P35">SUM(表15[[#This Row],[武器攻击]],表15[[#This Row],[飞镖攻击]],表15[[#This Row],[手套攻击]],表15[[#This Row],[Link攻击]])
*(
 常量表[面板主属性系数]*(表15[[#This Row],[运气]]+5)
 +常量表[面板副属性系数]*SUM(表15[[#This Row],[力量]],表15[[#This Row],[敏捷]])
)/100
/表15[[#This Row],[面板max]]-1</f>
        <v>1.2259910093992632E-2</v>
      </c>
      <c r="Q35" cm="1">
        <f t="array" ref="Q35">常量表[双飞斩运气系数max]
*SUM(表15[[#This Row],[武器攻击]],表15[[#This Row],[飞镖攻击]],表15[[#This Row],[手套攻击]],表15[[#This Row],[Link攻击]])
*表15[[#This Row],[运气]]/100
*常量表[技能倍率]</f>
        <v>2148.8999999999996</v>
      </c>
      <c r="R35" cm="1">
        <f t="array" ref="R35">常量表[双飞斩运气系数min]
*SUM(表15[[#This Row],[武器攻击]],表15[[#This Row],[飞镖攻击]],表15[[#This Row],[手套攻击]],表15[[#This Row],[Link攻击]])
*表15[[#This Row],[运气]]/100
*常量表[技能倍率]</f>
        <v>1074.4499999999998</v>
      </c>
      <c r="S35" s="1" cm="1">
        <f t="array" ref="S35">常量表[双飞斩运气系数max]
*SUM(表15[[#This Row],[武器攻击]],表15[[#This Row],[飞镖攻击]],表15[[#This Row],[手套攻击]],表15[[#This Row],[Link攻击]])
*表15[[#This Row],[运气]]/100
*(常量表[技能倍率]+常量表[暴击倍率])</f>
        <v>3581.5</v>
      </c>
      <c r="T35" s="1" cm="1">
        <f t="array" ref="T35">常量表[双飞斩运气系数min]
*SUM(表15[[#This Row],[武器攻击]],表15[[#This Row],[飞镖攻击]],表15[[#This Row],[手套攻击]],表15[[#This Row],[Link攻击]])
*表15[[#This Row],[运气]]/100
*(常量表[技能倍率]+常量表[暴击倍率])</f>
        <v>1790.75</v>
      </c>
      <c r="U35" s="14" cm="1">
        <f t="array" ref="U35">常量表[双飞斩运气系数max]
*SUM(表15[[#This Row],[武器攻击]],表15[[#This Row],[飞镖攻击]],表15[[#This Row],[手套攻击]],表15[[#This Row],[Link攻击]],1)
*表15[[#This Row],[运气]]/100
*(常量表[技能倍率]+常量表[暴击倍率])
/表15[[#This Row],[暴击伤害max]]-1</f>
        <v>1.3157894736842035E-2</v>
      </c>
      <c r="V35" s="14" cm="1">
        <f t="array" ref="V35">常量表[双飞斩运气系数max]
*SUM(表15[[#This Row],[武器攻击]],表15[[#This Row],[飞镖攻击]],表15[[#This Row],[手套攻击]],表15[[#This Row],[Link攻击]])
*(表15[[#This Row],[运气]]+5)/100
*(常量表[技能倍率]+常量表[暴击倍率])
/表15[[#This Row],[暴击伤害max]]-1</f>
        <v>1.3262599469495928E-2</v>
      </c>
      <c r="W35" s="1" cm="1">
        <f t="array" ref="W35">表15[[#This Row],[暴击伤害max]]*(1+0.01*怪物参数[等级差])-怪物参数[怪物防御]*怪物参数[max系数]</f>
        <v>3013.35</v>
      </c>
      <c r="X35" s="1" cm="1">
        <f t="array" ref="X35">表15[[#This Row],[暴击伤害min]]*(1+0.01*怪物参数[等级差])-怪物参数[怪物防御]*怪物参数[min系数]</f>
        <v>1359.675</v>
      </c>
    </row>
    <row r="36" spans="4:24" x14ac:dyDescent="0.2">
      <c r="D36" s="8" t="s">
        <v>165</v>
      </c>
      <c r="E36" s="2">
        <v>70</v>
      </c>
      <c r="F36" s="2"/>
      <c r="G36" s="2">
        <v>7</v>
      </c>
      <c r="H36" s="2">
        <v>3</v>
      </c>
      <c r="I36" s="10">
        <v>6</v>
      </c>
      <c r="J36" s="10">
        <v>94</v>
      </c>
      <c r="K36" s="10">
        <v>6</v>
      </c>
      <c r="L36" s="10">
        <v>353</v>
      </c>
      <c r="M36" cm="1">
        <f t="array" ref="M36">SUM(表15[[#This Row],[武器攻击]],表15[[#This Row],[飞镖攻击]],表15[[#This Row],[手套攻击]],表15[[#This Row],[Link攻击]])
*(
 常量表[面板主属性系数]*表15[[#This Row],[运气]]
 +常量表[面板副属性系数]*SUM(表15[[#This Row],[力量]],表15[[#This Row],[敏捷]])
)/100</f>
        <v>1096.6400000000001</v>
      </c>
      <c r="N36" cm="1">
        <f t="array" ref="N36">SUM(表15[[#This Row],[武器攻击]],表15[[#This Row],[飞镖攻击]],表15[[#This Row],[手套攻击]],表15[[#This Row],[Link攻击]])
*(
 常量表[面板主属性系数]*表15[[#This Row],[运气]]*常量表[熟练度系数]
 +常量表[面板副属性系数]*SUM(表15[[#This Row],[力量]],表15[[#This Row],[敏捷]])
)/100</f>
        <v>628.98559999999998</v>
      </c>
      <c r="O36" s="12" cm="1">
        <f t="array" ref="O36">SUM(表15[[#This Row],[武器攻击]],表15[[#This Row],[飞镖攻击]],表15[[#This Row],[手套攻击]],表15[[#This Row],[Link攻击]],1)
*(
 常量表[面板主属性系数]*表15[[#This Row],[运气]]
 +常量表[面板副属性系数]*SUM(表15[[#This Row],[力量]],表15[[#This Row],[敏捷]])
)/100
/表15[[#This Row],[面板max]]-1</f>
        <v>1.2499999999999956E-2</v>
      </c>
      <c r="P36" s="12" cm="1">
        <f t="array" ref="P36">SUM(表15[[#This Row],[武器攻击]],表15[[#This Row],[飞镖攻击]],表15[[#This Row],[手套攻击]],表15[[#This Row],[Link攻击]])
*(
 常量表[面板主属性系数]*(表15[[#This Row],[运气]]+5)
 +常量表[面板副属性系数]*SUM(表15[[#This Row],[力量]],表15[[#This Row],[敏捷]])
)/100
/表15[[#This Row],[面板max]]-1</f>
        <v>1.3131018383425674E-2</v>
      </c>
      <c r="Q36" cm="1">
        <f t="array" ref="Q36">常量表[双飞斩运气系数max]
*SUM(表15[[#This Row],[武器攻击]],表15[[#This Row],[飞镖攻击]],表15[[#This Row],[手套攻击]],表15[[#This Row],[Link攻击]])
*表15[[#This Row],[运气]]/100
*常量表[技能倍率]</f>
        <v>2118</v>
      </c>
      <c r="R36" cm="1">
        <f t="array" ref="R36">常量表[双飞斩运气系数min]
*SUM(表15[[#This Row],[武器攻击]],表15[[#This Row],[飞镖攻击]],表15[[#This Row],[手套攻击]],表15[[#This Row],[Link攻击]])
*表15[[#This Row],[运气]]/100
*常量表[技能倍率]</f>
        <v>1059</v>
      </c>
      <c r="S36" cm="1">
        <f t="array" ref="S36">常量表[双飞斩运气系数max]
*SUM(表15[[#This Row],[武器攻击]],表15[[#This Row],[飞镖攻击]],表15[[#This Row],[手套攻击]],表15[[#This Row],[Link攻击]])
*表15[[#This Row],[运气]]/100
*(常量表[技能倍率]+常量表[暴击倍率])</f>
        <v>3530</v>
      </c>
      <c r="T36" cm="1">
        <f t="array" ref="T36">常量表[双飞斩运气系数min]
*SUM(表15[[#This Row],[武器攻击]],表15[[#This Row],[飞镖攻击]],表15[[#This Row],[手套攻击]],表15[[#This Row],[Link攻击]])
*表15[[#This Row],[运气]]/100
*(常量表[技能倍率]+常量表[暴击倍率])</f>
        <v>1765</v>
      </c>
      <c r="U36" s="14" cm="1">
        <f t="array" ref="U36">常量表[双飞斩运气系数max]
*SUM(表15[[#This Row],[武器攻击]],表15[[#This Row],[飞镖攻击]],表15[[#This Row],[手套攻击]],表15[[#This Row],[Link攻击]],1)
*表15[[#This Row],[运气]]/100
*(常量表[技能倍率]+常量表[暴击倍率])
/表15[[#This Row],[暴击伤害max]]-1</f>
        <v>1.2499999999999956E-2</v>
      </c>
      <c r="V36" s="14" cm="1">
        <f t="array" ref="V36">常量表[双飞斩运气系数max]
*SUM(表15[[#This Row],[武器攻击]],表15[[#This Row],[飞镖攻击]],表15[[#This Row],[手套攻击]],表15[[#This Row],[Link攻击]])
*(表15[[#This Row],[运气]]+5)/100
*(常量表[技能倍率]+常量表[暴击倍率])
/表15[[#This Row],[暴击伤害max]]-1</f>
        <v>1.4164305949008416E-2</v>
      </c>
      <c r="W36" s="1" cm="1">
        <f t="array" ref="W36">表15[[#This Row],[暴击伤害max]]*(1+0.01*怪物参数[等级差])-怪物参数[怪物防御]*怪物参数[max系数]</f>
        <v>2967</v>
      </c>
      <c r="X36" s="1" cm="1">
        <f t="array" ref="X36">表15[[#This Row],[暴击伤害min]]*(1+0.01*怪物参数[等级差])-怪物参数[怪物防御]*怪物参数[min系数]</f>
        <v>1336.5</v>
      </c>
    </row>
    <row r="37" spans="4:24" x14ac:dyDescent="0.2">
      <c r="D37" s="8" t="s">
        <v>166</v>
      </c>
      <c r="E37" s="2">
        <v>83</v>
      </c>
      <c r="F37" s="2"/>
      <c r="G37" s="2">
        <v>7</v>
      </c>
      <c r="H37" s="2">
        <v>3</v>
      </c>
      <c r="I37" s="10">
        <v>50</v>
      </c>
      <c r="J37" s="10">
        <v>104</v>
      </c>
      <c r="K37" s="10">
        <v>6</v>
      </c>
      <c r="L37" s="10">
        <f>343-44</f>
        <v>299</v>
      </c>
      <c r="M37" cm="1">
        <f t="array" ref="M37">SUM(表15[[#This Row],[武器攻击]],表15[[#This Row],[飞镖攻击]],表15[[#This Row],[手套攻击]],表15[[#This Row],[Link攻击]])
*(
 常量表[面板主属性系数]*表15[[#This Row],[运气]]
 +常量表[面板副属性系数]*SUM(表15[[#This Row],[力量]],表15[[#This Row],[敏捷]])
)/100</f>
        <v>1144.2720000000002</v>
      </c>
      <c r="N37" cm="1">
        <f t="array" ref="N37">SUM(表15[[#This Row],[武器攻击]],表15[[#This Row],[飞镖攻击]],表15[[#This Row],[手套攻击]],表15[[#This Row],[Link攻击]])
*(
 常量表[面板主属性系数]*表15[[#This Row],[运气]]*常量表[熟练度系数]
 +常量表[面板副属性系数]*SUM(表15[[#This Row],[力量]],表15[[#This Row],[敏捷]])
)/100</f>
        <v>683.78808000000004</v>
      </c>
      <c r="O37" s="12" cm="1">
        <f t="array" ref="O37">SUM(表15[[#This Row],[武器攻击]],表15[[#This Row],[飞镖攻击]],表15[[#This Row],[手套攻击]],表15[[#This Row],[Link攻击]],1)
*(
 常量表[面板主属性系数]*表15[[#This Row],[运气]]
 +常量表[面板副属性系数]*SUM(表15[[#This Row],[力量]],表15[[#This Row],[敏捷]])
)/100
/表15[[#This Row],[面板max]]-1</f>
        <v>1.0752688172042779E-2</v>
      </c>
      <c r="P37" s="12" cm="1">
        <f t="array" ref="P37">SUM(表15[[#This Row],[武器攻击]],表15[[#This Row],[飞镖攻击]],表15[[#This Row],[手套攻击]],表15[[#This Row],[Link攻击]])
*(
 常量表[面板主属性系数]*(表15[[#This Row],[运气]]+5)
 +常量表[面板副属性系数]*SUM(表15[[#This Row],[力量]],表15[[#This Row],[敏捷]])
)/100
/表15[[#This Row],[面板max]]-1</f>
        <v>1.4629388816645106E-2</v>
      </c>
      <c r="Q37" cm="1">
        <f t="array" ref="Q37">常量表[双飞斩运气系数max]
*SUM(表15[[#This Row],[武器攻击]],表15[[#This Row],[飞镖攻击]],表15[[#This Row],[手套攻击]],表15[[#This Row],[Link攻击]])
*表15[[#This Row],[运气]]/100
*常量表[技能倍率]</f>
        <v>2085.5249999999996</v>
      </c>
      <c r="R37" cm="1">
        <f t="array" ref="R37">常量表[双飞斩运气系数min]
*SUM(表15[[#This Row],[武器攻击]],表15[[#This Row],[飞镖攻击]],表15[[#This Row],[手套攻击]],表15[[#This Row],[Link攻击]])
*表15[[#This Row],[运气]]/100
*常量表[技能倍率]</f>
        <v>1042.7624999999998</v>
      </c>
      <c r="S37" cm="1">
        <f t="array" ref="S37">常量表[双飞斩运气系数max]
*SUM(表15[[#This Row],[武器攻击]],表15[[#This Row],[飞镖攻击]],表15[[#This Row],[手套攻击]],表15[[#This Row],[Link攻击]])
*表15[[#This Row],[运气]]/100
*(常量表[技能倍率]+常量表[暴击倍率])</f>
        <v>3475.875</v>
      </c>
      <c r="T37" cm="1">
        <f t="array" ref="T37">常量表[双飞斩运气系数min]
*SUM(表15[[#This Row],[武器攻击]],表15[[#This Row],[飞镖攻击]],表15[[#This Row],[手套攻击]],表15[[#This Row],[Link攻击]])
*表15[[#This Row],[运气]]/100
*(常量表[技能倍率]+常量表[暴击倍率])</f>
        <v>1737.9375</v>
      </c>
      <c r="U37" s="14" cm="1">
        <f t="array" ref="U37">常量表[双飞斩运气系数max]
*SUM(表15[[#This Row],[武器攻击]],表15[[#This Row],[飞镖攻击]],表15[[#This Row],[手套攻击]],表15[[#This Row],[Link攻击]],1)
*表15[[#This Row],[运气]]/100
*(常量表[技能倍率]+常量表[暴击倍率])
/表15[[#This Row],[暴击伤害max]]-1</f>
        <v>1.0752688172043001E-2</v>
      </c>
      <c r="V37" s="14" cm="1">
        <f t="array" ref="V37">常量表[双飞斩运气系数max]
*SUM(表15[[#This Row],[武器攻击]],表15[[#This Row],[飞镖攻击]],表15[[#This Row],[手套攻击]],表15[[#This Row],[Link攻击]])
*(表15[[#This Row],[运气]]+5)/100
*(常量表[技能倍率]+常量表[暴击倍率])
/表15[[#This Row],[暴击伤害max]]-1</f>
        <v>1.6722408026755842E-2</v>
      </c>
      <c r="W37" s="1" cm="1">
        <f t="array" ref="W37">表15[[#This Row],[暴击伤害max]]*(1+0.01*怪物参数[等级差])-怪物参数[怪物防御]*怪物参数[max系数]</f>
        <v>2918.2874999999999</v>
      </c>
      <c r="X37" s="1" cm="1">
        <f t="array" ref="X37">表15[[#This Row],[暴击伤害min]]*(1+0.01*怪物参数[等级差])-怪物参数[怪物防御]*怪物参数[min系数]</f>
        <v>1312.14375</v>
      </c>
    </row>
    <row r="38" spans="4:24" x14ac:dyDescent="0.2">
      <c r="D38" s="8" t="s">
        <v>167</v>
      </c>
      <c r="E38" s="2">
        <v>88</v>
      </c>
      <c r="F38" s="2"/>
      <c r="G38" s="2">
        <v>7</v>
      </c>
      <c r="H38" s="2">
        <v>3</v>
      </c>
      <c r="I38" s="10">
        <v>55</v>
      </c>
      <c r="J38" s="10">
        <v>110</v>
      </c>
      <c r="K38" s="10">
        <v>6</v>
      </c>
      <c r="L38" s="10">
        <v>288</v>
      </c>
      <c r="M38" cm="1">
        <f t="array" ref="M38">SUM(表15[[#This Row],[武器攻击]],表15[[#This Row],[飞镖攻击]],表15[[#This Row],[手套攻击]],表15[[#This Row],[Link攻击]])
*(
 常量表[面板主属性系数]*表15[[#This Row],[运气]]
 +常量表[面板副属性系数]*SUM(表15[[#This Row],[力量]],表15[[#This Row],[敏捷]])
)/100</f>
        <v>1177.7639999999999</v>
      </c>
      <c r="N38" cm="1">
        <f t="array" ref="N38">SUM(表15[[#This Row],[武器攻击]],表15[[#This Row],[飞镖攻击]],表15[[#This Row],[手套攻击]],表15[[#This Row],[Link攻击]])
*(
 常量表[面板主属性系数]*表15[[#This Row],[运气]]*常量表[熟练度系数]
 +常量表[面板副属性系数]*SUM(表15[[#This Row],[力量]],表15[[#This Row],[敏捷]])
)/100</f>
        <v>710.37455999999986</v>
      </c>
      <c r="O38" s="12" cm="1">
        <f t="array" ref="O38">SUM(表15[[#This Row],[武器攻击]],表15[[#This Row],[飞镖攻击]],表15[[#This Row],[手套攻击]],表15[[#This Row],[Link攻击]],1)
*(
 常量表[面板主属性系数]*表15[[#This Row],[运气]]
 +常量表[面板副属性系数]*SUM(表15[[#This Row],[力量]],表15[[#This Row],[敏捷]])
)/100
/表15[[#This Row],[面板max]]-1</f>
        <v>1.0204081632653184E-2</v>
      </c>
      <c r="P38" s="12" cm="1">
        <f t="array" ref="P38">SUM(表15[[#This Row],[武器攻击]],表15[[#This Row],[飞镖攻击]],表15[[#This Row],[手套攻击]],表15[[#This Row],[Link攻击]])
*(
 常量表[面板主属性系数]*(表15[[#This Row],[运气]]+5)
 +常量表[面板副属性系数]*SUM(表15[[#This Row],[力量]],表15[[#This Row],[敏捷]])
)/100
/表15[[#This Row],[面板max]]-1</f>
        <v>1.4977533699450873E-2</v>
      </c>
      <c r="Q38" cm="1">
        <f t="array" ref="Q38">常量表[双飞斩运气系数max]
*SUM(表15[[#This Row],[武器攻击]],表15[[#This Row],[飞镖攻击]],表15[[#This Row],[手套攻击]],表15[[#This Row],[Link攻击]])
*表15[[#This Row],[运气]]/100
*常量表[技能倍率]</f>
        <v>2116.8000000000002</v>
      </c>
      <c r="R38" cm="1">
        <f t="array" ref="R38">常量表[双飞斩运气系数min]
*SUM(表15[[#This Row],[武器攻击]],表15[[#This Row],[飞镖攻击]],表15[[#This Row],[手套攻击]],表15[[#This Row],[Link攻击]])
*表15[[#This Row],[运气]]/100
*常量表[技能倍率]</f>
        <v>1058.4000000000001</v>
      </c>
      <c r="S38" cm="1">
        <f t="array" ref="S38">常量表[双飞斩运气系数max]
*SUM(表15[[#This Row],[武器攻击]],表15[[#This Row],[飞镖攻击]],表15[[#This Row],[手套攻击]],表15[[#This Row],[Link攻击]])
*表15[[#This Row],[运气]]/100
*(常量表[技能倍率]+常量表[暴击倍率])</f>
        <v>3528</v>
      </c>
      <c r="T38" cm="1">
        <f t="array" ref="T38">常量表[双飞斩运气系数min]
*SUM(表15[[#This Row],[武器攻击]],表15[[#This Row],[飞镖攻击]],表15[[#This Row],[手套攻击]],表15[[#This Row],[Link攻击]])
*表15[[#This Row],[运气]]/100
*(常量表[技能倍率]+常量表[暴击倍率])</f>
        <v>1764</v>
      </c>
      <c r="U38" s="14" cm="1">
        <f t="array" ref="U38">常量表[双飞斩运气系数max]
*SUM(表15[[#This Row],[武器攻击]],表15[[#This Row],[飞镖攻击]],表15[[#This Row],[手套攻击]],表15[[#This Row],[Link攻击]],1)
*表15[[#This Row],[运气]]/100
*(常量表[技能倍率]+常量表[暴击倍率])
/表15[[#This Row],[暴击伤害max]]-1</f>
        <v>1.0204081632652962E-2</v>
      </c>
      <c r="V38" s="14" cm="1">
        <f t="array" ref="V38">常量表[双飞斩运气系数max]
*SUM(表15[[#This Row],[武器攻击]],表15[[#This Row],[飞镖攻击]],表15[[#This Row],[手套攻击]],表15[[#This Row],[Link攻击]])
*(表15[[#This Row],[运气]]+5)/100
*(常量表[技能倍率]+常量表[暴击倍率])
/表15[[#This Row],[暴击伤害max]]-1</f>
        <v>1.736111111111116E-2</v>
      </c>
      <c r="W38" s="1" cm="1">
        <f t="array" ref="W38">表15[[#This Row],[暴击伤害max]]*(1+0.01*怪物参数[等级差])-怪物参数[怪物防御]*怪物参数[max系数]</f>
        <v>2965.2000000000003</v>
      </c>
      <c r="X38" s="1" cm="1">
        <f t="array" ref="X38">表15[[#This Row],[暴击伤害min]]*(1+0.01*怪物参数[等级差])-怪物参数[怪物防御]*怪物参数[min系数]</f>
        <v>1335.6000000000001</v>
      </c>
    </row>
  </sheetData>
  <phoneticPr fontId="1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D6DD7-7869-4DDF-922E-73E264CA43BC}">
  <dimension ref="C9:I70"/>
  <sheetViews>
    <sheetView tabSelected="1" topLeftCell="A34" workbookViewId="0">
      <selection activeCell="P54" sqref="P54"/>
    </sheetView>
  </sheetViews>
  <sheetFormatPr defaultRowHeight="14.25" x14ac:dyDescent="0.2"/>
  <cols>
    <col min="2" max="2" width="13.75" customWidth="1"/>
    <col min="3" max="3" width="16.125" customWidth="1"/>
    <col min="4" max="4" width="21.375" customWidth="1"/>
    <col min="9" max="9" width="21.75" customWidth="1"/>
  </cols>
  <sheetData>
    <row r="9" spans="3:9" x14ac:dyDescent="0.2">
      <c r="C9" t="s">
        <v>177</v>
      </c>
      <c r="D9" t="s">
        <v>180</v>
      </c>
      <c r="H9" t="s">
        <v>179</v>
      </c>
      <c r="I9" t="s">
        <v>177</v>
      </c>
    </row>
    <row r="10" spans="3:9" x14ac:dyDescent="0.2">
      <c r="C10" t="s">
        <v>178</v>
      </c>
      <c r="H10">
        <v>1</v>
      </c>
      <c r="I10" t="str">
        <f>_xlfn.XLOOKUP(表12[[#This Row],[频道]],表11[频道],表11[ID],"")</f>
        <v>蝙蝠魔克星12</v>
      </c>
    </row>
    <row r="11" spans="3:9" x14ac:dyDescent="0.2">
      <c r="C11" t="s">
        <v>181</v>
      </c>
      <c r="H11">
        <v>2</v>
      </c>
      <c r="I11" t="str">
        <f>_xlfn.XLOOKUP(表12[[#This Row],[频道]],表11[频道],表11[ID],"")</f>
        <v>蝙蝠魔克星49</v>
      </c>
    </row>
    <row r="12" spans="3:9" x14ac:dyDescent="0.2">
      <c r="C12" t="s">
        <v>182</v>
      </c>
      <c r="D12">
        <v>33</v>
      </c>
      <c r="H12">
        <v>3</v>
      </c>
      <c r="I12" t="str">
        <f>_xlfn.XLOOKUP(表12[[#This Row],[频道]],表11[频道],表11[ID],"")</f>
        <v>蝙蝠魔克星54</v>
      </c>
    </row>
    <row r="13" spans="3:9" x14ac:dyDescent="0.2">
      <c r="C13" t="s">
        <v>183</v>
      </c>
      <c r="D13">
        <v>43</v>
      </c>
      <c r="H13">
        <v>4</v>
      </c>
      <c r="I13" t="str">
        <f>_xlfn.XLOOKUP(表12[[#This Row],[频道]],表11[频道],表11[ID],"")</f>
        <v>蝙蝠魔克星53</v>
      </c>
    </row>
    <row r="14" spans="3:9" x14ac:dyDescent="0.2">
      <c r="C14" t="s">
        <v>184</v>
      </c>
      <c r="D14">
        <v>13</v>
      </c>
      <c r="H14">
        <v>5</v>
      </c>
      <c r="I14" t="str">
        <f>_xlfn.XLOOKUP(表12[[#This Row],[频道]],表11[频道],表11[ID],"")</f>
        <v>蝙蝠魔克星52</v>
      </c>
    </row>
    <row r="15" spans="3:9" x14ac:dyDescent="0.2">
      <c r="C15" t="s">
        <v>185</v>
      </c>
      <c r="D15">
        <v>34</v>
      </c>
      <c r="H15">
        <v>6</v>
      </c>
      <c r="I15" t="str">
        <f>_xlfn.XLOOKUP(表12[[#This Row],[频道]],表11[频道],表11[ID],"")</f>
        <v>蝙蝠魔克星48</v>
      </c>
    </row>
    <row r="16" spans="3:9" x14ac:dyDescent="0.2">
      <c r="C16" t="s">
        <v>186</v>
      </c>
      <c r="D16">
        <v>35</v>
      </c>
      <c r="H16">
        <v>7</v>
      </c>
      <c r="I16" t="str">
        <f>_xlfn.XLOOKUP(表12[[#This Row],[频道]],表11[频道],表11[ID],"")</f>
        <v/>
      </c>
    </row>
    <row r="17" spans="3:9" x14ac:dyDescent="0.2">
      <c r="C17" t="s">
        <v>187</v>
      </c>
      <c r="D17">
        <v>40</v>
      </c>
      <c r="H17">
        <v>8</v>
      </c>
      <c r="I17" t="str">
        <f>_xlfn.XLOOKUP(表12[[#This Row],[频道]],表11[频道],表11[ID],"")</f>
        <v>蝙蝠魔克星56</v>
      </c>
    </row>
    <row r="18" spans="3:9" x14ac:dyDescent="0.2">
      <c r="C18" t="s">
        <v>188</v>
      </c>
      <c r="D18">
        <v>28</v>
      </c>
      <c r="H18">
        <v>9</v>
      </c>
      <c r="I18" t="str">
        <f>_xlfn.XLOOKUP(表12[[#This Row],[频道]],表11[频道],表11[ID],"")</f>
        <v>蝙蝠魔克星45</v>
      </c>
    </row>
    <row r="19" spans="3:9" x14ac:dyDescent="0.2">
      <c r="C19" t="s">
        <v>189</v>
      </c>
      <c r="H19">
        <v>10</v>
      </c>
      <c r="I19" t="str">
        <f>_xlfn.XLOOKUP(表12[[#This Row],[频道]],表11[频道],表11[ID],"")</f>
        <v>蝙蝠魔克星47</v>
      </c>
    </row>
    <row r="20" spans="3:9" x14ac:dyDescent="0.2">
      <c r="C20" t="s">
        <v>190</v>
      </c>
      <c r="D20">
        <v>19</v>
      </c>
      <c r="H20">
        <v>11</v>
      </c>
      <c r="I20" t="str">
        <f>_xlfn.XLOOKUP(表12[[#This Row],[频道]],表11[频道],表11[ID],"")</f>
        <v>蝙蝠魔克星51</v>
      </c>
    </row>
    <row r="21" spans="3:9" x14ac:dyDescent="0.2">
      <c r="C21" t="s">
        <v>191</v>
      </c>
      <c r="D21">
        <v>31</v>
      </c>
      <c r="H21">
        <v>12</v>
      </c>
      <c r="I21" t="str">
        <f>_xlfn.XLOOKUP(表12[[#This Row],[频道]],表11[频道],表11[ID],"")</f>
        <v>蝙蝠魔克星50</v>
      </c>
    </row>
    <row r="22" spans="3:9" x14ac:dyDescent="0.2">
      <c r="C22" t="s">
        <v>192</v>
      </c>
      <c r="D22">
        <v>1</v>
      </c>
      <c r="H22">
        <v>13</v>
      </c>
      <c r="I22" t="str">
        <f>_xlfn.XLOOKUP(表12[[#This Row],[频道]],表11[频道],表11[ID],"")</f>
        <v>蝙蝠魔克星4</v>
      </c>
    </row>
    <row r="23" spans="3:9" x14ac:dyDescent="0.2">
      <c r="C23" t="s">
        <v>193</v>
      </c>
      <c r="D23">
        <v>18</v>
      </c>
      <c r="H23">
        <v>14</v>
      </c>
      <c r="I23" t="str">
        <f>_xlfn.XLOOKUP(表12[[#This Row],[频道]],表11[频道],表11[ID],"")</f>
        <v>蝙蝠魔克星23</v>
      </c>
    </row>
    <row r="24" spans="3:9" x14ac:dyDescent="0.2">
      <c r="C24" t="s">
        <v>194</v>
      </c>
      <c r="D24">
        <v>20</v>
      </c>
      <c r="H24">
        <v>15</v>
      </c>
      <c r="I24" t="str">
        <f>_xlfn.XLOOKUP(表12[[#This Row],[频道]],表11[频道],表11[ID],"")</f>
        <v>蝙蝠魔克星43</v>
      </c>
    </row>
    <row r="25" spans="3:9" x14ac:dyDescent="0.2">
      <c r="C25" t="s">
        <v>195</v>
      </c>
      <c r="D25">
        <v>32</v>
      </c>
      <c r="H25">
        <v>16</v>
      </c>
      <c r="I25" t="str">
        <f>_xlfn.XLOOKUP(表12[[#This Row],[频道]],表11[频道],表11[ID],"")</f>
        <v>蝙蝠魔克星46</v>
      </c>
    </row>
    <row r="26" spans="3:9" x14ac:dyDescent="0.2">
      <c r="C26" t="s">
        <v>196</v>
      </c>
      <c r="D26">
        <v>23</v>
      </c>
      <c r="H26">
        <v>17</v>
      </c>
      <c r="I26" t="str">
        <f>_xlfn.XLOOKUP(表12[[#This Row],[频道]],表11[频道],表11[ID],"")</f>
        <v/>
      </c>
    </row>
    <row r="27" spans="3:9" x14ac:dyDescent="0.2">
      <c r="C27" t="s">
        <v>197</v>
      </c>
      <c r="D27">
        <v>21</v>
      </c>
      <c r="H27">
        <v>18</v>
      </c>
      <c r="I27" t="str">
        <f>_xlfn.XLOOKUP(表12[[#This Row],[频道]],表11[频道],表11[ID],"")</f>
        <v>蝙蝠魔克星13</v>
      </c>
    </row>
    <row r="28" spans="3:9" x14ac:dyDescent="0.2">
      <c r="C28" t="s">
        <v>198</v>
      </c>
      <c r="D28">
        <v>22</v>
      </c>
      <c r="H28">
        <v>19</v>
      </c>
      <c r="I28" t="str">
        <f>_xlfn.XLOOKUP(表12[[#This Row],[频道]],表11[频道],表11[ID],"")</f>
        <v>蝙蝠魔克星10</v>
      </c>
    </row>
    <row r="29" spans="3:9" x14ac:dyDescent="0.2">
      <c r="C29" t="s">
        <v>199</v>
      </c>
      <c r="D29">
        <v>24</v>
      </c>
      <c r="H29">
        <v>20</v>
      </c>
      <c r="I29" t="str">
        <f>_xlfn.XLOOKUP(表12[[#This Row],[频道]],表11[频道],表11[ID],"")</f>
        <v>蝙蝠魔克星14</v>
      </c>
    </row>
    <row r="30" spans="3:9" x14ac:dyDescent="0.2">
      <c r="C30" t="s">
        <v>200</v>
      </c>
      <c r="D30">
        <v>38</v>
      </c>
      <c r="H30">
        <v>21</v>
      </c>
      <c r="I30" t="str">
        <f>_xlfn.XLOOKUP(表12[[#This Row],[频道]],表11[频道],表11[ID],"")</f>
        <v>蝙蝠魔克星17</v>
      </c>
    </row>
    <row r="31" spans="3:9" x14ac:dyDescent="0.2">
      <c r="C31" t="s">
        <v>201</v>
      </c>
      <c r="D31">
        <v>26</v>
      </c>
      <c r="H31">
        <v>22</v>
      </c>
      <c r="I31" t="str">
        <f>_xlfn.XLOOKUP(表12[[#This Row],[频道]],表11[频道],表11[ID],"")</f>
        <v>蝙蝠魔克星18</v>
      </c>
    </row>
    <row r="32" spans="3:9" x14ac:dyDescent="0.2">
      <c r="C32" t="s">
        <v>202</v>
      </c>
      <c r="H32">
        <v>23</v>
      </c>
      <c r="I32" t="str">
        <f>_xlfn.XLOOKUP(表12[[#This Row],[频道]],表11[频道],表11[ID],"")</f>
        <v>蝙蝠魔克星16</v>
      </c>
    </row>
    <row r="33" spans="3:9" x14ac:dyDescent="0.2">
      <c r="C33" t="s">
        <v>203</v>
      </c>
      <c r="D33">
        <v>14</v>
      </c>
      <c r="H33">
        <v>24</v>
      </c>
      <c r="I33" t="str">
        <f>_xlfn.XLOOKUP(表12[[#This Row],[频道]],表11[频道],表11[ID],"")</f>
        <v>蝙蝠魔克星19</v>
      </c>
    </row>
    <row r="34" spans="3:9" x14ac:dyDescent="0.2">
      <c r="C34" t="s">
        <v>204</v>
      </c>
      <c r="D34">
        <v>27</v>
      </c>
      <c r="H34">
        <v>25</v>
      </c>
      <c r="I34" t="str">
        <f>_xlfn.XLOOKUP(表12[[#This Row],[频道]],表11[频道],表11[ID],"")</f>
        <v/>
      </c>
    </row>
    <row r="35" spans="3:9" x14ac:dyDescent="0.2">
      <c r="C35" t="s">
        <v>205</v>
      </c>
      <c r="H35">
        <v>26</v>
      </c>
      <c r="I35" t="str">
        <f>_xlfn.XLOOKUP(表12[[#This Row],[频道]],表11[频道],表11[ID],"")</f>
        <v>蝙蝠魔克星21</v>
      </c>
    </row>
    <row r="36" spans="3:9" x14ac:dyDescent="0.2">
      <c r="C36" t="s">
        <v>206</v>
      </c>
      <c r="D36">
        <v>30</v>
      </c>
      <c r="H36">
        <v>27</v>
      </c>
      <c r="I36" t="str">
        <f>_xlfn.XLOOKUP(表12[[#This Row],[频道]],表11[频道],表11[ID],"")</f>
        <v>蝙蝠魔克星24</v>
      </c>
    </row>
    <row r="37" spans="3:9" x14ac:dyDescent="0.2">
      <c r="C37" t="s">
        <v>207</v>
      </c>
      <c r="H37">
        <v>28</v>
      </c>
      <c r="I37" t="str">
        <f>_xlfn.XLOOKUP(表12[[#This Row],[频道]],表11[频道],表11[ID],"")</f>
        <v>蝙蝠魔克星8</v>
      </c>
    </row>
    <row r="38" spans="3:9" x14ac:dyDescent="0.2">
      <c r="C38" t="s">
        <v>208</v>
      </c>
      <c r="D38">
        <v>39</v>
      </c>
      <c r="H38">
        <v>29</v>
      </c>
      <c r="I38" t="str">
        <f>_xlfn.XLOOKUP(表12[[#This Row],[频道]],表11[频道],表11[ID],"")</f>
        <v>蝙蝠魔克星55</v>
      </c>
    </row>
    <row r="39" spans="3:9" x14ac:dyDescent="0.2">
      <c r="C39" t="s">
        <v>209</v>
      </c>
      <c r="D39">
        <v>42</v>
      </c>
      <c r="H39">
        <v>30</v>
      </c>
      <c r="I39" t="str">
        <f>_xlfn.XLOOKUP(表12[[#This Row],[频道]],表11[频道],表11[ID],"")</f>
        <v>蝙蝠魔克星26</v>
      </c>
    </row>
    <row r="40" spans="3:9" x14ac:dyDescent="0.2">
      <c r="C40" t="s">
        <v>210</v>
      </c>
      <c r="H40">
        <v>31</v>
      </c>
      <c r="I40" t="str">
        <f>_xlfn.XLOOKUP(表12[[#This Row],[频道]],表11[频道],表11[ID],"")</f>
        <v>蝙蝠魔克星11</v>
      </c>
    </row>
    <row r="41" spans="3:9" x14ac:dyDescent="0.2">
      <c r="C41" t="s">
        <v>211</v>
      </c>
      <c r="H41">
        <v>32</v>
      </c>
      <c r="I41" t="str">
        <f>_xlfn.XLOOKUP(表12[[#This Row],[频道]],表11[频道],表11[ID],"")</f>
        <v>蝙蝠魔克星15</v>
      </c>
    </row>
    <row r="42" spans="3:9" x14ac:dyDescent="0.2">
      <c r="C42" t="s">
        <v>212</v>
      </c>
      <c r="H42">
        <v>33</v>
      </c>
      <c r="I42" t="str">
        <f>_xlfn.XLOOKUP(表12[[#This Row],[频道]],表11[频道],表11[ID],"")</f>
        <v>蝙蝠魔克星2</v>
      </c>
    </row>
    <row r="43" spans="3:9" x14ac:dyDescent="0.2">
      <c r="C43" t="s">
        <v>213</v>
      </c>
      <c r="H43">
        <v>34</v>
      </c>
      <c r="I43" t="str">
        <f>_xlfn.XLOOKUP(表12[[#This Row],[频道]],表11[频道],表11[ID],"")</f>
        <v>蝙蝠魔克星5</v>
      </c>
    </row>
    <row r="44" spans="3:9" x14ac:dyDescent="0.2">
      <c r="C44" t="s">
        <v>214</v>
      </c>
      <c r="H44">
        <v>35</v>
      </c>
      <c r="I44" t="str">
        <f>_xlfn.XLOOKUP(表12[[#This Row],[频道]],表11[频道],表11[ID],"")</f>
        <v>蝙蝠魔克星6</v>
      </c>
    </row>
    <row r="45" spans="3:9" x14ac:dyDescent="0.2">
      <c r="C45" t="s">
        <v>215</v>
      </c>
      <c r="H45">
        <v>36</v>
      </c>
      <c r="I45" t="str">
        <f>_xlfn.XLOOKUP(表12[[#This Row],[频道]],表11[频道],表11[ID],"")</f>
        <v/>
      </c>
    </row>
    <row r="46" spans="3:9" x14ac:dyDescent="0.2">
      <c r="C46" t="s">
        <v>216</v>
      </c>
      <c r="H46">
        <v>37</v>
      </c>
      <c r="I46" t="str">
        <f>_xlfn.XLOOKUP(表12[[#This Row],[频道]],表11[频道],表11[ID],"")</f>
        <v>蝙蝠魔克星58</v>
      </c>
    </row>
    <row r="47" spans="3:9" x14ac:dyDescent="0.2">
      <c r="C47" t="s">
        <v>217</v>
      </c>
      <c r="H47">
        <v>38</v>
      </c>
      <c r="I47" t="str">
        <f>_xlfn.XLOOKUP(表12[[#This Row],[频道]],表11[频道],表11[ID],"")</f>
        <v>蝙蝠魔克星20</v>
      </c>
    </row>
    <row r="48" spans="3:9" x14ac:dyDescent="0.2">
      <c r="C48" t="s">
        <v>218</v>
      </c>
      <c r="H48">
        <v>39</v>
      </c>
      <c r="I48" t="str">
        <f>_xlfn.XLOOKUP(表12[[#This Row],[频道]],表11[频道],表11[ID],"")</f>
        <v>蝙蝠魔克星28</v>
      </c>
    </row>
    <row r="49" spans="3:9" x14ac:dyDescent="0.2">
      <c r="C49" t="s">
        <v>219</v>
      </c>
      <c r="H49">
        <v>40</v>
      </c>
      <c r="I49" t="str">
        <f>_xlfn.XLOOKUP(表12[[#This Row],[频道]],表11[频道],表11[ID],"")</f>
        <v>蝙蝠魔克星7</v>
      </c>
    </row>
    <row r="50" spans="3:9" x14ac:dyDescent="0.2">
      <c r="C50" t="s">
        <v>220</v>
      </c>
      <c r="H50">
        <v>41</v>
      </c>
      <c r="I50" t="str">
        <f>_xlfn.XLOOKUP(表12[[#This Row],[频道]],表11[频道],表11[ID],"")</f>
        <v>蝙蝠魔克星59</v>
      </c>
    </row>
    <row r="51" spans="3:9" x14ac:dyDescent="0.2">
      <c r="C51" t="s">
        <v>221</v>
      </c>
      <c r="D51">
        <v>23</v>
      </c>
      <c r="H51">
        <v>42</v>
      </c>
      <c r="I51" t="str">
        <f>_xlfn.XLOOKUP(表12[[#This Row],[频道]],表11[频道],表11[ID],"")</f>
        <v>蝙蝠魔克星29</v>
      </c>
    </row>
    <row r="52" spans="3:9" x14ac:dyDescent="0.2">
      <c r="C52" t="s">
        <v>222</v>
      </c>
      <c r="D52">
        <v>47</v>
      </c>
      <c r="H52">
        <v>43</v>
      </c>
      <c r="I52" t="str">
        <f>_xlfn.XLOOKUP(表12[[#This Row],[频道]],表11[频道],表11[ID],"")</f>
        <v>蝙蝠魔克星3</v>
      </c>
    </row>
    <row r="53" spans="3:9" x14ac:dyDescent="0.2">
      <c r="C53" t="s">
        <v>223</v>
      </c>
      <c r="D53">
        <v>15</v>
      </c>
      <c r="H53">
        <v>44</v>
      </c>
      <c r="I53" t="str">
        <f>_xlfn.XLOOKUP(表12[[#This Row],[频道]],表11[频道],表11[ID],"")</f>
        <v>蝙蝠魔克星60</v>
      </c>
    </row>
    <row r="54" spans="3:9" x14ac:dyDescent="0.2">
      <c r="C54" t="s">
        <v>224</v>
      </c>
      <c r="D54">
        <v>45</v>
      </c>
      <c r="H54">
        <v>45</v>
      </c>
      <c r="I54" t="str">
        <f>_xlfn.XLOOKUP(表12[[#This Row],[频道]],表11[频道],表11[ID],"")</f>
        <v>蝙蝠魔克星44</v>
      </c>
    </row>
    <row r="55" spans="3:9" x14ac:dyDescent="0.2">
      <c r="C55" t="s">
        <v>225</v>
      </c>
      <c r="D55">
        <v>9</v>
      </c>
      <c r="H55">
        <v>46</v>
      </c>
      <c r="I55" t="str">
        <f>_xlfn.XLOOKUP(表12[[#This Row],[频道]],表11[频道],表11[ID],"")</f>
        <v>蝙蝠魔克星57</v>
      </c>
    </row>
    <row r="56" spans="3:9" x14ac:dyDescent="0.2">
      <c r="C56" t="s">
        <v>226</v>
      </c>
      <c r="D56">
        <v>16</v>
      </c>
      <c r="H56">
        <v>47</v>
      </c>
      <c r="I56" t="str">
        <f>_xlfn.XLOOKUP(表12[[#This Row],[频道]],表11[频道],表11[ID],"")</f>
        <v>蝙蝠魔克星42</v>
      </c>
    </row>
    <row r="57" spans="3:9" x14ac:dyDescent="0.2">
      <c r="C57" t="s">
        <v>227</v>
      </c>
      <c r="D57">
        <v>10</v>
      </c>
      <c r="H57">
        <v>48</v>
      </c>
      <c r="I57" t="str">
        <f>_xlfn.XLOOKUP(表12[[#This Row],[频道]],表11[频道],表11[ID],"")</f>
        <v/>
      </c>
    </row>
    <row r="58" spans="3:9" x14ac:dyDescent="0.2">
      <c r="C58" t="s">
        <v>228</v>
      </c>
      <c r="D58">
        <v>6</v>
      </c>
      <c r="H58">
        <v>49</v>
      </c>
      <c r="I58" t="str">
        <f>_xlfn.XLOOKUP(表12[[#This Row],[频道]],表11[频道],表11[ID],"")</f>
        <v/>
      </c>
    </row>
    <row r="59" spans="3:9" x14ac:dyDescent="0.2">
      <c r="C59" t="s">
        <v>229</v>
      </c>
      <c r="D59">
        <v>2</v>
      </c>
      <c r="H59">
        <v>50</v>
      </c>
      <c r="I59" t="str">
        <f>_xlfn.XLOOKUP(表12[[#This Row],[频道]],表11[频道],表11[ID],"")</f>
        <v/>
      </c>
    </row>
    <row r="60" spans="3:9" x14ac:dyDescent="0.2">
      <c r="C60" t="s">
        <v>230</v>
      </c>
      <c r="D60">
        <v>12</v>
      </c>
      <c r="H60">
        <v>51</v>
      </c>
      <c r="I60" t="str">
        <f>_xlfn.XLOOKUP(表12[[#This Row],[频道]],表11[频道],表11[ID],"")</f>
        <v/>
      </c>
    </row>
    <row r="61" spans="3:9" x14ac:dyDescent="0.2">
      <c r="C61" t="s">
        <v>231</v>
      </c>
      <c r="D61">
        <v>11</v>
      </c>
      <c r="H61">
        <v>52</v>
      </c>
      <c r="I61" t="str">
        <f>_xlfn.XLOOKUP(表12[[#This Row],[频道]],表11[频道],表11[ID],"")</f>
        <v/>
      </c>
    </row>
    <row r="62" spans="3:9" x14ac:dyDescent="0.2">
      <c r="C62" t="s">
        <v>232</v>
      </c>
      <c r="D62">
        <v>5</v>
      </c>
      <c r="H62">
        <v>53</v>
      </c>
      <c r="I62" t="str">
        <f>_xlfn.XLOOKUP(表12[[#This Row],[频道]],表11[频道],表11[ID],"")</f>
        <v/>
      </c>
    </row>
    <row r="63" spans="3:9" x14ac:dyDescent="0.2">
      <c r="C63" t="s">
        <v>233</v>
      </c>
      <c r="D63">
        <v>4</v>
      </c>
      <c r="H63">
        <v>54</v>
      </c>
      <c r="I63" t="str">
        <f>_xlfn.XLOOKUP(表12[[#This Row],[频道]],表11[频道],表11[ID],"")</f>
        <v/>
      </c>
    </row>
    <row r="64" spans="3:9" x14ac:dyDescent="0.2">
      <c r="C64" t="s">
        <v>234</v>
      </c>
      <c r="D64">
        <v>3</v>
      </c>
      <c r="H64">
        <v>55</v>
      </c>
      <c r="I64" t="str">
        <f>_xlfn.XLOOKUP(表12[[#This Row],[频道]],表11[频道],表11[ID],"")</f>
        <v/>
      </c>
    </row>
    <row r="65" spans="3:9" x14ac:dyDescent="0.2">
      <c r="C65" t="s">
        <v>235</v>
      </c>
      <c r="D65">
        <v>29</v>
      </c>
      <c r="H65">
        <v>56</v>
      </c>
      <c r="I65" t="str">
        <f>_xlfn.XLOOKUP(表12[[#This Row],[频道]],表11[频道],表11[ID],"")</f>
        <v/>
      </c>
    </row>
    <row r="66" spans="3:9" x14ac:dyDescent="0.2">
      <c r="C66" t="s">
        <v>236</v>
      </c>
      <c r="D66">
        <v>8</v>
      </c>
      <c r="H66">
        <v>57</v>
      </c>
      <c r="I66" t="str">
        <f>_xlfn.XLOOKUP(表12[[#This Row],[频道]],表11[频道],表11[ID],"")</f>
        <v/>
      </c>
    </row>
    <row r="67" spans="3:9" x14ac:dyDescent="0.2">
      <c r="C67" t="s">
        <v>237</v>
      </c>
      <c r="D67">
        <v>46</v>
      </c>
      <c r="H67">
        <v>58</v>
      </c>
      <c r="I67" t="str">
        <f>_xlfn.XLOOKUP(表12[[#This Row],[频道]],表11[频道],表11[ID],"")</f>
        <v/>
      </c>
    </row>
    <row r="68" spans="3:9" x14ac:dyDescent="0.2">
      <c r="C68" t="s">
        <v>238</v>
      </c>
      <c r="D68">
        <v>37</v>
      </c>
      <c r="H68">
        <v>59</v>
      </c>
      <c r="I68" t="str">
        <f>_xlfn.XLOOKUP(表12[[#This Row],[频道]],表11[频道],表11[ID],"")</f>
        <v/>
      </c>
    </row>
    <row r="69" spans="3:9" x14ac:dyDescent="0.2">
      <c r="C69" t="s">
        <v>239</v>
      </c>
      <c r="D69">
        <v>41</v>
      </c>
      <c r="H69">
        <v>60</v>
      </c>
      <c r="I69" t="str">
        <f>_xlfn.XLOOKUP(表12[[#This Row],[频道]],表11[频道],表11[ID],"")</f>
        <v/>
      </c>
    </row>
    <row r="70" spans="3:9" x14ac:dyDescent="0.2">
      <c r="C70" t="s">
        <v>240</v>
      </c>
      <c r="D70">
        <v>44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9D2F4-41EF-42EC-990F-6041A617F0EA}">
  <dimension ref="G104:O113"/>
  <sheetViews>
    <sheetView topLeftCell="A61" workbookViewId="0">
      <selection activeCell="O114" sqref="O114"/>
    </sheetView>
  </sheetViews>
  <sheetFormatPr defaultRowHeight="14.25" x14ac:dyDescent="0.2"/>
  <sheetData>
    <row r="104" spans="7:15" x14ac:dyDescent="0.2">
      <c r="G104">
        <v>1</v>
      </c>
      <c r="H104" t="s">
        <v>124</v>
      </c>
    </row>
    <row r="105" spans="7:15" x14ac:dyDescent="0.2">
      <c r="G105">
        <v>2</v>
      </c>
      <c r="H105" t="s">
        <v>123</v>
      </c>
    </row>
    <row r="106" spans="7:15" x14ac:dyDescent="0.2">
      <c r="G106">
        <v>3</v>
      </c>
      <c r="H106" t="s">
        <v>124</v>
      </c>
    </row>
    <row r="107" spans="7:15" x14ac:dyDescent="0.2">
      <c r="N107">
        <v>31</v>
      </c>
      <c r="O107" t="s">
        <v>123</v>
      </c>
    </row>
    <row r="108" spans="7:15" x14ac:dyDescent="0.2">
      <c r="N108">
        <v>32</v>
      </c>
      <c r="O108" t="s">
        <v>123</v>
      </c>
    </row>
    <row r="109" spans="7:15" x14ac:dyDescent="0.2">
      <c r="G109">
        <v>19</v>
      </c>
      <c r="H109" t="s">
        <v>123</v>
      </c>
      <c r="N109">
        <v>33</v>
      </c>
      <c r="O109" t="s">
        <v>123</v>
      </c>
    </row>
    <row r="110" spans="7:15" x14ac:dyDescent="0.2">
      <c r="G110">
        <v>23</v>
      </c>
      <c r="H110" t="s">
        <v>125</v>
      </c>
      <c r="N110">
        <v>36</v>
      </c>
      <c r="O110" t="s">
        <v>124</v>
      </c>
    </row>
    <row r="111" spans="7:15" x14ac:dyDescent="0.2">
      <c r="N111">
        <v>39</v>
      </c>
      <c r="O111" t="s">
        <v>123</v>
      </c>
    </row>
    <row r="112" spans="7:15" x14ac:dyDescent="0.2">
      <c r="N112">
        <v>41</v>
      </c>
      <c r="O112" t="s">
        <v>123</v>
      </c>
    </row>
    <row r="113" spans="14:15" x14ac:dyDescent="0.2">
      <c r="N113">
        <v>54</v>
      </c>
      <c r="O113" t="s">
        <v>124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盈利比</vt:lpstr>
      <vt:lpstr>性价比</vt:lpstr>
      <vt:lpstr>exp</vt:lpstr>
      <vt:lpstr>砸卷模拟</vt:lpstr>
      <vt:lpstr>伤害计算</vt:lpstr>
      <vt:lpstr>boss刷新</vt:lpstr>
      <vt:lpstr>__草稿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Reez Chan</dc:creator>
  <cp:lastModifiedBy>Reez Chan</cp:lastModifiedBy>
  <dcterms:created xsi:type="dcterms:W3CDTF">2015-06-05T18:19:34Z</dcterms:created>
  <dcterms:modified xsi:type="dcterms:W3CDTF">2026-09-08T14:26:21Z</dcterms:modified>
</cp:coreProperties>
</file>