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MyPrograms\BossTimer\"/>
    </mc:Choice>
  </mc:AlternateContent>
  <xr:revisionPtr revIDLastSave="0" documentId="13_ncr:1_{882A00ED-5EFB-46CA-91FF-56D43A2CF69D}" xr6:coauthVersionLast="47" xr6:coauthVersionMax="47" xr10:uidLastSave="{00000000-0000-0000-0000-000000000000}"/>
  <bookViews>
    <workbookView xWindow="-36135" yWindow="465" windowWidth="28995" windowHeight="20115" activeTab="2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5" l="1"/>
  <c r="L55" i="5" s="1"/>
  <c r="J55" i="5"/>
  <c r="Q41" i="3"/>
  <c r="J23" i="3"/>
  <c r="J22" i="3"/>
  <c r="J21" i="3"/>
  <c r="J54" i="5"/>
  <c r="L54" i="5"/>
  <c r="K52" i="5"/>
  <c r="K57" i="5" s="1"/>
  <c r="L57" i="5" s="1"/>
  <c r="K53" i="5"/>
  <c r="J53" i="5"/>
  <c r="L53" i="5"/>
  <c r="J52" i="5"/>
  <c r="L52" i="5"/>
  <c r="Q33" i="6" a="1"/>
  <c r="Q34" i="6" a="1"/>
  <c r="Q35" i="6" a="1"/>
  <c r="Q36" i="6" a="1"/>
  <c r="Q37" i="6" a="1"/>
  <c r="Q38" i="6" a="1"/>
  <c r="Q39" i="6" a="1"/>
  <c r="Q40" i="6" a="1"/>
  <c r="Q41" i="6" a="1"/>
  <c r="U33" i="6" a="1"/>
  <c r="U34" i="6" a="1"/>
  <c r="U35" i="6" a="1"/>
  <c r="U36" i="6" a="1"/>
  <c r="U37" i="6" a="1"/>
  <c r="U38" i="6" a="1"/>
  <c r="U39" i="6" a="1"/>
  <c r="U40" i="6" a="1"/>
  <c r="U41" i="6" a="1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K24" i="3"/>
  <c r="K22" i="3"/>
  <c r="K21" i="3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E32" i="6"/>
  <c r="L45" i="5"/>
  <c r="L44" i="5"/>
  <c r="L43" i="5"/>
  <c r="L42" i="5"/>
  <c r="X30" i="2"/>
  <c r="Y29" i="2"/>
  <c r="Z27" i="2"/>
  <c r="X19" i="2"/>
  <c r="Z16" i="2"/>
  <c r="Y17" i="2"/>
  <c r="Z17" i="2" s="1"/>
  <c r="Y18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M41" i="6" l="1"/>
  <c r="M40" i="6"/>
  <c r="M37" i="6"/>
  <c r="M35" i="6"/>
  <c r="M33" i="6"/>
  <c r="M39" i="6"/>
  <c r="M34" i="6"/>
  <c r="M38" i="6"/>
  <c r="M36" i="6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E40" i="6" a="1"/>
  <c r="E42" i="6" s="1" a="1"/>
  <c r="E44" i="6" s="1" a="1"/>
  <c r="E46" i="6" s="1" a="1"/>
  <c r="E39" i="6" a="1"/>
  <c r="E41" i="6" s="1" a="1"/>
  <c r="E43" i="6" s="1" a="1"/>
  <c r="E45" i="6" s="1" a="1"/>
  <c r="V29" i="2" a="1"/>
  <c r="V28" i="2" a="1"/>
  <c r="V27" i="2" a="1"/>
  <c r="Z18" i="2"/>
  <c r="Z29" i="2"/>
  <c r="Z28" i="2"/>
  <c r="Z19" i="2"/>
  <c r="V16" i="2" a="1"/>
  <c r="W16" i="2" s="1"/>
  <c r="V17" i="2" a="1"/>
  <c r="W17" i="2" s="1"/>
  <c r="V18" i="2" a="1"/>
  <c r="W18" i="2" s="1"/>
  <c r="E4" i="2" a="1"/>
  <c r="R41" i="6" l="1" a="1"/>
  <c r="T41" i="6" s="1" a="1"/>
  <c r="V41" i="6" s="1" a="1"/>
  <c r="P41" i="6" a="1"/>
  <c r="S41" i="6" a="1"/>
  <c r="P40" i="6" a="1"/>
  <c r="R40" i="6" a="1"/>
  <c r="T40" i="6" s="1" a="1"/>
  <c r="V40" i="6" s="1" a="1"/>
  <c r="S40" i="6" a="1"/>
  <c r="S37" i="6" a="1"/>
  <c r="R37" i="6" a="1"/>
  <c r="T37" i="6" s="1" a="1"/>
  <c r="V37" i="6" s="1" a="1"/>
  <c r="P37" i="6" a="1"/>
  <c r="S35" i="6" a="1"/>
  <c r="R35" i="6" a="1"/>
  <c r="T35" i="6" s="1" a="1"/>
  <c r="V35" i="6" s="1" a="1"/>
  <c r="P35" i="6" a="1"/>
  <c r="R33" i="6" a="1"/>
  <c r="T33" i="6" s="1" a="1"/>
  <c r="V33" i="6" s="1" a="1"/>
  <c r="P33" i="6" a="1"/>
  <c r="S33" i="6" a="1"/>
  <c r="P39" i="6" a="1"/>
  <c r="S39" i="6" a="1"/>
  <c r="R39" i="6" a="1"/>
  <c r="T39" i="6" s="1" a="1"/>
  <c r="V39" i="6" s="1" a="1"/>
  <c r="S34" i="6" a="1"/>
  <c r="R34" i="6" a="1"/>
  <c r="T34" i="6" s="1" a="1"/>
  <c r="V34" i="6" s="1" a="1"/>
  <c r="P34" i="6" a="1"/>
  <c r="S38" i="6" a="1"/>
  <c r="R38" i="6" a="1"/>
  <c r="T38" i="6" s="1" a="1"/>
  <c r="V38" i="6" s="1" a="1"/>
  <c r="P38" i="6" a="1"/>
  <c r="S36" i="6" a="1"/>
  <c r="R36" i="6" a="1"/>
  <c r="T36" i="6" s="1" a="1"/>
  <c r="V36" i="6" s="1" a="1"/>
  <c r="P36" i="6" a="1"/>
  <c r="W41" i="6" a="1"/>
  <c r="W40" i="6" a="1"/>
  <c r="W36" i="6" a="1"/>
  <c r="W37" i="6" a="1"/>
  <c r="W39" i="6" a="1"/>
  <c r="W38" i="6" a="1"/>
  <c r="W35" i="6" a="1"/>
  <c r="W33" i="6" a="1"/>
  <c r="W34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AA29" i="2"/>
  <c r="W29" i="2"/>
  <c r="AB29" i="2" s="1"/>
  <c r="W28" i="2"/>
  <c r="AB28" i="2" s="1"/>
  <c r="AA28" i="2"/>
  <c r="AA27" i="2"/>
  <c r="W27" i="2"/>
  <c r="AB27" i="2" s="1"/>
  <c r="AB16" i="2"/>
  <c r="AB17" i="2"/>
  <c r="AB18" i="2"/>
  <c r="Z30" i="2"/>
  <c r="AA16" i="2"/>
  <c r="AC16" i="2" s="1"/>
  <c r="AA17" i="2"/>
  <c r="AC17" i="2" s="1"/>
  <c r="AA18" i="2"/>
  <c r="AC18" i="2" s="1"/>
  <c r="D10" i="2" a="1"/>
  <c r="D7" i="2" a="1"/>
  <c r="D12" i="2" a="1"/>
  <c r="D13" i="2" a="1"/>
  <c r="D15" i="2" a="1"/>
  <c r="D8" i="2" a="1"/>
  <c r="D11" i="2" a="1"/>
  <c r="D14" i="2" a="1"/>
  <c r="D16" i="2" a="1"/>
  <c r="D9" i="2" a="1"/>
  <c r="AA30" i="2" l="1"/>
  <c r="AB30" i="2"/>
  <c r="AC19" i="2"/>
  <c r="AB19" i="2"/>
  <c r="AA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Locker</author>
  </authors>
  <commentList>
    <comment ref="O58" authorId="0" shapeId="0" xr:uid="{475DC68E-827C-452E-9A0A-1DB5F7B2C937}">
      <text>
        <r>
          <rPr>
            <b/>
            <sz val="9"/>
            <color indexed="81"/>
            <rFont val="宋体"/>
            <family val="3"/>
            <charset val="134"/>
          </rPr>
          <t>Locker: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<sst xmlns="http://schemas.openxmlformats.org/spreadsheetml/2006/main" count="220" uniqueCount="188">
  <si>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</si>
  <si>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</si>
  <si>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</si>
  <si>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</si>
  <si>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</si>
  <si>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</si>
  <si>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</si>
  <si>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</si>
  <si>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</si>
  <si>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</si>
  <si>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</si>
  <si>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</si>
  <si>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</si>
  <si>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</si>
  <si>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</si>
  <si>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</si>
  <si>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</si>
  <si>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</si>
  <si>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</si>
  <si>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</si>
  <si>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</si>
  <si>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</si>
  <si>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</si>
  <si>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</si>
  <si>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</si>
  <si>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</si>
  <si>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</si>
  <si>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</si>
  <si>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</si>
  <si>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</si>
  <si>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</si>
  <si>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</si>
  <si>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</si>
  <si>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</si>
  <si>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</si>
  <si>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</si>
  <si>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</si>
  <si>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</si>
  <si>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</si>
  <si>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</si>
  <si>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</si>
  <si>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</si>
  <si>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</si>
  <si>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</si>
  <si>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</si>
  <si>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</si>
  <si>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</si>
  <si>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</si>
  <si>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</si>
  <si>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</si>
  <si>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</si>
  <si>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</si>
  <si>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</si>
  <si>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</si>
  <si>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</si>
  <si>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</si>
  <si>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</si>
  <si>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</si>
  <si>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</si>
  <si>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</si>
  <si>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</si>
  <si>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</si>
  <si>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</si>
  <si>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</si>
  <si>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</si>
  <si>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</si>
  <si>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</si>
  <si>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主属性系数</t>
    <phoneticPr fontId="1" type="noConversion"/>
  </si>
  <si>
    <t>熟练度系数</t>
    <phoneticPr fontId="1" type="noConversion"/>
  </si>
  <si>
    <t>属性表</t>
    <phoneticPr fontId="1" type="noConversion"/>
  </si>
  <si>
    <t>力量</t>
    <phoneticPr fontId="1" type="noConversion"/>
  </si>
  <si>
    <t>敏捷</t>
  </si>
  <si>
    <t>智力</t>
  </si>
  <si>
    <t>运气</t>
  </si>
  <si>
    <t>MAX = TotalWATK × (1.0 + (LUK × 2.5 + STR + DEX) / 100 + AttackPower / 50)</t>
  </si>
  <si>
    <t>MIN = TotalWATK × (0.8 + (LUK × M × 2.5 + STR + DEX) / 100 + AttackPower / 50)</t>
  </si>
  <si>
    <t>攻击表</t>
    <phoneticPr fontId="1" type="noConversion"/>
  </si>
  <si>
    <t>攻击来源</t>
    <phoneticPr fontId="1" type="noConversion"/>
  </si>
  <si>
    <t>值</t>
    <phoneticPr fontId="1" type="noConversion"/>
  </si>
  <si>
    <t>拳套</t>
    <phoneticPr fontId="1" type="noConversion"/>
  </si>
  <si>
    <t>飞镖</t>
    <phoneticPr fontId="1" type="noConversion"/>
  </si>
  <si>
    <t>手套</t>
    <phoneticPr fontId="1" type="noConversion"/>
  </si>
  <si>
    <t>披风</t>
    <phoneticPr fontId="1" type="noConversion"/>
  </si>
  <si>
    <t>药水</t>
    <phoneticPr fontId="1" type="noConversion"/>
  </si>
  <si>
    <t>SUM</t>
    <phoneticPr fontId="1" type="noConversion"/>
  </si>
  <si>
    <t>伤害计算</t>
    <phoneticPr fontId="1" type="noConversion"/>
  </si>
  <si>
    <t>项目</t>
    <phoneticPr fontId="1" type="noConversion"/>
  </si>
  <si>
    <t>攻击上限</t>
    <phoneticPr fontId="1" type="noConversion"/>
  </si>
  <si>
    <t>攻击下限</t>
    <phoneticPr fontId="1" type="noConversion"/>
  </si>
  <si>
    <t>技能倍率</t>
    <phoneticPr fontId="1" type="noConversion"/>
  </si>
  <si>
    <t>基础伤害min</t>
    <phoneticPr fontId="1" type="noConversion"/>
  </si>
  <si>
    <t>基础伤害max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</si>
  <si>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</si>
  <si>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</si>
  <si>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</si>
  <si>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暴击伤害min</t>
    <phoneticPr fontId="1" type="noConversion"/>
  </si>
  <si>
    <t>暴击伤害max</t>
  </si>
  <si>
    <t>暴击伤害max</t>
    <phoneticPr fontId="1" type="noConversion"/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</si>
  <si>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</si>
  <si>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</si>
  <si>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</si>
  <si>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</si>
  <si>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</si>
  <si>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实际伤害max</t>
    <phoneticPr fontId="1" type="noConversion"/>
  </si>
  <si>
    <t>实际伤害min</t>
  </si>
  <si>
    <t>实际伤害min</t>
    <phoneticPr fontId="1" type="noConversion"/>
  </si>
  <si>
    <t>等级差</t>
    <phoneticPr fontId="1" type="noConversion"/>
  </si>
  <si>
    <t>伤害下限系数</t>
    <phoneticPr fontId="1" type="noConversion"/>
  </si>
  <si>
    <t>攻击max</t>
    <phoneticPr fontId="1" type="noConversion"/>
  </si>
  <si>
    <t>攻击min</t>
    <phoneticPr fontId="1" type="noConversion"/>
  </si>
  <si>
    <t>运气</t>
    <phoneticPr fontId="1" type="noConversion"/>
  </si>
  <si>
    <t>备注</t>
    <phoneticPr fontId="1" type="noConversion"/>
  </si>
  <si>
    <t>初始</t>
    <phoneticPr fontId="1" type="noConversion"/>
  </si>
  <si>
    <t>工地手套+2G</t>
    <phoneticPr fontId="1" type="noConversion"/>
  </si>
  <si>
    <t>工地手套+1G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</si>
  <si>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</si>
  <si>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</si>
  <si>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</si>
  <si>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</si>
  <si>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</si>
  <si>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</si>
  <si>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</si>
  <si>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</si>
  <si>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</si>
  <si>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</si>
  <si>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</si>
  <si>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</si>
  <si>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</si>
  <si>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</si>
  <si>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</si>
  <si>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</si>
  <si>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</si>
  <si>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</si>
  <si>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工地手套+3G</t>
  </si>
  <si>
    <t>工地手套+4G</t>
  </si>
  <si>
    <t>工地手套+5G</t>
  </si>
  <si>
    <t>工地手套+6G</t>
  </si>
  <si>
    <t>工地手套+7G</t>
  </si>
  <si>
    <t>工地手套+8G</t>
  </si>
  <si>
    <t>攻击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</si>
  <si>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</si>
  <si>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</si>
  <si>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</si>
  <si>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</si>
  <si>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</si>
  <si>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</si>
  <si>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</si>
  <si>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</si>
  <si>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</si>
  <si>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</si>
  <si>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</si>
  <si>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</si>
  <si>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</si>
  <si>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</si>
  <si>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</si>
  <si>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</si>
  <si>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</si>
  <si>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</si>
  <si>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</si>
  <si>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</si>
  <si>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</si>
  <si>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</si>
  <si>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</si>
  <si>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</si>
  <si>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</si>
  <si>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</si>
  <si>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</si>
  <si>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</si>
  <si>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</si>
  <si>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</si>
  <si>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</si>
  <si>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</si>
  <si>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</si>
  <si>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</si>
  <si>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</si>
  <si>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</si>
  <si>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</si>
  <si>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</si>
  <si>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</si>
  <si>
    <t>冰冷的摇篮</t>
    <phoneticPr fontId="1" type="noConversion"/>
  </si>
  <si>
    <t>拳套+47</t>
  </si>
  <si>
    <t>拳套+48</t>
  </si>
  <si>
    <t>拳套+49</t>
  </si>
  <si>
    <t>拳套+50</t>
  </si>
  <si>
    <t>拳套+51</t>
  </si>
  <si>
    <t>拳套+52</t>
  </si>
  <si>
    <t>第1天</t>
    <phoneticPr fontId="1" type="noConversion"/>
  </si>
  <si>
    <t>第2天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</si>
</sst>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3" fillId="0" borderId="0" xfId="0" applyNumberFormat="1" applyFont="1"/>
    <xf numFmtId="0" fontId="0" fillId="0" borderId="0" xfId="0" applyNumberFormat="1"/>
  </cellXfs>
  <cellStyles count="1">
    <cellStyle name="常规" xfId="0" builtinId="0"/>
  </cellStyles>
  <dxfs count="5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family val="3"/>
        <charset val="134"/>
      </font>
    </dxf>
    <dxf>
      <font>
        <b/>
        <family val="3"/>
        <charset val="13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351224</xdr:colOff>
      <xdr:row>4</xdr:row>
      <xdr:rowOff>142875</xdr:rowOff>
    </xdr:from>
    <xdr:to>
      <xdr:col>34</xdr:col>
      <xdr:colOff>397834</xdr:colOff>
      <xdr:row>39</xdr:row>
      <xdr:rowOff>8278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FF00B16-8A56-0185-F11D-671A28D33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43399" y="866775"/>
          <a:ext cx="11019410" cy="6199528"/>
        </a:xfrm>
        <a:prstGeom prst="rect">
          <a:avLst/>
        </a:prstGeom>
      </xdr:spPr>
    </xdr:pic>
    <xdr:clientData/>
  </xdr:twoCellAnchor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18</xdr:row>
      <xdr:rowOff>0</xdr:rowOff>
    </xdr:from>
    <xdr:to>
      <xdr:col>13</xdr:col>
      <xdr:colOff>161648</xdr:colOff>
      <xdr:row>35</xdr:row>
      <xdr:rowOff>161520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34385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50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49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48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47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46"/>
    <tableColumn id="2" xr3:uid="{AA234072-647C-4A37-BA00-45785241169C}" name="购买价格w" dataDxfId="45"/>
    <tableColumn id="6" xr3:uid="{B69C23F2-12E4-49E4-B956-F35FECF6EED2}" name="制作价格" dataDxfId="44"/>
    <tableColumn id="7" xr3:uid="{1F179FDF-DB5D-4D9E-9382-252E36157465}" name="差价（含税）" dataDxfId="43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42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55" totalsRowShown="0">
  <autoFilter ref="E32:L55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57"/>
    <tableColumn id="2" xr3:uid="{EB49316D-EA89-440F-8BED-529A7B30C022}" name="开始" dataDxfId="56"/>
    <tableColumn id="7" xr3:uid="{D165A06A-4105-4A22-9828-A4BEF84DACDC}" name="结束lv" dataDxfId="55"/>
    <tableColumn id="3" xr3:uid="{7BC03053-038D-41AD-84CE-B60879A78C44}" name="结束" dataDxfId="54"/>
    <tableColumn id="8" xr3:uid="{18F6AB19-F5E3-4464-85E9-7510B0FF4FBB}" name="总经验(万)" dataDxfId="53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52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51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D16" totalsRowShown="0">
  <autoFilter ref="B6:D16" xr:uid="{FB8998DA-BBB2-46CF-8111-B43AA0A92522}">
    <filterColumn colId="0" hiddenButton="1"/>
    <filterColumn colId="1" hiddenButton="1"/>
    <filterColumn colId="2" hiddenButton="1"/>
  </autoFilter>
  <tableColumns count="3">
    <tableColumn id="1" xr3:uid="{698E820D-23C3-4BF8-BEED-4FE313E53471}" name="次数"/>
    <tableColumn id="2" xr3:uid="{84879E6A-8423-4B05-81FF-8B66F1BA776F}" name="几率" dataDxfId="41">
      <calculatedColumnFormula array="1">1 - _xlfn.BINOM.DIST(卷轴参数[预期成功]-1, 表1[[#This Row],[次数]], 卷轴参数[卷概率], TRUE)</calculatedColumnFormula>
    </tableColumn>
    <tableColumn id="3" xr3:uid="{7C2768F8-9055-4D23-BE1E-FE8B90B3316B}" name="价值" dataDxfId="40">
      <calculatedColumnFormula array="1">1/表1[[#This Row],[几率]]*卷轴参数[卷价值]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39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38"/>
    <tableColumn id="2" xr3:uid="{C61182DF-822A-4A58-AE24-69A976436107}" name="预期成功" dataDxfId="37"/>
    <tableColumn id="5" xr3:uid="{0F00CCD6-E594-41C1-8347-E43384BB99BE}" name="卷拍卖行价w" dataDxfId="36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Q15:AC19" totalsRowCount="1">
  <autoFilter ref="Q15:AC18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35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34" totalsRowDxfId="33"/>
    <tableColumn id="4" xr3:uid="{CA577DD0-7258-45B9-A695-C4171373AE3D}" name="rmb" dataDxfId="32">
      <calculatedColumnFormula array="1">表7[[#This Row],[单价]]*金价表[税后金价]</calculatedColumnFormula>
    </tableColumn>
    <tableColumn id="7" xr3:uid="{3BF04BD0-3887-4D5A-9323-13DA842E9180}" name="每点敏捷价格" dataDxfId="31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0">
      <totalsRowFormula>SUM(表7[模拟数量])</totalsRowFormula>
    </tableColumn>
    <tableColumn id="12" xr3:uid="{94F47A8A-0CD2-46BA-BB08-9B69181B3598}" name="成功数量" dataDxfId="29"/>
    <tableColumn id="13" xr3:uid="{D8FA6D3D-13C9-413D-AA5C-EE25CEB6741F}" name="总敏捷" totalsRowFunction="custom" dataDxfId="28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27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26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25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Q26:AB30" totalsRowCount="1">
  <autoFilter ref="Q26:AB29" xr:uid="{D2F5DA31-758D-4974-A8DB-D862E9E685DC}"/>
  <tableColumns count="12">
    <tableColumn id="1" xr3:uid="{C9A11298-FA96-49C6-A3A1-A77A91972722}" name="卷概率"/>
    <tableColumn id="8" xr3:uid="{BEDD0CAD-6AB0-4C30-A86C-19070711828D}" name="敏捷" dataDxfId="24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23" totalsRowDxfId="22"/>
    <tableColumn id="4" xr3:uid="{EC81E847-7526-4094-88CA-6860A893C3B1}" name="rmb" dataDxfId="21">
      <calculatedColumnFormula array="1">表7_9[[#This Row],[单价]]*金价表[税后金价]</calculatedColumnFormula>
    </tableColumn>
    <tableColumn id="7" xr3:uid="{C26F07DB-AA65-4261-A542-9FF829521DAC}" name="敏捷价格" dataDxfId="20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19">
      <totalsRowFormula>SUM(表7_9[模拟数量])</totalsRowFormula>
    </tableColumn>
    <tableColumn id="12" xr3:uid="{E46A5CC0-4EA5-480B-A804-F448C4FD1200}" name="成功数量" dataDxfId="18"/>
    <tableColumn id="13" xr3:uid="{4297568D-CFCF-46D6-99EB-6BE373700BA1}" name="总敏捷" totalsRowFunction="custom" dataDxfId="17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16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15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K9" totalsRowShown="0" headerRowDxfId="14">
  <autoFilter ref="D8:K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1" xr3:uid="{83F963E2-50F9-4858-B270-A61447FE684F}" name="主属性系数"/>
    <tableColumn id="5" xr3:uid="{656C8470-9335-4994-8946-E5F9E636C442}" name="熟练度系数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79A92D-1113-45ED-A8A4-AAAB3DC71906}" name="攻击表" displayName="攻击表" ref="D26:E32" totalsRowCount="1">
  <autoFilter ref="D26:E31" xr:uid="{453710CF-D8F7-433B-9269-A34A821A80FA}">
    <filterColumn colId="0" hiddenButton="1"/>
    <filterColumn colId="1" hiddenButton="1"/>
  </autoFilter>
  <tableColumns count="2">
    <tableColumn id="1" xr3:uid="{88DB5370-85B9-418C-B5BC-4FC62F8273A1}" name="攻击来源" totalsRowLabel="SUM"/>
    <tableColumn id="2" xr3:uid="{587A3648-69A8-4EE4-A281-82858A9FE285}" name="值" totalsRowFunction="custom">
      <totalsRowFormula>SUM(攻击表[值])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2FFAE1-2AEB-45EB-B34C-6FFADA37B88A}" name="伤害计算" displayName="伤害计算" ref="D38:E46" totalsRowShown="0">
  <autoFilter ref="D38:E46" xr:uid="{0542DBDB-921E-4262-A38E-4EE365BD29C8}">
    <filterColumn colId="0" hiddenButton="1"/>
    <filterColumn colId="1" hiddenButton="1"/>
  </autoFilter>
  <tableColumns count="2">
    <tableColumn id="1" xr3:uid="{E2E0C8B1-B062-4BE6-BDDF-89282880F2E3}" name="项目"/>
    <tableColumn id="2" xr3:uid="{884975BD-5290-4348-ABDD-6B0B62491C0C}" name="值" dataDxfId="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2BF330-2B0E-4D48-8687-6D194DAC9919}" name="属性表" displayName="属性表" ref="D17:G18" totalsRowShown="0">
  <autoFilter ref="D17:G18" xr:uid="{4C105FA4-751A-4DE8-9570-1487FDDDB05E}">
    <filterColumn colId="0" hiddenButton="1"/>
    <filterColumn colId="1" hiddenButton="1"/>
    <filterColumn colId="2" hiddenButton="1"/>
    <filterColumn colId="3" hiddenButton="1"/>
  </autoFilter>
  <tableColumns count="4">
    <tableColumn id="1" xr3:uid="{8ED8BBA6-73D0-44F1-82FB-9A987F263546}" name="力量"/>
    <tableColumn id="2" xr3:uid="{4DE31C77-65D3-4281-A0F3-34FCC7BDD158}" name="敏捷"/>
    <tableColumn id="3" xr3:uid="{7CA5AEB7-5F2A-4B73-B4E9-B8E26E1E2989}" name="智力"/>
    <tableColumn id="4" xr3:uid="{423E5BD8-5358-4D98-8A5F-58F7FE129015}" name="运气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K32:W41" totalsRowShown="0">
  <autoFilter ref="K32:W41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2" xr3:uid="{E28116B0-6337-4365-A0F6-32D60BC978B6}" name="备注" dataDxfId="12"/>
    <tableColumn id="13" xr3:uid="{B41CD52A-A98D-4045-A6E3-121E0D0AEF7D}" name="额外攻击" dataDxfId="11"/>
    <tableColumn id="1" xr3:uid="{5D631460-1878-4992-B4F1-C11DD2022B97}" name="攻击" dataDxfId="10">
      <calculatedColumnFormula>攻击表[[#Totals],[值]]+表15[[#This Row],[额外攻击]]</calculatedColumnFormula>
    </tableColumn>
    <tableColumn id="10" xr3:uid="{BBD0C02A-DFD9-4B1D-B574-6A30BAE2D997}" name="运气" dataDxfId="1"/>
    <tableColumn id="11" xr3:uid="{BBF260FC-CE43-4380-87B9-5F9EE2064698}" name="敏捷" dataDxfId="0"/>
    <tableColumn id="15" xr3:uid="{19169ABF-D16F-4AB7-840E-72174B5817E9}" name="面板max" dataDxfId="9">
      <calculatedColumnFormula array="1">表15[[#This Row],[攻击]]
*(
 常量表[面板主属性系数]*表15[[#This Row],[运气]]
 +常量表[面板副属性系数]*SUM(属性表[力量],表15[[#This Row],[敏捷]])
)/100</calculatedColumnFormula>
    </tableColumn>
    <tableColumn id="14" xr3:uid="{6F6FB551-01A8-45AA-B765-56487CC9414A}" name="面板min" dataDxfId="8">
      <calculatedColumnFormula array="1">表15[[#This Row],[攻击]]
*(
 常量表[面板主属性系数]*表15[[#This Row],[运气]]*常量表[熟练度系数]
 +常量表[面板副属性系数]*SUM(属性表[力量],表15[[#This Row],[敏捷]])
)/100</calculatedColumnFormula>
    </tableColumn>
    <tableColumn id="2" xr3:uid="{219B6184-F7B6-4F19-ADA6-85DF621E3BE2}" name="攻击max" dataDxfId="7">
      <calculatedColumnFormula array="1">表15[[#This Row],[攻击]]
*(
 常量表[主属性系数]*表15[[#This Row],[运气]]
)/100</calculatedColumnFormula>
    </tableColumn>
    <tableColumn id="3" xr3:uid="{8B15A05C-D2B1-4EE3-A8A0-B233320DC7E0}" name="攻击min" dataDxfId="6">
      <calculatedColumnFormula array="1">表15[[#This Row],[攻击]]
*(
 0.5*常量表[主属性系数]*属性表[运气]
)/100</calculatedColumnFormula>
    </tableColumn>
    <tableColumn id="6" xr3:uid="{CC4D7A50-583C-409D-A439-41839CCB5FBE}" name="暴击伤害max" dataDxfId="5">
      <calculatedColumnFormula array="1">表15[[#This Row],[攻击max]]*(常量表[技能倍率]+常量表[暴击倍率])</calculatedColumnFormula>
    </tableColumn>
    <tableColumn id="7" xr3:uid="{02CE20E8-6B44-43C6-B599-BF6C200E0989}" name="暴击伤害min" dataDxfId="4">
      <calculatedColumnFormula array="1">表15[[#This Row],[攻击min]]*(常量表[技能倍率]+常量表[暴击倍率])</calculatedColumnFormula>
    </tableColumn>
    <tableColumn id="8" xr3:uid="{CDE151F5-6122-4088-B163-44E497C31795}" name="实际伤害max" dataDxfId="3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2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41"/>
  <sheetViews>
    <sheetView workbookViewId="0">
      <selection activeCell="D6" sqref="D6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144</v>
      </c>
      <c r="E5" s="3" t="s">
        <v>116</v>
      </c>
    </row>
    <row r="6" spans="2:14" x14ac:dyDescent="0.2">
      <c r="B6" s="2">
        <v>0.24429999999999999</v>
      </c>
      <c r="C6">
        <f>金价表[[#This Row],[当前金价1w]]/0.95</f>
        <v>0.25715789473684209</v>
      </c>
      <c r="D6" s="5">
        <v>3888.8665999999998</v>
      </c>
      <c r="E6">
        <f>金价表[[#This Row],[出售商品价格]]*金价表[[#This Row],[当前金价1w]]*0.95</f>
        <v>902.54760486099985</v>
      </c>
    </row>
    <row r="8" spans="2:14" x14ac:dyDescent="0.2">
      <c r="I8" cm="1">
        <f t="array" ref="I8">555*金价表[税后金价]</f>
        <v>142.72263157894736</v>
      </c>
      <c r="J8" cm="1">
        <f t="array" ref="J8">2888.8888*金价表[当前金价1w]</f>
        <v>705.75553384</v>
      </c>
      <c r="K8" cm="1">
        <f t="array" ref="K8">2888.8888*金价表[当前金价1w]</f>
        <v>705.75553384</v>
      </c>
    </row>
    <row r="12" spans="2:14" ht="28.5" x14ac:dyDescent="0.2">
      <c r="H12" s="3" t="s">
        <v>115</v>
      </c>
      <c r="I12" s="3" t="s">
        <v>125</v>
      </c>
      <c r="J12" s="3" t="s">
        <v>126</v>
      </c>
      <c r="K12" s="3" t="s">
        <v>130</v>
      </c>
      <c r="L12" s="3" t="s">
        <v>116</v>
      </c>
      <c r="M12" s="3" t="s">
        <v>118</v>
      </c>
      <c r="N12" s="3" t="s">
        <v>119</v>
      </c>
    </row>
    <row r="13" spans="2:14" x14ac:dyDescent="0.2">
      <c r="H13" s="2" t="s">
        <v>122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60.174947368421051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123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142.86535421052631</v>
      </c>
      <c r="M14" s="3">
        <v>1</v>
      </c>
      <c r="N14" s="3">
        <f>IFERROR((表16[[#This Row],[等价rmb]]-$L$13)/表16[[#This Row],[提升]],0)</f>
        <v>82.690406842105261</v>
      </c>
    </row>
    <row r="15" spans="2:14" x14ac:dyDescent="0.2">
      <c r="H15" s="2" t="s">
        <v>124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254.30056193684206</v>
      </c>
      <c r="M15" s="3">
        <v>2</v>
      </c>
      <c r="N15" s="3">
        <f>IFERROR((表16[[#This Row],[等价rmb]]-$L$13)/表16[[#This Row],[提升]],0)</f>
        <v>97.062807284210507</v>
      </c>
    </row>
    <row r="16" spans="2:14" x14ac:dyDescent="0.2">
      <c r="H16" s="2" t="s">
        <v>121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382.87950930526313</v>
      </c>
      <c r="M16" s="3">
        <v>3</v>
      </c>
      <c r="N16" s="3">
        <f>IFERROR((表16[[#This Row],[等价rmb]]-$L$13)/表16[[#This Row],[提升]],0)</f>
        <v>107.5681873122807</v>
      </c>
    </row>
    <row r="17" spans="8:20" x14ac:dyDescent="0.2">
      <c r="H17" s="2" t="s">
        <v>117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437.16842105263157</v>
      </c>
      <c r="M17">
        <v>4</v>
      </c>
      <c r="N17" s="3">
        <f>IFERROR((表16[[#This Row],[等价rmb]]-$L$13)/表16[[#This Row],[提升]],0)</f>
        <v>94.248368421052632</v>
      </c>
    </row>
    <row r="18" spans="8:20" x14ac:dyDescent="0.2">
      <c r="H18" s="2" t="s">
        <v>120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771.47368421052624</v>
      </c>
      <c r="M18">
        <v>5</v>
      </c>
      <c r="N18" s="3">
        <f>IFERROR((表16[[#This Row],[等价rmb]]-$L$13)/表16[[#This Row],[提升]],0)</f>
        <v>142.25974736842105</v>
      </c>
      <c r="Q18">
        <f>555.555+98</f>
        <v>653.55499999999995</v>
      </c>
      <c r="R18" s="1" cm="1">
        <f t="array" ref="R18">Q18*金价表[当前金价1w]</f>
        <v>159.66348649999998</v>
      </c>
    </row>
    <row r="19" spans="8:20" x14ac:dyDescent="0.2">
      <c r="H19" s="2" t="s">
        <v>129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768.61635141052625</v>
      </c>
      <c r="M19">
        <v>6</v>
      </c>
      <c r="N19" s="3">
        <f>IFERROR((表16[[#This Row],[等价rmb]]-$L$13)/表16[[#This Row],[提升]],0)</f>
        <v>118.07356734035086</v>
      </c>
    </row>
    <row r="20" spans="8:20" x14ac:dyDescent="0.2">
      <c r="H20" s="2" t="s">
        <v>141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2057.2631578947367</v>
      </c>
      <c r="M20">
        <v>7</v>
      </c>
      <c r="N20" s="3">
        <f>IFERROR((表16[[#This Row],[等价rmb]]-$L$13)/表16[[#This Row],[提升]],0)</f>
        <v>285.29831578947363</v>
      </c>
    </row>
    <row r="21" spans="8:20" x14ac:dyDescent="0.2">
      <c r="H21" s="2" t="s">
        <v>153</v>
      </c>
      <c r="I21" s="2">
        <v>2666</v>
      </c>
      <c r="J21" s="2">
        <f>1666+150*7</f>
        <v>2716</v>
      </c>
      <c r="K21" s="2">
        <f>IF(表16[[#This Row],[制作价格]]&gt;0,表16[[#This Row],[购买价格w]]*0.95-表16[[#This Row],[制作价格]],0)</f>
        <v>-183.30000000000018</v>
      </c>
      <c r="L21" cm="1">
        <f t="array" ref="L21">MIN(表16[[#This Row],[购买价格w]],表16[[#This Row],[制作价格]])*金价表[税后金价]</f>
        <v>685.58294736842095</v>
      </c>
      <c r="M21">
        <v>1</v>
      </c>
      <c r="N21" s="3">
        <f>IFERROR((表16[[#This Row],[等价rmb]]-$L$21)/表16[[#This Row],[提升]],0)</f>
        <v>0</v>
      </c>
    </row>
    <row r="22" spans="8:20" x14ac:dyDescent="0.2">
      <c r="H22" s="2" t="s">
        <v>154</v>
      </c>
      <c r="I22" s="2">
        <v>2888</v>
      </c>
      <c r="J22" s="2">
        <f>3333+150*7</f>
        <v>4383</v>
      </c>
      <c r="K22" s="2">
        <f>IF(表16[[#This Row],[制作价格]]&gt;0,表16[[#This Row],[购买价格w]]*0.95-表16[[#This Row],[制作价格]],0)</f>
        <v>-1639.4</v>
      </c>
      <c r="L22" cm="1">
        <f t="array" ref="L22">MIN(表16[[#This Row],[购买价格w]],表16[[#This Row],[制作价格]])*金价表[税后金价]</f>
        <v>742.67199999999991</v>
      </c>
      <c r="M22">
        <v>1</v>
      </c>
      <c r="N22" s="3">
        <f>IFERROR((表16[[#This Row],[等价rmb]]-$L$21)/表16[[#This Row],[提升]],0)</f>
        <v>57.089052631578966</v>
      </c>
    </row>
    <row r="23" spans="8:20" x14ac:dyDescent="0.2">
      <c r="H23" s="2" t="s">
        <v>155</v>
      </c>
      <c r="I23" s="2">
        <v>7777</v>
      </c>
      <c r="J23" s="2">
        <f>9999+150*7</f>
        <v>11049</v>
      </c>
      <c r="K23" s="2">
        <f>IF(表16[[#This Row],[制作价格]]&gt;0,表16[[#This Row],[购买价格w]]*0.95-表16[[#This Row],[制作价格]],0)</f>
        <v>-3660.8500000000004</v>
      </c>
      <c r="L23" cm="1">
        <f t="array" ref="L23">MIN(表16[[#This Row],[购买价格w]],表16[[#This Row],[制作价格]])*金价表[税后金价]</f>
        <v>1999.916947368421</v>
      </c>
      <c r="N23" s="3"/>
    </row>
    <row r="24" spans="8:20" x14ac:dyDescent="0.2">
      <c r="H24" s="2" t="s">
        <v>156</v>
      </c>
      <c r="I24" s="2"/>
      <c r="J24" s="2">
        <f>4988.8888+49</f>
        <v>5037.8887999999997</v>
      </c>
      <c r="K24" s="2">
        <f>IF(表16[[#This Row],[制作价格]]&gt;0,表16[[#This Row],[购买价格w]]*0.95-表16[[#This Row],[制作价格]],0)</f>
        <v>-5037.8887999999997</v>
      </c>
      <c r="L24" cm="1">
        <f t="array" ref="L24">MIN(表16[[#This Row],[购买价格w]],表16[[#This Row],[制作价格]])*金价表[税后金价]</f>
        <v>1295.5328777263155</v>
      </c>
      <c r="M24">
        <v>2</v>
      </c>
      <c r="N24" s="3">
        <f>IFERROR((表16[[#This Row],[等价rmb]]-$L$21)/表16[[#This Row],[提升]],0)</f>
        <v>304.97496517894729</v>
      </c>
    </row>
    <row r="25" spans="8:20" x14ac:dyDescent="0.2">
      <c r="H25" s="2" t="s">
        <v>180</v>
      </c>
      <c r="I25" s="2"/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0</v>
      </c>
      <c r="M25">
        <v>3</v>
      </c>
      <c r="N25" s="3">
        <f>IFERROR((表16[[#This Row],[等价rmb]]-$L$21)/表16[[#This Row],[提升]],0)</f>
        <v>-228.52764912280699</v>
      </c>
      <c r="Q25" t="s">
        <v>147</v>
      </c>
      <c r="R25" t="s">
        <v>146</v>
      </c>
      <c r="S25" t="s">
        <v>150</v>
      </c>
    </row>
    <row r="26" spans="8:20" x14ac:dyDescent="0.2">
      <c r="H26" s="2" t="s">
        <v>181</v>
      </c>
      <c r="I26" s="2"/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0</v>
      </c>
      <c r="M26">
        <v>4</v>
      </c>
      <c r="N26" s="3">
        <f>IFERROR((表16[[#This Row],[等价rmb]]-$L$21)/表16[[#This Row],[提升]],0)</f>
        <v>-171.39573684210524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182</v>
      </c>
      <c r="I27" s="2"/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0</v>
      </c>
      <c r="M27">
        <v>5</v>
      </c>
      <c r="N27" s="3">
        <f>IFERROR((表16[[#This Row],[等价rmb]]-$L$21)/表16[[#This Row],[提升]],0)</f>
        <v>-137.1165894736842</v>
      </c>
      <c r="R27" s="1">
        <f>SUM(Q26:S26)</f>
        <v>321</v>
      </c>
      <c r="T27" cm="1">
        <f t="array" ref="T27">R27/金价表[税后金价]</f>
        <v>1248.2603356528859</v>
      </c>
    </row>
    <row r="28" spans="8:20" x14ac:dyDescent="0.2">
      <c r="H28" s="2" t="s">
        <v>183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-97.940421052631564</v>
      </c>
    </row>
    <row r="29" spans="8:20" x14ac:dyDescent="0.2">
      <c r="H29" s="2" t="s">
        <v>184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-85.697868421052618</v>
      </c>
      <c r="Q29" t="s">
        <v>145</v>
      </c>
      <c r="R29">
        <f>4*140</f>
        <v>560</v>
      </c>
      <c r="S29" t="s">
        <v>149</v>
      </c>
    </row>
    <row r="30" spans="8:20" x14ac:dyDescent="0.2">
      <c r="H30" s="2" t="s">
        <v>185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-76.175883040935659</v>
      </c>
      <c r="Q30" t="s">
        <v>148</v>
      </c>
      <c r="R30" s="1">
        <f>L28-R29</f>
        <v>-560</v>
      </c>
    </row>
    <row r="31" spans="8:20" x14ac:dyDescent="0.2">
      <c r="H31" s="8" t="s">
        <v>127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60.689263157894729</v>
      </c>
    </row>
    <row r="32" spans="8:20" x14ac:dyDescent="0.2">
      <c r="H32" s="8" t="s">
        <v>128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99.262947368421038</v>
      </c>
      <c r="R32">
        <f>2200/0.35</f>
        <v>6285.7142857142862</v>
      </c>
    </row>
    <row r="33" spans="8:17" x14ac:dyDescent="0.2">
      <c r="H33" s="8" t="s">
        <v>131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29.315999999999999</v>
      </c>
    </row>
    <row r="34" spans="8:17" x14ac:dyDescent="0.2">
      <c r="H34" s="8" t="s">
        <v>132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83.833473684210517</v>
      </c>
    </row>
    <row r="41" spans="8:17" x14ac:dyDescent="0.2">
      <c r="Q41">
        <f>34+1.2*7</f>
        <v>42.4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tabSelected="1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RowHeight="14.25" x14ac:dyDescent="0.2"/>
  <cols>
    <col min="2" max="2" width="10.25" customWidth="1"/>
    <col min="5" max="5" width="17.25" customWidth="1"/>
    <col min="6" max="6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160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158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142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143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5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152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5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157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5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159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5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178</v>
      </c>
      <c r="F52" s="2">
        <v>70</v>
      </c>
      <c r="G52" s="2">
        <v>878183</v>
      </c>
      <c r="H52" s="2">
        <v>80</v>
      </c>
      <c r="I52" s="2">
        <v>0</v>
      </c>
      <c r="J5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60*24*4.1</f>
        <v>5903.9999999999991</v>
      </c>
      <c r="L5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26.075022357723583</v>
      </c>
    </row>
    <row r="53" spans="1:15" x14ac:dyDescent="0.2">
      <c r="A53">
        <v>51</v>
      </c>
      <c r="B53" s="4">
        <v>748608</v>
      </c>
      <c r="C53">
        <f>经验表[[#This Row],[升级所需]]/10000</f>
        <v>74.860799999999998</v>
      </c>
      <c r="E53" s="8" t="s">
        <v>186</v>
      </c>
      <c r="F53" s="2">
        <v>70</v>
      </c>
      <c r="G53" s="2">
        <v>878183</v>
      </c>
      <c r="H53" s="2">
        <v>71</v>
      </c>
      <c r="I53" s="2">
        <v>1444048</v>
      </c>
      <c r="J5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262.87900000000002</v>
      </c>
      <c r="K53">
        <f>10*60</f>
        <v>600</v>
      </c>
      <c r="L5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26.2879</v>
      </c>
    </row>
    <row r="54" spans="1:15" x14ac:dyDescent="0.2">
      <c r="A54">
        <v>52</v>
      </c>
      <c r="B54" s="4">
        <v>789631</v>
      </c>
      <c r="C54">
        <f>经验表[[#This Row],[升级所需]]/10000</f>
        <v>78.963099999999997</v>
      </c>
      <c r="E54" t="s">
        <v>179</v>
      </c>
      <c r="F54" s="2">
        <v>71</v>
      </c>
      <c r="G54" s="2">
        <v>1467499</v>
      </c>
      <c r="H54" s="2">
        <v>71</v>
      </c>
      <c r="I54" s="2">
        <v>1582500</v>
      </c>
      <c r="J54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11.5001</v>
      </c>
      <c r="K54">
        <v>31</v>
      </c>
      <c r="L54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22.258258064516131</v>
      </c>
    </row>
    <row r="55" spans="1:15" x14ac:dyDescent="0.2">
      <c r="A55">
        <v>53</v>
      </c>
      <c r="B55" s="4">
        <v>832902</v>
      </c>
      <c r="C55">
        <f>经验表[[#This Row],[升级所需]]/10000</f>
        <v>83.290199999999999</v>
      </c>
      <c r="E55" s="8" t="s">
        <v>187</v>
      </c>
      <c r="F55" s="2">
        <v>71</v>
      </c>
      <c r="G55" s="2">
        <v>1598626</v>
      </c>
      <c r="H55" s="2">
        <v>73</v>
      </c>
      <c r="I55" s="2">
        <v>0</v>
      </c>
      <c r="J55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287.25630000000001</v>
      </c>
      <c r="K55">
        <f>10*60</f>
        <v>600</v>
      </c>
      <c r="L55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28.725629999999999</v>
      </c>
    </row>
    <row r="56" spans="1:15" x14ac:dyDescent="0.2">
      <c r="A56">
        <v>54</v>
      </c>
      <c r="B56" s="4">
        <v>878545</v>
      </c>
      <c r="C56">
        <f>经验表[[#This Row],[升级所需]]/10000</f>
        <v>87.854500000000002</v>
      </c>
    </row>
    <row r="57" spans="1:15" x14ac:dyDescent="0.2">
      <c r="A57">
        <v>55</v>
      </c>
      <c r="B57" s="4">
        <v>926689</v>
      </c>
      <c r="C57">
        <f>经验表[[#This Row],[升级所需]]/10000</f>
        <v>92.668899999999994</v>
      </c>
      <c r="K57">
        <f>K52/60</f>
        <v>98.399999999999991</v>
      </c>
      <c r="L57">
        <f>K57*28</f>
        <v>2755.2</v>
      </c>
    </row>
    <row r="58" spans="1:15" x14ac:dyDescent="0.2">
      <c r="A58">
        <v>56</v>
      </c>
      <c r="B58" s="4">
        <v>977471</v>
      </c>
      <c r="C58">
        <f>经验表[[#This Row],[升级所需]]/10000</f>
        <v>97.747100000000003</v>
      </c>
    </row>
    <row r="59" spans="1:15" x14ac:dyDescent="0.2">
      <c r="A59">
        <v>57</v>
      </c>
      <c r="B59" s="4">
        <v>1031036</v>
      </c>
      <c r="C59">
        <f>经验表[[#This Row],[升级所需]]/10000</f>
        <v>103.1036</v>
      </c>
    </row>
    <row r="60" spans="1:15" x14ac:dyDescent="0.2">
      <c r="A60">
        <v>58</v>
      </c>
      <c r="B60" s="4">
        <v>1087536</v>
      </c>
      <c r="C60">
        <f>经验表[[#This Row],[升级所需]]/10000</f>
        <v>108.75360000000001</v>
      </c>
    </row>
    <row r="61" spans="1:15" x14ac:dyDescent="0.2">
      <c r="A61">
        <v>59</v>
      </c>
      <c r="B61" s="4">
        <v>1147132</v>
      </c>
      <c r="C61">
        <f>经验表[[#This Row],[升级所需]]/10000</f>
        <v>114.7132</v>
      </c>
    </row>
    <row r="62" spans="1:15" x14ac:dyDescent="0.2">
      <c r="A62">
        <v>60</v>
      </c>
      <c r="B62" s="4">
        <v>1209994</v>
      </c>
      <c r="C62">
        <f>经验表[[#This Row],[升级所需]]/10000</f>
        <v>120.99939999999999</v>
      </c>
    </row>
    <row r="63" spans="1:15" x14ac:dyDescent="0.2">
      <c r="A63">
        <v>61</v>
      </c>
      <c r="B63" s="4">
        <v>1276301</v>
      </c>
      <c r="C63">
        <f>经验表[[#This Row],[升级所需]]/10000</f>
        <v>127.6301</v>
      </c>
    </row>
    <row r="64" spans="1:15" x14ac:dyDescent="0.2">
      <c r="A64">
        <v>62</v>
      </c>
      <c r="B64" s="4">
        <v>1346242</v>
      </c>
      <c r="C64">
        <f>经验表[[#This Row],[升级所需]]/10000</f>
        <v>134.6242</v>
      </c>
    </row>
    <row r="65" spans="1:3" x14ac:dyDescent="0.2">
      <c r="A65">
        <v>63</v>
      </c>
      <c r="B65" s="4">
        <v>1420016</v>
      </c>
      <c r="C65">
        <f>经验表[[#This Row],[升级所需]]/10000</f>
        <v>142.0016</v>
      </c>
    </row>
    <row r="66" spans="1:3" x14ac:dyDescent="0.2">
      <c r="A66">
        <v>64</v>
      </c>
      <c r="B66" s="4">
        <v>1497832</v>
      </c>
      <c r="C66">
        <f>经验表[[#This Row],[升级所需]]/10000</f>
        <v>149.78319999999999</v>
      </c>
    </row>
    <row r="67" spans="1:3" x14ac:dyDescent="0.2">
      <c r="A67">
        <v>65</v>
      </c>
      <c r="B67" s="4">
        <v>1579913</v>
      </c>
      <c r="C67">
        <f>经验表[[#This Row],[升级所需]]/10000</f>
        <v>157.9913</v>
      </c>
    </row>
    <row r="68" spans="1:3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3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3" x14ac:dyDescent="0.2">
      <c r="A70">
        <v>68</v>
      </c>
      <c r="B70" s="4">
        <v>1854143</v>
      </c>
      <c r="C70">
        <f>经验表[[#This Row],[升级所需]]/10000</f>
        <v>185.4143</v>
      </c>
    </row>
    <row r="71" spans="1:3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3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3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3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3" x14ac:dyDescent="0.2">
      <c r="A75">
        <v>73</v>
      </c>
      <c r="B75" s="4">
        <v>2420993</v>
      </c>
      <c r="C75">
        <f>经验表[[#This Row],[升级所需]]/10000</f>
        <v>242.0993</v>
      </c>
    </row>
    <row r="76" spans="1:3" x14ac:dyDescent="0.2">
      <c r="A76">
        <v>74</v>
      </c>
      <c r="B76" s="4">
        <v>2553663</v>
      </c>
      <c r="C76">
        <f>经验表[[#This Row],[升级所需]]/10000</f>
        <v>255.3663</v>
      </c>
    </row>
    <row r="77" spans="1:3" x14ac:dyDescent="0.2">
      <c r="A77">
        <v>75</v>
      </c>
      <c r="B77" s="4">
        <v>2693603</v>
      </c>
      <c r="C77">
        <f>经验表[[#This Row],[升级所需]]/10000</f>
        <v>269.3603</v>
      </c>
    </row>
    <row r="78" spans="1:3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3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3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AC30"/>
  <sheetViews>
    <sheetView workbookViewId="0">
      <selection activeCell="D4" sqref="D4"/>
    </sheetView>
  </sheetViews>
  <sheetFormatPr defaultRowHeight="14.25" x14ac:dyDescent="0.2"/>
  <cols>
    <col min="3" max="3" width="10.25" customWidth="1"/>
  </cols>
  <sheetData>
    <row r="2" spans="2:29" x14ac:dyDescent="0.2">
      <c r="B2" t="s">
        <v>44</v>
      </c>
    </row>
    <row r="3" spans="2:29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29" x14ac:dyDescent="0.2">
      <c r="B4" s="2">
        <v>0.6</v>
      </c>
      <c r="C4" s="2">
        <v>5</v>
      </c>
      <c r="D4" s="2">
        <v>110</v>
      </c>
      <c r="E4" cm="1">
        <f t="array" ref="E4">卷轴参数[[#This Row],[卷拍卖行价w]]*金价表[税后金价]</f>
        <v>28.28736842105263</v>
      </c>
    </row>
    <row r="6" spans="2:29" x14ac:dyDescent="0.2">
      <c r="B6" t="s">
        <v>1</v>
      </c>
      <c r="C6" t="s">
        <v>3</v>
      </c>
      <c r="D6" t="s">
        <v>13</v>
      </c>
    </row>
    <row r="7" spans="2:29" x14ac:dyDescent="0.2">
      <c r="B7">
        <v>1</v>
      </c>
      <c r="C7" t="e" cm="1">
        <f t="array" ref="C7">1 - _xlfn.BINOM.DIST(卷轴参数[预期成功]-1, 表1[[#This Row],[次数]], 卷轴参数[卷概率], TRUE)</f>
        <v>#NUM!</v>
      </c>
      <c r="D7" t="e" cm="1">
        <f t="array" ref="D7">1/表1[[#This Row],[几率]]*卷轴参数[卷价值]</f>
        <v>#NUM!</v>
      </c>
    </row>
    <row r="8" spans="2:29" x14ac:dyDescent="0.2">
      <c r="B8">
        <v>2</v>
      </c>
      <c r="C8" t="e" cm="1">
        <f t="array" ref="C8">1 - _xlfn.BINOM.DIST(卷轴参数[预期成功]-1, 表1[[#This Row],[次数]], 卷轴参数[卷概率], TRUE)</f>
        <v>#NUM!</v>
      </c>
      <c r="D8" t="e" cm="1">
        <f t="array" ref="D8">1/表1[[#This Row],[几率]]*卷轴参数[卷价值]</f>
        <v>#NUM!</v>
      </c>
    </row>
    <row r="9" spans="2:29" x14ac:dyDescent="0.2">
      <c r="B9">
        <v>3</v>
      </c>
      <c r="C9" t="e" cm="1">
        <f t="array" ref="C9">1 - _xlfn.BINOM.DIST(卷轴参数[预期成功]-1, 表1[[#This Row],[次数]], 卷轴参数[卷概率], TRUE)</f>
        <v>#NUM!</v>
      </c>
      <c r="D9" t="e" cm="1">
        <f t="array" ref="D9">1/表1[[#This Row],[几率]]*卷轴参数[卷价值]</f>
        <v>#NUM!</v>
      </c>
    </row>
    <row r="10" spans="2:29" x14ac:dyDescent="0.2">
      <c r="B10">
        <v>4</v>
      </c>
      <c r="C10" cm="1">
        <f t="array" ref="C10">1 - _xlfn.BINOM.DIST(卷轴参数[预期成功]-1, 表1[[#This Row],[次数]], 卷轴参数[卷概率], TRUE)</f>
        <v>0</v>
      </c>
      <c r="D10" t="e" cm="1">
        <f t="array" ref="D10">1/表1[[#This Row],[几率]]*卷轴参数[卷价值]</f>
        <v>#DIV/0!</v>
      </c>
    </row>
    <row r="11" spans="2:29" x14ac:dyDescent="0.2">
      <c r="B11">
        <v>5</v>
      </c>
      <c r="C11" cm="1">
        <f t="array" ref="C11">1 - _xlfn.BINOM.DIST(卷轴参数[预期成功]-1, 表1[[#This Row],[次数]], 卷轴参数[卷概率], TRUE)</f>
        <v>7.7760000000000051E-2</v>
      </c>
      <c r="D11" cm="1">
        <f t="array" ref="D11">1/表1[[#This Row],[几率]]*卷轴参数[卷价值]</f>
        <v>363.77788607320741</v>
      </c>
    </row>
    <row r="12" spans="2:29" x14ac:dyDescent="0.2">
      <c r="B12">
        <v>6</v>
      </c>
      <c r="C12" cm="1">
        <f t="array" ref="C12">1 - _xlfn.BINOM.DIST(卷轴参数[预期成功]-1, 表1[[#This Row],[次数]], 卷轴参数[卷概率], TRUE)</f>
        <v>0.23327999999999993</v>
      </c>
      <c r="D12" cm="1">
        <f t="array" ref="D12">1/表1[[#This Row],[几率]]*卷轴参数[卷价值]</f>
        <v>121.25929535773594</v>
      </c>
    </row>
    <row r="13" spans="2:29" x14ac:dyDescent="0.2">
      <c r="B13">
        <v>7</v>
      </c>
      <c r="C13" cm="1">
        <f t="array" ref="C13">1 - _xlfn.BINOM.DIST(卷轴参数[预期成功]-1, 表1[[#This Row],[次数]], 卷轴参数[卷概率], TRUE)</f>
        <v>0.41990399999999983</v>
      </c>
      <c r="D13" cm="1">
        <f t="array" ref="D13">1/表1[[#This Row],[几率]]*卷轴参数[卷价值]</f>
        <v>67.366275198742187</v>
      </c>
    </row>
    <row r="14" spans="2:29" x14ac:dyDescent="0.2">
      <c r="B14">
        <v>8</v>
      </c>
      <c r="C14" cm="1">
        <f t="array" ref="C14">1 - _xlfn.BINOM.DIST(卷轴参数[预期成功]-1, 表1[[#This Row],[次数]], 卷轴参数[卷概率], TRUE)</f>
        <v>0.5940863999999999</v>
      </c>
      <c r="D14" cm="1">
        <f t="array" ref="D14">1/表1[[#This Row],[几率]]*卷轴参数[卷价值]</f>
        <v>47.614906554084783</v>
      </c>
    </row>
    <row r="15" spans="2:29" x14ac:dyDescent="0.2">
      <c r="B15">
        <v>9</v>
      </c>
      <c r="C15" cm="1">
        <f t="array" ref="C15">1 - _xlfn.BINOM.DIST(卷轴参数[预期成功]-1, 表1[[#This Row],[次数]], 卷轴参数[卷概率], TRUE)</f>
        <v>0.73343231999999992</v>
      </c>
      <c r="D15" cm="1">
        <f t="array" ref="D15">1/表1[[#This Row],[几率]]*卷轴参数[卷价值]</f>
        <v>38.5684781672188</v>
      </c>
      <c r="Q15" t="s">
        <v>0</v>
      </c>
      <c r="R15" t="s">
        <v>38</v>
      </c>
      <c r="S15" t="s">
        <v>36</v>
      </c>
      <c r="T15" t="s">
        <v>37</v>
      </c>
      <c r="U15" t="s">
        <v>27</v>
      </c>
      <c r="V15" t="s">
        <v>28</v>
      </c>
      <c r="W15" t="s">
        <v>53</v>
      </c>
      <c r="X15" t="s">
        <v>39</v>
      </c>
      <c r="Y15" t="s">
        <v>41</v>
      </c>
      <c r="Z15" t="s">
        <v>40</v>
      </c>
      <c r="AA15" t="s">
        <v>55</v>
      </c>
      <c r="AB15" t="s">
        <v>54</v>
      </c>
      <c r="AC15" t="s">
        <v>43</v>
      </c>
    </row>
    <row r="16" spans="2:29" x14ac:dyDescent="0.2">
      <c r="B16">
        <v>10</v>
      </c>
      <c r="C16" cm="1">
        <f t="array" ref="C16">1 - _xlfn.BINOM.DIST(卷轴参数[预期成功]-1, 表1[[#This Row],[次数]], 卷轴参数[卷概率], TRUE)</f>
        <v>0.83376138239999997</v>
      </c>
      <c r="D16" cm="1">
        <f t="array" ref="D16">1/表1[[#This Row],[几率]]*卷轴参数[卷价值]</f>
        <v>33.927414987279498</v>
      </c>
      <c r="Q16" s="6">
        <v>0.1</v>
      </c>
      <c r="R16" s="2">
        <v>5</v>
      </c>
      <c r="S16" s="2">
        <v>3</v>
      </c>
      <c r="T16" s="2">
        <v>1</v>
      </c>
      <c r="U16" s="2">
        <v>19</v>
      </c>
      <c r="V16" cm="1">
        <f t="array" ref="V16">表7[[#This Row],[单价]]*金价表[税后金价]</f>
        <v>4.8859999999999992</v>
      </c>
      <c r="W16">
        <f>表7[[#This Row],[rmb]]
/(表7[[#This Row],[卷概率]]*表7[[#This Row],[敏捷]])</f>
        <v>9.7719999999999985</v>
      </c>
      <c r="X16" s="2">
        <v>6</v>
      </c>
      <c r="Y16" s="2">
        <v>3</v>
      </c>
      <c r="Z16">
        <f>表7[[#This Row],[成功数量]]*表7[[#This Row],[敏捷]]</f>
        <v>15</v>
      </c>
      <c r="AA16">
        <f>表7[[#This Row],[模拟数量]]*表7[[#This Row],[rmb]]</f>
        <v>29.315999999999995</v>
      </c>
      <c r="AB16">
        <f>表7[[#This Row],[总敏捷]]*表7[[#This Row],[每点敏捷价格]]</f>
        <v>146.57999999999998</v>
      </c>
      <c r="AC16">
        <f>表7[[#This Row],[成本造价]]
/IFERROR((1 - _xlfn.BINOM.DIST(表7[[#This Row],[成功数量]]-1, 表7[[#This Row],[模拟数量]], 表7[[#This Row],[卷概率]], TRUE)),0)</f>
        <v>1849.5899053627722</v>
      </c>
    </row>
    <row r="17" spans="17:29" x14ac:dyDescent="0.2">
      <c r="Q17" s="6">
        <v>0.6</v>
      </c>
      <c r="R17" s="2">
        <v>2</v>
      </c>
      <c r="S17" s="2">
        <v>1</v>
      </c>
      <c r="T17" s="2"/>
      <c r="U17" s="2">
        <v>137</v>
      </c>
      <c r="V17" cm="1">
        <f t="array" ref="V17">表7[[#This Row],[单价]]*金价表[税后金价]</f>
        <v>35.230631578947367</v>
      </c>
      <c r="W17">
        <f>表7[[#This Row],[rmb]]
/(表7[[#This Row],[卷概率]]*表7[[#This Row],[敏捷]])</f>
        <v>29.358859649122806</v>
      </c>
      <c r="X17" s="2">
        <v>0</v>
      </c>
      <c r="Y17" s="2">
        <f>表7[[#This Row],[模拟数量]]</f>
        <v>0</v>
      </c>
      <c r="Z17">
        <f>表7[[#This Row],[成功数量]]*表7[[#This Row],[敏捷]]</f>
        <v>0</v>
      </c>
      <c r="AA17">
        <f>表7[[#This Row],[模拟数量]]*表7[[#This Row],[rmb]]</f>
        <v>0</v>
      </c>
      <c r="AB17">
        <f>表7[[#This Row],[总敏捷]]*表7[[#This Row],[每点敏捷价格]]</f>
        <v>0</v>
      </c>
      <c r="AC17" t="e">
        <f>表7[[#This Row],[成本造价]]
/IFERROR((1 - _xlfn.BINOM.DIST(表7[[#This Row],[成功数量]]-1, 表7[[#This Row],[模拟数量]], 表7[[#This Row],[卷概率]], TRUE)),0)</f>
        <v>#DIV/0!</v>
      </c>
    </row>
    <row r="18" spans="17:29" x14ac:dyDescent="0.2">
      <c r="Q18" s="6">
        <v>1</v>
      </c>
      <c r="R18" s="2">
        <v>1</v>
      </c>
      <c r="S18" s="2"/>
      <c r="T18" s="2"/>
      <c r="U18">
        <v>3.5</v>
      </c>
      <c r="V18" cm="1">
        <f t="array" ref="V18">表7[[#This Row],[单价]]*金价表[税后金价]</f>
        <v>0.90005263157894733</v>
      </c>
      <c r="W18">
        <f>表7[[#This Row],[rmb]]
/(表7[[#This Row],[卷概率]]*表7[[#This Row],[敏捷]])</f>
        <v>0.90005263157894733</v>
      </c>
      <c r="X18" s="2">
        <v>4</v>
      </c>
      <c r="Y18">
        <f>表7[[#This Row],[模拟数量]]</f>
        <v>4</v>
      </c>
      <c r="Z18">
        <f>表7[[#This Row],[成功数量]]*表7[[#This Row],[敏捷]]</f>
        <v>4</v>
      </c>
      <c r="AA18">
        <f>表7[[#This Row],[模拟数量]]*表7[[#This Row],[rmb]]</f>
        <v>3.6002105263157893</v>
      </c>
      <c r="AB18">
        <f>表7[[#This Row],[总敏捷]]*表7[[#This Row],[每点敏捷价格]]</f>
        <v>3.6002105263157893</v>
      </c>
      <c r="AC18">
        <f>表7[[#This Row],[成本造价]]
/IFERROR((1 - _xlfn.BINOM.DIST(表7[[#This Row],[成功数量]]-1, 表7[[#This Row],[模拟数量]], 表7[[#This Row],[卷概率]], TRUE)),0)</f>
        <v>3.6002105263157893</v>
      </c>
    </row>
    <row r="19" spans="17:29" x14ac:dyDescent="0.2">
      <c r="U19" s="2"/>
      <c r="X19">
        <f>SUM(表7[模拟数量])</f>
        <v>10</v>
      </c>
      <c r="Z19">
        <f>SUM(表7[总敏捷])</f>
        <v>19</v>
      </c>
      <c r="AA19">
        <f>SUM(表7[成本造价])</f>
        <v>32.916210526315787</v>
      </c>
      <c r="AB19">
        <f>SUM(表7[总价格])</f>
        <v>150.18021052631576</v>
      </c>
      <c r="AC19" t="e">
        <f>SUM(表7[风险造价])</f>
        <v>#DIV/0!</v>
      </c>
    </row>
    <row r="26" spans="17:29" x14ac:dyDescent="0.2">
      <c r="Q26" t="s">
        <v>0</v>
      </c>
      <c r="R26" t="s">
        <v>38</v>
      </c>
      <c r="S26" t="s">
        <v>36</v>
      </c>
      <c r="T26" t="s">
        <v>37</v>
      </c>
      <c r="U26" t="s">
        <v>27</v>
      </c>
      <c r="V26" t="s">
        <v>28</v>
      </c>
      <c r="W26" t="s">
        <v>35</v>
      </c>
      <c r="X26" t="s">
        <v>39</v>
      </c>
      <c r="Y26" t="s">
        <v>41</v>
      </c>
      <c r="Z26" t="s">
        <v>40</v>
      </c>
      <c r="AA26" t="s">
        <v>42</v>
      </c>
      <c r="AB26" t="s">
        <v>43</v>
      </c>
    </row>
    <row r="27" spans="17:29" x14ac:dyDescent="0.2">
      <c r="Q27" s="6">
        <v>0.1</v>
      </c>
      <c r="R27" s="2">
        <v>5</v>
      </c>
      <c r="S27" s="2">
        <v>3</v>
      </c>
      <c r="T27" s="2">
        <v>1</v>
      </c>
      <c r="U27" s="2">
        <v>19</v>
      </c>
      <c r="V27" cm="1">
        <f t="array" ref="V27">表7_9[[#This Row],[单价]]*金价表[税后金价]</f>
        <v>4.8859999999999992</v>
      </c>
      <c r="W27">
        <f>表7_9[[#This Row],[rmb]]
/(表7_9[[#This Row],[卷概率]]*表7_9[[#This Row],[敏捷]])</f>
        <v>9.7719999999999985</v>
      </c>
      <c r="X27" s="2">
        <v>7</v>
      </c>
      <c r="Y27" s="2">
        <v>3</v>
      </c>
      <c r="Z27">
        <f>表7_9[[#This Row],[成功数量]]*表7_9[[#This Row],[敏捷]]</f>
        <v>15</v>
      </c>
      <c r="AA27">
        <f>表7_9[[#This Row],[模拟数量]]*表7_9[[#This Row],[rmb]]</f>
        <v>34.201999999999998</v>
      </c>
      <c r="AB27">
        <f>IFERROR(1/(1 - _xlfn.BINOM.DIST(表7_9[[#This Row],[成功数量]]-1, 表7_9[[#This Row],[模拟数量]], 表7_9[[#This Row],[卷概率]], TRUE)),0)
*表7_9[[#This Row],[敏捷价格]]</f>
        <v>380.35926279119576</v>
      </c>
    </row>
    <row r="28" spans="17:29" x14ac:dyDescent="0.2">
      <c r="Q28" s="6">
        <v>0.6</v>
      </c>
      <c r="R28" s="2">
        <v>2</v>
      </c>
      <c r="S28" s="2">
        <v>1</v>
      </c>
      <c r="T28" s="2"/>
      <c r="U28" s="2">
        <v>137</v>
      </c>
      <c r="V28" cm="1">
        <f t="array" ref="V28">表7_9[[#This Row],[单价]]*金价表[税后金价]</f>
        <v>35.230631578947367</v>
      </c>
      <c r="W28">
        <f>表7_9[[#This Row],[rmb]]
/(表7_9[[#This Row],[卷概率]]*表7_9[[#This Row],[敏捷]])</f>
        <v>29.358859649122806</v>
      </c>
      <c r="X28" s="2">
        <v>3</v>
      </c>
      <c r="Y28" s="2">
        <v>3</v>
      </c>
      <c r="Z28">
        <f>表7_9[[#This Row],[成功数量]]*表7_9[[#This Row],[敏捷]]</f>
        <v>6</v>
      </c>
      <c r="AA28">
        <f>表7_9[[#This Row],[模拟数量]]*表7_9[[#This Row],[rmb]]</f>
        <v>105.6918947368421</v>
      </c>
      <c r="AB28">
        <f>IFERROR(1/(1 - _xlfn.BINOM.DIST(表7_9[[#This Row],[成功数量]]-1, 表7_9[[#This Row],[模拟数量]], 表7_9[[#This Row],[卷概率]], TRUE)),0)
*表7_9[[#This Row],[敏捷价格]]</f>
        <v>135.92064652371673</v>
      </c>
    </row>
    <row r="29" spans="17:29" x14ac:dyDescent="0.2">
      <c r="Q29" s="6">
        <v>1</v>
      </c>
      <c r="R29" s="2">
        <v>1</v>
      </c>
      <c r="S29" s="2"/>
      <c r="T29" s="2"/>
      <c r="U29">
        <v>3.5</v>
      </c>
      <c r="V29" cm="1">
        <f t="array" ref="V29">表7_9[[#This Row],[单价]]*金价表[税后金价]</f>
        <v>0.90005263157894733</v>
      </c>
      <c r="W29">
        <f>表7_9[[#This Row],[rmb]]
/(表7_9[[#This Row],[卷概率]]*表7_9[[#This Row],[敏捷]])</f>
        <v>0.90005263157894733</v>
      </c>
      <c r="X29" s="2">
        <v>0</v>
      </c>
      <c r="Y29">
        <f>表7_9[[#This Row],[模拟数量]]</f>
        <v>0</v>
      </c>
      <c r="Z29">
        <f>表7_9[[#This Row],[成功数量]]*表7_9[[#This Row],[敏捷]]</f>
        <v>0</v>
      </c>
      <c r="AA29">
        <f>表7_9[[#This Row],[模拟数量]]*表7_9[[#This Row],[rmb]]</f>
        <v>0</v>
      </c>
      <c r="AB29">
        <f>IFERROR(1/(1 - _xlfn.BINOM.DIST(表7_9[[#This Row],[成功数量]]-1, 表7_9[[#This Row],[模拟数量]], 表7_9[[#This Row],[卷概率]], TRUE)),0)
*表7_9[[#This Row],[敏捷价格]]</f>
        <v>0</v>
      </c>
    </row>
    <row r="30" spans="17:29" x14ac:dyDescent="0.2">
      <c r="U30" s="2"/>
      <c r="X30">
        <f>SUM(表7_9[模拟数量])</f>
        <v>10</v>
      </c>
      <c r="Z30">
        <f>SUM(表7_9[总敏捷])</f>
        <v>21</v>
      </c>
      <c r="AA30">
        <f>SUM(表7_9[造价])</f>
        <v>139.8938947368421</v>
      </c>
      <c r="AB30">
        <f>SUM(表7_9[风险造价])</f>
        <v>516.27990931491252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W46"/>
  <sheetViews>
    <sheetView topLeftCell="A4" workbookViewId="0">
      <selection activeCell="F51" sqref="F51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7" width="13.5" customWidth="1"/>
    <col min="18" max="18" width="13.875" customWidth="1"/>
    <col min="19" max="19" width="13.5" customWidth="1"/>
    <col min="20" max="21" width="12.5" customWidth="1"/>
    <col min="22" max="22" width="16.625" customWidth="1"/>
    <col min="23" max="23" width="14.875" customWidth="1"/>
  </cols>
  <sheetData>
    <row r="2" spans="2:11" x14ac:dyDescent="0.2">
      <c r="B2" t="s">
        <v>59</v>
      </c>
      <c r="J2" t="s">
        <v>60</v>
      </c>
    </row>
    <row r="3" spans="2:11" x14ac:dyDescent="0.2">
      <c r="B3" t="s">
        <v>61</v>
      </c>
      <c r="J3" t="s">
        <v>62</v>
      </c>
    </row>
    <row r="4" spans="2:11" x14ac:dyDescent="0.2">
      <c r="J4" t="s">
        <v>63</v>
      </c>
    </row>
    <row r="5" spans="2:11" x14ac:dyDescent="0.2">
      <c r="J5" t="s">
        <v>64</v>
      </c>
    </row>
    <row r="6" spans="2:11" x14ac:dyDescent="0.2">
      <c r="J6" t="s">
        <v>65</v>
      </c>
    </row>
    <row r="7" spans="2:11" x14ac:dyDescent="0.2">
      <c r="D7" t="s">
        <v>66</v>
      </c>
    </row>
    <row r="8" spans="2:11" ht="28.5" x14ac:dyDescent="0.2">
      <c r="D8" s="3" t="s">
        <v>107</v>
      </c>
      <c r="E8" s="3" t="s">
        <v>166</v>
      </c>
      <c r="F8" s="3" t="s">
        <v>167</v>
      </c>
      <c r="G8" s="3" t="s">
        <v>67</v>
      </c>
      <c r="H8" s="3" t="s">
        <v>68</v>
      </c>
      <c r="I8" s="3" t="s">
        <v>89</v>
      </c>
      <c r="J8" s="3" t="s">
        <v>92</v>
      </c>
      <c r="K8" s="3" t="s">
        <v>93</v>
      </c>
    </row>
    <row r="9" spans="2:11" x14ac:dyDescent="0.2">
      <c r="D9">
        <v>0.6</v>
      </c>
      <c r="E9">
        <v>3.6</v>
      </c>
      <c r="F9">
        <v>1</v>
      </c>
      <c r="G9">
        <v>5</v>
      </c>
      <c r="H9">
        <v>0.54</v>
      </c>
      <c r="I9">
        <v>1.5</v>
      </c>
      <c r="J9">
        <v>1</v>
      </c>
      <c r="K9">
        <v>0.5</v>
      </c>
    </row>
    <row r="11" spans="2:11" x14ac:dyDescent="0.2">
      <c r="D11" t="s">
        <v>99</v>
      </c>
    </row>
    <row r="12" spans="2:11" x14ac:dyDescent="0.2">
      <c r="D12" t="s">
        <v>106</v>
      </c>
      <c r="E12" t="s">
        <v>98</v>
      </c>
      <c r="F12" t="s">
        <v>100</v>
      </c>
      <c r="G12" t="s">
        <v>101</v>
      </c>
    </row>
    <row r="13" spans="2:11" x14ac:dyDescent="0.2">
      <c r="D13">
        <v>-10</v>
      </c>
      <c r="E13">
        <v>420</v>
      </c>
      <c r="F13">
        <v>0.6</v>
      </c>
      <c r="G13">
        <v>0.5</v>
      </c>
    </row>
    <row r="16" spans="2:11" x14ac:dyDescent="0.2">
      <c r="D16" t="s">
        <v>69</v>
      </c>
    </row>
    <row r="17" spans="4:23" x14ac:dyDescent="0.2">
      <c r="D17" t="s">
        <v>70</v>
      </c>
      <c r="E17" t="s">
        <v>71</v>
      </c>
      <c r="F17" t="s">
        <v>72</v>
      </c>
      <c r="G17" t="s">
        <v>73</v>
      </c>
    </row>
    <row r="18" spans="4:23" x14ac:dyDescent="0.2">
      <c r="D18">
        <v>6</v>
      </c>
      <c r="E18">
        <v>83</v>
      </c>
      <c r="F18">
        <v>6</v>
      </c>
      <c r="G18">
        <v>204</v>
      </c>
    </row>
    <row r="20" spans="4:23" x14ac:dyDescent="0.2">
      <c r="L20" t="s">
        <v>74</v>
      </c>
    </row>
    <row r="22" spans="4:23" x14ac:dyDescent="0.2">
      <c r="L22" t="s">
        <v>75</v>
      </c>
    </row>
    <row r="25" spans="4:23" x14ac:dyDescent="0.2">
      <c r="D25" t="s">
        <v>76</v>
      </c>
    </row>
    <row r="26" spans="4:23" x14ac:dyDescent="0.2">
      <c r="D26" t="s">
        <v>77</v>
      </c>
      <c r="E26" t="s">
        <v>78</v>
      </c>
    </row>
    <row r="27" spans="4:23" x14ac:dyDescent="0.2">
      <c r="D27" t="s">
        <v>79</v>
      </c>
      <c r="E27">
        <v>41</v>
      </c>
    </row>
    <row r="28" spans="4:23" x14ac:dyDescent="0.2">
      <c r="D28" t="s">
        <v>80</v>
      </c>
      <c r="E28">
        <v>23</v>
      </c>
    </row>
    <row r="29" spans="4:23" x14ac:dyDescent="0.2">
      <c r="D29" t="s">
        <v>81</v>
      </c>
    </row>
    <row r="30" spans="4:23" x14ac:dyDescent="0.2">
      <c r="D30" t="s">
        <v>82</v>
      </c>
    </row>
    <row r="31" spans="4:23" x14ac:dyDescent="0.2">
      <c r="D31" t="s">
        <v>83</v>
      </c>
    </row>
    <row r="32" spans="4:23" x14ac:dyDescent="0.2">
      <c r="D32" t="s">
        <v>84</v>
      </c>
      <c r="E32">
        <f>SUM(攻击表[值])</f>
        <v>64</v>
      </c>
      <c r="K32" t="s">
        <v>111</v>
      </c>
      <c r="L32" t="s">
        <v>140</v>
      </c>
      <c r="M32" t="s">
        <v>139</v>
      </c>
      <c r="N32" t="s">
        <v>110</v>
      </c>
      <c r="O32" t="s">
        <v>38</v>
      </c>
      <c r="P32" t="s">
        <v>164</v>
      </c>
      <c r="Q32" t="s">
        <v>165</v>
      </c>
      <c r="R32" t="s">
        <v>108</v>
      </c>
      <c r="S32" t="s">
        <v>109</v>
      </c>
      <c r="T32" t="s">
        <v>96</v>
      </c>
      <c r="U32" t="s">
        <v>94</v>
      </c>
      <c r="V32" t="s">
        <v>102</v>
      </c>
      <c r="W32" t="s">
        <v>104</v>
      </c>
    </row>
    <row r="33" spans="4:23" x14ac:dyDescent="0.2">
      <c r="K33" s="8" t="s">
        <v>112</v>
      </c>
      <c r="L33" s="8">
        <v>0</v>
      </c>
      <c r="M33" s="2">
        <f>攻击表[[#Totals],[值]]+表15[[#This Row],[额外攻击]]</f>
        <v>64</v>
      </c>
      <c r="N33" s="2">
        <v>305</v>
      </c>
      <c r="O33" s="2">
        <v>105</v>
      </c>
      <c r="P33" cm="1">
        <f t="array" ref="P33">表15[[#This Row],[攻击]]
*(
 常量表[面板主属性系数]*表15[[#This Row],[运气]]
 +常量表[面板副属性系数]*SUM(属性表[力量],表15[[#This Row],[敏捷]])
)/100</f>
        <v>773.76</v>
      </c>
      <c r="Q33" cm="1">
        <f t="array" ref="Q33">表15[[#This Row],[攻击]]
*(
 常量表[面板主属性系数]*表15[[#This Row],[运气]]*常量表[熟练度系数]
 +常量表[面板副属性系数]*SUM(属性表[力量],表15[[#This Row],[敏捷]])
)/100</f>
        <v>450.50880000000006</v>
      </c>
      <c r="R33" cm="1">
        <f t="array" ref="R33">表15[[#This Row],[攻击]]
*(
 常量表[主属性系数]*表15[[#This Row],[运气]]
)/100</f>
        <v>976</v>
      </c>
      <c r="S33" cm="1">
        <f t="array" ref="S33">表15[[#This Row],[攻击]]
*(
 0.5*常量表[主属性系数]*属性表[运气]
)/100</f>
        <v>326.39999999999998</v>
      </c>
      <c r="T33" cm="1">
        <f t="array" ref="T33">表15[[#This Row],[攻击max]]*(常量表[技能倍率]+常量表[暴击倍率])</f>
        <v>2440</v>
      </c>
      <c r="U33" cm="1">
        <f t="array" ref="U33">表15[[#This Row],[攻击min]]*(常量表[技能倍率]+常量表[暴击倍率])</f>
        <v>816</v>
      </c>
      <c r="V33" s="1" cm="1">
        <f t="array" ref="V33">表15[[#This Row],[暴击伤害max]]*(1+0.01*怪物参数[等级差])-怪物参数[怪物防御]*怪物参数[max系数]</f>
        <v>1986</v>
      </c>
      <c r="W33" s="1" cm="1">
        <f t="array" ref="W33">表15[[#This Row],[暴击伤害min]]*(1+0.01*怪物参数[等级差])-怪物参数[怪物防御]*怪物参数[min系数]</f>
        <v>482.4</v>
      </c>
    </row>
    <row r="34" spans="4:23" x14ac:dyDescent="0.2">
      <c r="K34" s="8" t="s">
        <v>114</v>
      </c>
      <c r="L34" s="8">
        <v>1</v>
      </c>
      <c r="M34" s="2">
        <f>攻击表[[#Totals],[值]]+表15[[#This Row],[额外攻击]]</f>
        <v>65</v>
      </c>
      <c r="N34" s="2">
        <v>305</v>
      </c>
      <c r="O34" s="2">
        <v>105</v>
      </c>
      <c r="P34" cm="1">
        <f t="array" ref="P34">表15[[#This Row],[攻击]]
*(
 常量表[面板主属性系数]*表15[[#This Row],[运气]]
 +常量表[面板副属性系数]*SUM(属性表[力量],表15[[#This Row],[敏捷]])
)/100</f>
        <v>785.85</v>
      </c>
      <c r="Q34" cm="1">
        <f t="array" ref="Q34">表15[[#This Row],[攻击]]
*(
 常量表[面板主属性系数]*表15[[#This Row],[运气]]*常量表[熟练度系数]
 +常量表[面板副属性系数]*SUM(属性表[力量],表15[[#This Row],[敏捷]])
)/100</f>
        <v>457.548</v>
      </c>
      <c r="R34" cm="1">
        <f t="array" ref="R34">表15[[#This Row],[攻击]]
*(
 常量表[主属性系数]*表15[[#This Row],[运气]]
)/100</f>
        <v>991.25</v>
      </c>
      <c r="S34" cm="1">
        <f t="array" ref="S34">表15[[#This Row],[攻击]]
*(
 0.5*常量表[主属性系数]*属性表[运气]
)/100</f>
        <v>331.5</v>
      </c>
      <c r="T34" cm="1">
        <f t="array" ref="T34">表15[[#This Row],[攻击max]]*(常量表[技能倍率]+常量表[暴击倍率])</f>
        <v>2478.125</v>
      </c>
      <c r="U34" cm="1">
        <f t="array" ref="U34">表15[[#This Row],[攻击min]]*(常量表[技能倍率]+常量表[暴击倍率])</f>
        <v>828.75</v>
      </c>
      <c r="V34" s="1" cm="1">
        <f t="array" ref="V34">表15[[#This Row],[暴击伤害max]]*(1+0.01*怪物参数[等级差])-怪物参数[怪物防御]*怪物参数[max系数]</f>
        <v>2020.3125</v>
      </c>
      <c r="W34" s="1" cm="1">
        <f t="array" ref="W34">表15[[#This Row],[暴击伤害min]]*(1+0.01*怪物参数[等级差])-怪物参数[怪物防御]*怪物参数[min系数]</f>
        <v>493.875</v>
      </c>
    </row>
    <row r="35" spans="4:23" x14ac:dyDescent="0.2">
      <c r="K35" s="8" t="s">
        <v>113</v>
      </c>
      <c r="L35" s="8">
        <v>2</v>
      </c>
      <c r="M35" s="2">
        <f>攻击表[[#Totals],[值]]+表15[[#This Row],[额外攻击]]</f>
        <v>66</v>
      </c>
      <c r="N35" s="2">
        <v>305</v>
      </c>
      <c r="O35" s="2">
        <v>105</v>
      </c>
      <c r="P35" cm="1">
        <f t="array" ref="P35">表15[[#This Row],[攻击]]
*(
 常量表[面板主属性系数]*表15[[#This Row],[运气]]
 +常量表[面板副属性系数]*SUM(属性表[力量],表15[[#This Row],[敏捷]])
)/100</f>
        <v>797.94</v>
      </c>
      <c r="Q35" cm="1">
        <f t="array" ref="Q35">表15[[#This Row],[攻击]]
*(
 常量表[面板主属性系数]*表15[[#This Row],[运气]]*常量表[熟练度系数]
 +常量表[面板副属性系数]*SUM(属性表[力量],表15[[#This Row],[敏捷]])
)/100</f>
        <v>464.5872</v>
      </c>
      <c r="R35" cm="1">
        <f t="array" ref="R35">表15[[#This Row],[攻击]]
*(
 常量表[主属性系数]*表15[[#This Row],[运气]]
)/100</f>
        <v>1006.5</v>
      </c>
      <c r="S35" cm="1">
        <f t="array" ref="S35">表15[[#This Row],[攻击]]
*(
 0.5*常量表[主属性系数]*属性表[运气]
)/100</f>
        <v>336.6</v>
      </c>
      <c r="T35" cm="1">
        <f t="array" ref="T35">表15[[#This Row],[攻击max]]*(常量表[技能倍率]+常量表[暴击倍率])</f>
        <v>2516.25</v>
      </c>
      <c r="U35" cm="1">
        <f t="array" ref="U35">表15[[#This Row],[攻击min]]*(常量表[技能倍率]+常量表[暴击倍率])</f>
        <v>841.5</v>
      </c>
      <c r="V35" s="1" cm="1">
        <f t="array" ref="V35">表15[[#This Row],[暴击伤害max]]*(1+0.01*怪物参数[等级差])-怪物参数[怪物防御]*怪物参数[max系数]</f>
        <v>2054.625</v>
      </c>
      <c r="W35" s="1" cm="1">
        <f t="array" ref="W35">表15[[#This Row],[暴击伤害min]]*(1+0.01*怪物参数[等级差])-怪物参数[怪物防御]*怪物参数[min系数]</f>
        <v>505.35</v>
      </c>
    </row>
    <row r="36" spans="4:23" x14ac:dyDescent="0.2">
      <c r="K36" s="8" t="s">
        <v>133</v>
      </c>
      <c r="L36" s="8">
        <v>3</v>
      </c>
      <c r="M36" s="2">
        <f>攻击表[[#Totals],[值]]+表15[[#This Row],[额外攻击]]</f>
        <v>67</v>
      </c>
      <c r="N36" s="2">
        <v>305</v>
      </c>
      <c r="O36" s="2">
        <v>105</v>
      </c>
      <c r="P36" cm="1">
        <f t="array" ref="P36">表15[[#This Row],[攻击]]
*(
 常量表[面板主属性系数]*表15[[#This Row],[运气]]
 +常量表[面板副属性系数]*SUM(属性表[力量],表15[[#This Row],[敏捷]])
)/100</f>
        <v>810.03</v>
      </c>
      <c r="Q36" cm="1">
        <f t="array" ref="Q36">表15[[#This Row],[攻击]]
*(
 常量表[面板主属性系数]*表15[[#This Row],[运气]]*常量表[熟练度系数]
 +常量表[面板副属性系数]*SUM(属性表[力量],表15[[#This Row],[敏捷]])
)/100</f>
        <v>471.62640000000005</v>
      </c>
      <c r="R36" cm="1">
        <f t="array" ref="R36">表15[[#This Row],[攻击]]
*(
 常量表[主属性系数]*表15[[#This Row],[运气]]
)/100</f>
        <v>1021.75</v>
      </c>
      <c r="S36" cm="1">
        <f t="array" ref="S36">表15[[#This Row],[攻击]]
*(
 0.5*常量表[主属性系数]*属性表[运气]
)/100</f>
        <v>341.7</v>
      </c>
      <c r="T36" cm="1">
        <f t="array" ref="T36">表15[[#This Row],[攻击max]]*(常量表[技能倍率]+常量表[暴击倍率])</f>
        <v>2554.375</v>
      </c>
      <c r="U36" cm="1">
        <f t="array" ref="U36">表15[[#This Row],[攻击min]]*(常量表[技能倍率]+常量表[暴击倍率])</f>
        <v>854.25</v>
      </c>
      <c r="V36" s="1" cm="1">
        <f t="array" ref="V36">表15[[#This Row],[暴击伤害max]]*(1+0.01*怪物参数[等级差])-怪物参数[怪物防御]*怪物参数[max系数]</f>
        <v>2088.9375</v>
      </c>
      <c r="W36" s="1" cm="1">
        <f t="array" ref="W36">表15[[#This Row],[暴击伤害min]]*(1+0.01*怪物参数[等级差])-怪物参数[怪物防御]*怪物参数[min系数]</f>
        <v>516.82500000000005</v>
      </c>
    </row>
    <row r="37" spans="4:23" x14ac:dyDescent="0.2">
      <c r="D37" t="s">
        <v>85</v>
      </c>
      <c r="K37" s="8" t="s">
        <v>134</v>
      </c>
      <c r="L37" s="8">
        <v>4</v>
      </c>
      <c r="M37" s="2">
        <f>攻击表[[#Totals],[值]]+表15[[#This Row],[额外攻击]]</f>
        <v>68</v>
      </c>
      <c r="N37" s="2">
        <v>305</v>
      </c>
      <c r="O37" s="2">
        <v>105</v>
      </c>
      <c r="P37" cm="1">
        <f t="array" ref="P37">表15[[#This Row],[攻击]]
*(
 常量表[面板主属性系数]*表15[[#This Row],[运气]]
 +常量表[面板副属性系数]*SUM(属性表[力量],表15[[#This Row],[敏捷]])
)/100</f>
        <v>822.12</v>
      </c>
      <c r="Q37" cm="1">
        <f t="array" ref="Q37">表15[[#This Row],[攻击]]
*(
 常量表[面板主属性系数]*表15[[#This Row],[运气]]*常量表[熟练度系数]
 +常量表[面板副属性系数]*SUM(属性表[力量],表15[[#This Row],[敏捷]])
)/100</f>
        <v>478.66560000000004</v>
      </c>
      <c r="R37" cm="1">
        <f t="array" ref="R37">表15[[#This Row],[攻击]]
*(
 常量表[主属性系数]*表15[[#This Row],[运气]]
)/100</f>
        <v>1037</v>
      </c>
      <c r="S37" cm="1">
        <f t="array" ref="S37">表15[[#This Row],[攻击]]
*(
 0.5*常量表[主属性系数]*属性表[运气]
)/100</f>
        <v>346.8</v>
      </c>
      <c r="T37" cm="1">
        <f t="array" ref="T37">表15[[#This Row],[攻击max]]*(常量表[技能倍率]+常量表[暴击倍率])</f>
        <v>2592.5</v>
      </c>
      <c r="U37" cm="1">
        <f t="array" ref="U37">表15[[#This Row],[攻击min]]*(常量表[技能倍率]+常量表[暴击倍率])</f>
        <v>867</v>
      </c>
      <c r="V37" s="1" cm="1">
        <f t="array" ref="V37">表15[[#This Row],[暴击伤害max]]*(1+0.01*怪物参数[等级差])-怪物参数[怪物防御]*怪物参数[max系数]</f>
        <v>2123.25</v>
      </c>
      <c r="W37" s="1" cm="1">
        <f t="array" ref="W37">表15[[#This Row],[暴击伤害min]]*(1+0.01*怪物参数[等级差])-怪物参数[怪物防御]*怪物参数[min系数]</f>
        <v>528.30000000000007</v>
      </c>
    </row>
    <row r="38" spans="4:23" x14ac:dyDescent="0.2">
      <c r="D38" t="s">
        <v>86</v>
      </c>
      <c r="E38" t="s">
        <v>78</v>
      </c>
      <c r="K38" s="8" t="s">
        <v>135</v>
      </c>
      <c r="L38" s="8">
        <v>5</v>
      </c>
      <c r="M38" s="2">
        <f>攻击表[[#Totals],[值]]+表15[[#This Row],[额外攻击]]</f>
        <v>69</v>
      </c>
      <c r="N38" s="2">
        <v>305</v>
      </c>
      <c r="O38" s="2">
        <v>105</v>
      </c>
      <c r="P38" cm="1">
        <f t="array" ref="P38">表15[[#This Row],[攻击]]
*(
 常量表[面板主属性系数]*表15[[#This Row],[运气]]
 +常量表[面板副属性系数]*SUM(属性表[力量],表15[[#This Row],[敏捷]])
)/100</f>
        <v>834.21</v>
      </c>
      <c r="Q38" cm="1">
        <f t="array" ref="Q38">表15[[#This Row],[攻击]]
*(
 常量表[面板主属性系数]*表15[[#This Row],[运气]]*常量表[熟练度系数]
 +常量表[面板副属性系数]*SUM(属性表[力量],表15[[#This Row],[敏捷]])
)/100</f>
        <v>485.70480000000003</v>
      </c>
      <c r="R38" cm="1">
        <f t="array" ref="R38">表15[[#This Row],[攻击]]
*(
 常量表[主属性系数]*表15[[#This Row],[运气]]
)/100</f>
        <v>1052.25</v>
      </c>
      <c r="S38" cm="1">
        <f t="array" ref="S38">表15[[#This Row],[攻击]]
*(
 0.5*常量表[主属性系数]*属性表[运气]
)/100</f>
        <v>351.9</v>
      </c>
      <c r="T38" cm="1">
        <f t="array" ref="T38">表15[[#This Row],[攻击max]]*(常量表[技能倍率]+常量表[暴击倍率])</f>
        <v>2630.625</v>
      </c>
      <c r="U38" cm="1">
        <f t="array" ref="U38">表15[[#This Row],[攻击min]]*(常量表[技能倍率]+常量表[暴击倍率])</f>
        <v>879.75</v>
      </c>
      <c r="V38" s="1" cm="1">
        <f t="array" ref="V38">表15[[#This Row],[暴击伤害max]]*(1+0.01*怪物参数[等级差])-怪物参数[怪物防御]*怪物参数[max系数]</f>
        <v>2157.5625</v>
      </c>
      <c r="W38" s="1" cm="1">
        <f t="array" ref="W38">表15[[#This Row],[暴击伤害min]]*(1+0.01*怪物参数[等级差])-怪物参数[怪物防御]*怪物参数[min系数]</f>
        <v>539.77499999999998</v>
      </c>
    </row>
    <row r="39" spans="4:23" x14ac:dyDescent="0.2">
      <c r="D39" t="s">
        <v>87</v>
      </c>
      <c r="E39" cm="1">
        <f t="array" ref="E39">攻击表[[#Totals],[值]]
*(1+(属性表[运气]*常量表[主属性系数]+SUM(属性表[力量],属性表[敏捷])*常量表[面板副属性系数])/100)</f>
        <v>773.76</v>
      </c>
      <c r="K39" s="8" t="s">
        <v>136</v>
      </c>
      <c r="L39" s="8">
        <v>6</v>
      </c>
      <c r="M39" s="2">
        <f>攻击表[[#Totals],[值]]+表15[[#This Row],[额外攻击]]</f>
        <v>70</v>
      </c>
      <c r="N39" s="2">
        <v>305</v>
      </c>
      <c r="O39" s="2">
        <v>105</v>
      </c>
      <c r="P39" cm="1">
        <f t="array" ref="P39">表15[[#This Row],[攻击]]
*(
 常量表[面板主属性系数]*表15[[#This Row],[运气]]
 +常量表[面板副属性系数]*SUM(属性表[力量],表15[[#This Row],[敏捷]])
)/100</f>
        <v>846.3</v>
      </c>
      <c r="Q39" cm="1">
        <f t="array" ref="Q39">表15[[#This Row],[攻击]]
*(
 常量表[面板主属性系数]*表15[[#This Row],[运气]]*常量表[熟练度系数]
 +常量表[面板副属性系数]*SUM(属性表[力量],表15[[#This Row],[敏捷]])
)/100</f>
        <v>492.74400000000009</v>
      </c>
      <c r="R39" cm="1">
        <f t="array" ref="R39">表15[[#This Row],[攻击]]
*(
 常量表[主属性系数]*表15[[#This Row],[运气]]
)/100</f>
        <v>1067.5</v>
      </c>
      <c r="S39" cm="1">
        <f t="array" ref="S39">表15[[#This Row],[攻击]]
*(
 0.5*常量表[主属性系数]*属性表[运气]
)/100</f>
        <v>357</v>
      </c>
      <c r="T39" cm="1">
        <f t="array" ref="T39">表15[[#This Row],[攻击max]]*(常量表[技能倍率]+常量表[暴击倍率])</f>
        <v>2668.75</v>
      </c>
      <c r="U39" cm="1">
        <f t="array" ref="U39">表15[[#This Row],[攻击min]]*(常量表[技能倍率]+常量表[暴击倍率])</f>
        <v>892.5</v>
      </c>
      <c r="V39" s="1" cm="1">
        <f t="array" ref="V39">表15[[#This Row],[暴击伤害max]]*(1+0.01*怪物参数[等级差])-怪物参数[怪物防御]*怪物参数[max系数]</f>
        <v>2191.875</v>
      </c>
      <c r="W39" s="1" cm="1">
        <f t="array" ref="W39">表15[[#This Row],[暴击伤害min]]*(1+0.01*怪物参数[等级差])-怪物参数[怪物防御]*怪物参数[min系数]</f>
        <v>551.25</v>
      </c>
    </row>
    <row r="40" spans="4:23" x14ac:dyDescent="0.2">
      <c r="D40" t="s">
        <v>88</v>
      </c>
      <c r="E40" cm="1">
        <f t="array" ref="E40">攻击表[[#Totals],[值]]
*(常量表[伤害下限系数]+(属性表[运气]*常量表[主属性系数]*常量表[熟练度系数]+SUM(属性表[力量],属性表[敏捷])*常量表[面板副属性系数])/100)</f>
        <v>447.87200000000001</v>
      </c>
      <c r="K40" s="8" t="s">
        <v>137</v>
      </c>
      <c r="L40" s="8">
        <v>7</v>
      </c>
      <c r="M40" s="2">
        <f>攻击表[[#Totals],[值]]+表15[[#This Row],[额外攻击]]</f>
        <v>71</v>
      </c>
      <c r="N40" s="2">
        <v>305</v>
      </c>
      <c r="O40" s="2">
        <v>105</v>
      </c>
      <c r="P40" s="1" cm="1">
        <f t="array" ref="P40">表15[[#This Row],[攻击]]
*(
 常量表[面板主属性系数]*表15[[#This Row],[运气]]
 +常量表[面板副属性系数]*SUM(属性表[力量],表15[[#This Row],[敏捷]])
)/100</f>
        <v>858.39</v>
      </c>
      <c r="Q40" s="1" cm="1">
        <f t="array" ref="Q40">表15[[#This Row],[攻击]]
*(
 常量表[面板主属性系数]*表15[[#This Row],[运气]]*常量表[熟练度系数]
 +常量表[面板副属性系数]*SUM(属性表[力量],表15[[#This Row],[敏捷]])
)/100</f>
        <v>499.78320000000008</v>
      </c>
      <c r="R40" s="1" cm="1">
        <f t="array" ref="R40">表15[[#This Row],[攻击]]
*(
 常量表[主属性系数]*表15[[#This Row],[运气]]
)/100</f>
        <v>1082.75</v>
      </c>
      <c r="S40" s="1" cm="1">
        <f t="array" ref="S40">表15[[#This Row],[攻击]]
*(
 0.5*常量表[主属性系数]*属性表[运气]
)/100</f>
        <v>362.1</v>
      </c>
      <c r="T40" s="1" cm="1">
        <f t="array" ref="T40">表15[[#This Row],[攻击max]]*(常量表[技能倍率]+常量表[暴击倍率])</f>
        <v>2706.875</v>
      </c>
      <c r="U40" s="1" cm="1">
        <f t="array" ref="U40">表15[[#This Row],[攻击min]]*(常量表[技能倍率]+常量表[暴击倍率])</f>
        <v>905.25</v>
      </c>
      <c r="V40" s="1" cm="1">
        <f t="array" ref="V40">表15[[#This Row],[暴击伤害max]]*(1+0.01*怪物参数[等级差])-怪物参数[怪物防御]*怪物参数[max系数]</f>
        <v>2226.1875</v>
      </c>
      <c r="W40" s="1" cm="1">
        <f t="array" ref="W40">表15[[#This Row],[暴击伤害min]]*(1+0.01*怪物参数[等级差])-怪物参数[怪物防御]*怪物参数[min系数]</f>
        <v>562.72500000000002</v>
      </c>
    </row>
    <row r="41" spans="4:23" x14ac:dyDescent="0.2">
      <c r="D41" t="s">
        <v>91</v>
      </c>
      <c r="E41" cm="1">
        <f t="array" ref="E41">E39*常量表[技能倍率]</f>
        <v>1160.6399999999999</v>
      </c>
      <c r="K41" s="8" t="s">
        <v>138</v>
      </c>
      <c r="L41" s="8">
        <v>8</v>
      </c>
      <c r="M41" s="2">
        <f>攻击表[[#Totals],[值]]+表15[[#This Row],[额外攻击]]</f>
        <v>72</v>
      </c>
      <c r="N41" s="2">
        <v>305</v>
      </c>
      <c r="O41" s="2">
        <v>105</v>
      </c>
      <c r="P41" cm="1">
        <f t="array" ref="P41">表15[[#This Row],[攻击]]
*(
 常量表[面板主属性系数]*表15[[#This Row],[运气]]
 +常量表[面板副属性系数]*SUM(属性表[力量],表15[[#This Row],[敏捷]])
)/100</f>
        <v>870.48</v>
      </c>
      <c r="Q41" cm="1">
        <f t="array" ref="Q41">表15[[#This Row],[攻击]]
*(
 常量表[面板主属性系数]*表15[[#This Row],[运气]]*常量表[熟练度系数]
 +常量表[面板副属性系数]*SUM(属性表[力量],表15[[#This Row],[敏捷]])
)/100</f>
        <v>506.82240000000007</v>
      </c>
      <c r="R41" cm="1">
        <f t="array" ref="R41">表15[[#This Row],[攻击]]
*(
 常量表[主属性系数]*表15[[#This Row],[运气]]
)/100</f>
        <v>1098</v>
      </c>
      <c r="S41" cm="1">
        <f t="array" ref="S41">表15[[#This Row],[攻击]]
*(
 0.5*常量表[主属性系数]*属性表[运气]
)/100</f>
        <v>367.2</v>
      </c>
      <c r="T41" cm="1">
        <f t="array" ref="T41">表15[[#This Row],[攻击max]]*(常量表[技能倍率]+常量表[暴击倍率])</f>
        <v>2745</v>
      </c>
      <c r="U41" cm="1">
        <f t="array" ref="U41">表15[[#This Row],[攻击min]]*(常量表[技能倍率]+常量表[暴击倍率])</f>
        <v>918</v>
      </c>
      <c r="V41" s="1" cm="1">
        <f t="array" ref="V41">表15[[#This Row],[暴击伤害max]]*(1+0.01*怪物参数[等级差])-怪物参数[怪物防御]*怪物参数[max系数]</f>
        <v>2260.5</v>
      </c>
      <c r="W41" s="1" cm="1">
        <f t="array" ref="W41">表15[[#This Row],[暴击伤害min]]*(1+0.01*怪物参数[等级差])-怪物参数[怪物防御]*怪物参数[min系数]</f>
        <v>574.20000000000005</v>
      </c>
    </row>
    <row r="42" spans="4:23" x14ac:dyDescent="0.2">
      <c r="D42" t="s">
        <v>90</v>
      </c>
      <c r="E42" cm="1">
        <f t="array" ref="E42">E40*常量表[技能倍率]</f>
        <v>671.80799999999999</v>
      </c>
    </row>
    <row r="43" spans="4:23" x14ac:dyDescent="0.2">
      <c r="D43" t="s">
        <v>97</v>
      </c>
      <c r="E43" cm="1">
        <f t="array" ref="E43">E41*常量表[暴击倍率]</f>
        <v>1160.6399999999999</v>
      </c>
    </row>
    <row r="44" spans="4:23" x14ac:dyDescent="0.2">
      <c r="D44" t="s">
        <v>95</v>
      </c>
      <c r="E44" cm="1">
        <f t="array" ref="E44">E42*常量表[暴击倍率]</f>
        <v>671.80799999999999</v>
      </c>
    </row>
    <row r="45" spans="4:23" x14ac:dyDescent="0.2">
      <c r="D45" t="s">
        <v>103</v>
      </c>
      <c r="E45" cm="1">
        <f t="array" ref="E45">E43*(1+0.01*怪物参数[等级差])-怪物参数[怪物防御]*怪物参数[max系数]</f>
        <v>834.57600000000002</v>
      </c>
    </row>
    <row r="46" spans="4:23" x14ac:dyDescent="0.2">
      <c r="D46" t="s">
        <v>105</v>
      </c>
      <c r="E46" cm="1">
        <f t="array" ref="E46">E44*(1+0.01*怪物参数[等级差])-怪物参数[怪物防御]*怪物参数[min系数]</f>
        <v>352.62720000000002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170</v>
      </c>
      <c r="C4" t="s">
        <v>168</v>
      </c>
      <c r="D4" t="s">
        <v>169</v>
      </c>
    </row>
    <row r="5" spans="2:4" x14ac:dyDescent="0.2">
      <c r="B5" t="s">
        <v>174</v>
      </c>
      <c r="C5" t="s">
        <v>171</v>
      </c>
      <c r="D5" t="s">
        <v>175</v>
      </c>
    </row>
    <row r="6" spans="2:4" x14ac:dyDescent="0.2">
      <c r="B6" t="s">
        <v>174</v>
      </c>
      <c r="C6" t="s">
        <v>172</v>
      </c>
      <c r="D6" t="s">
        <v>175</v>
      </c>
    </row>
    <row r="7" spans="2:4" x14ac:dyDescent="0.2">
      <c r="B7" t="s">
        <v>174</v>
      </c>
      <c r="C7" t="s">
        <v>173</v>
      </c>
      <c r="D7" t="s">
        <v>175</v>
      </c>
    </row>
    <row r="8" spans="2:4" x14ac:dyDescent="0.2">
      <c r="B8" t="s">
        <v>174</v>
      </c>
      <c r="C8" t="s">
        <v>177</v>
      </c>
    </row>
    <row r="9" spans="2:4" x14ac:dyDescent="0.2">
      <c r="B9" t="s">
        <v>151</v>
      </c>
      <c r="C9" t="s">
        <v>176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73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162</v>
      </c>
    </row>
    <row r="105" spans="7:15" x14ac:dyDescent="0.2">
      <c r="G105">
        <v>2</v>
      </c>
      <c r="H105" t="s">
        <v>161</v>
      </c>
    </row>
    <row r="106" spans="7:15" x14ac:dyDescent="0.2">
      <c r="G106">
        <v>3</v>
      </c>
      <c r="H106" t="s">
        <v>162</v>
      </c>
    </row>
    <row r="107" spans="7:15" x14ac:dyDescent="0.2">
      <c r="N107">
        <v>31</v>
      </c>
      <c r="O107" t="s">
        <v>161</v>
      </c>
    </row>
    <row r="108" spans="7:15" x14ac:dyDescent="0.2">
      <c r="N108">
        <v>32</v>
      </c>
      <c r="O108" t="s">
        <v>161</v>
      </c>
    </row>
    <row r="109" spans="7:15" x14ac:dyDescent="0.2">
      <c r="G109">
        <v>19</v>
      </c>
      <c r="H109" t="s">
        <v>161</v>
      </c>
      <c r="N109">
        <v>33</v>
      </c>
      <c r="O109" t="s">
        <v>161</v>
      </c>
    </row>
    <row r="110" spans="7:15" x14ac:dyDescent="0.2">
      <c r="G110">
        <v>23</v>
      </c>
      <c r="H110" t="s">
        <v>163</v>
      </c>
      <c r="N110">
        <v>36</v>
      </c>
      <c r="O110" t="s">
        <v>162</v>
      </c>
    </row>
    <row r="111" spans="7:15" x14ac:dyDescent="0.2">
      <c r="N111">
        <v>39</v>
      </c>
      <c r="O111" t="s">
        <v>161</v>
      </c>
    </row>
    <row r="112" spans="7:15" x14ac:dyDescent="0.2">
      <c r="N112">
        <v>41</v>
      </c>
      <c r="O112" t="s">
        <v>161</v>
      </c>
    </row>
    <row r="113" spans="14:15" x14ac:dyDescent="0.2">
      <c r="N113">
        <v>54</v>
      </c>
      <c r="O113" t="s">
        <v>162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2026-08-27T17:45:54Z</dcterms:modified>
</cp:coreProperties>
</file>