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MyPrograms\BossTimer\"/>
    </mc:Choice>
  </mc:AlternateContent>
  <xr:revisionPtr revIDLastSave="0" documentId="13_ncr:1_{A386B4D2-CC03-4571-BFEA-BF9A5A3F6499}" xr6:coauthVersionLast="47" xr6:coauthVersionMax="47" xr10:uidLastSave="{00000000-0000-0000-0000-000000000000}"/>
  <bookViews>
    <workbookView xWindow="-36135" yWindow="465" windowWidth="28995" windowHeight="2011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5" l="1"/>
  <c r="K52" i="5"/>
  <c r="K57" i="5"/>
  <c r="J52" i="5"/>
  <c r="L52" i="5"/>
  <c r="Q33" i="6" a="1"/>
  <c r="Q34" i="6" a="1"/>
  <c r="Q35" i="6" a="1"/>
  <c r="Q36" i="6" a="1"/>
  <c r="Q37" i="6" a="1"/>
  <c r="Q38" i="6" a="1"/>
  <c r="Q39" i="6" a="1"/>
  <c r="Q40" i="6" a="1"/>
  <c r="Q41" i="6" a="1"/>
  <c r="U33" i="6" a="1"/>
  <c r="U34" i="6" a="1"/>
  <c r="U35" i="6" a="1"/>
  <c r="U36" i="6" a="1"/>
  <c r="U37" i="6" a="1"/>
  <c r="U38" i="6" a="1"/>
  <c r="U39" i="6" a="1"/>
  <c r="U40" i="6" a="1"/>
  <c r="U41" i="6" a="1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J23" i="3"/>
  <c r="K24" i="3" s="1"/>
  <c r="J22" i="3"/>
  <c r="K22" i="3" s="1"/>
  <c r="J21" i="3"/>
  <c r="K21" i="3" s="1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2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M41" i="6" l="1"/>
  <c r="M40" i="6"/>
  <c r="M37" i="6"/>
  <c r="M35" i="6"/>
  <c r="M33" i="6"/>
  <c r="M39" i="6"/>
  <c r="M34" i="6"/>
  <c r="M38" i="6"/>
  <c r="M36" i="6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0" i="6" a="1"/>
  <c r="E42" i="6" s="1" a="1"/>
  <c r="E44" i="6" s="1" a="1"/>
  <c r="E46" i="6" s="1" a="1"/>
  <c r="E39" i="6" a="1"/>
  <c r="E41" i="6" s="1" a="1"/>
  <c r="E43" i="6" s="1" a="1"/>
  <c r="E45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R41" i="6" l="1" a="1"/>
  <c r="T41" i="6" s="1" a="1"/>
  <c r="V41" i="6" s="1" a="1"/>
  <c r="P41" i="6" a="1"/>
  <c r="S41" i="6" a="1"/>
  <c r="P40" i="6" a="1"/>
  <c r="R40" i="6" a="1"/>
  <c r="T40" i="6" s="1" a="1"/>
  <c r="V40" i="6" s="1" a="1"/>
  <c r="S40" i="6" a="1"/>
  <c r="S37" i="6" a="1"/>
  <c r="R37" i="6" a="1"/>
  <c r="T37" i="6" s="1" a="1"/>
  <c r="V37" i="6" s="1" a="1"/>
  <c r="P37" i="6" a="1"/>
  <c r="S35" i="6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P39" i="6" a="1"/>
  <c r="S39" i="6" a="1"/>
  <c r="R39" i="6" a="1"/>
  <c r="T39" i="6" s="1" a="1"/>
  <c r="V39" i="6" s="1" a="1"/>
  <c r="S34" i="6" a="1"/>
  <c r="R34" i="6" a="1"/>
  <c r="T34" i="6" s="1" a="1"/>
  <c r="V34" i="6" s="1" a="1"/>
  <c r="P34" i="6" a="1"/>
  <c r="S38" i="6" a="1"/>
  <c r="R38" i="6" a="1"/>
  <c r="T38" i="6" s="1" a="1"/>
  <c r="V38" i="6" s="1" a="1"/>
  <c r="P38" i="6" a="1"/>
  <c r="S36" i="6" a="1"/>
  <c r="R36" i="6" a="1"/>
  <c r="T36" i="6" s="1" a="1"/>
  <c r="V36" i="6" s="1" a="1"/>
  <c r="P36" i="6" a="1"/>
  <c r="W41" i="6" a="1"/>
  <c r="W40" i="6" a="1"/>
  <c r="W36" i="6" a="1"/>
  <c r="W37" i="6" a="1"/>
  <c r="W39" i="6" a="1"/>
  <c r="W38" i="6" a="1"/>
  <c r="W35" i="6" a="1"/>
  <c r="W33" i="6" a="1"/>
  <c r="W34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<sst xmlns="http://schemas.openxmlformats.org/spreadsheetml/2006/main" count="217" uniqueCount="185">
  <si>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</si>
  <si>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</si>
  <si>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</si>
  <si>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</si>
  <si>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</si>
  <si>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</si>
  <si>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</si>
  <si>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</si>
  <si>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</si>
  <si>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</si>
  <si>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</si>
  <si>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</si>
  <si>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</si>
  <si>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</si>
  <si>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</si>
  <si>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</si>
  <si>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</si>
  <si>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</si>
  <si>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</si>
  <si>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</si>
  <si>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</si>
  <si>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</si>
  <si>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</si>
  <si>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</si>
  <si>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</si>
  <si>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</si>
  <si>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</si>
  <si>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</si>
  <si>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</si>
  <si>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</si>
  <si>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</si>
  <si>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</si>
  <si>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</si>
  <si>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</si>
  <si>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</si>
  <si>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</si>
  <si>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</si>
  <si>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</si>
  <si>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</si>
  <si>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</si>
  <si>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</si>
  <si>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</si>
  <si>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</si>
  <si>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</si>
  <si>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</si>
  <si>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</si>
  <si>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</si>
  <si>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</si>
  <si>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</si>
  <si>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</si>
  <si>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</si>
  <si>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</si>
  <si>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</si>
  <si>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</si>
  <si>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</si>
  <si>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</si>
  <si>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</si>
  <si>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</si>
  <si>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</si>
  <si>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</si>
  <si>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</si>
  <si>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</si>
  <si>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</si>
  <si>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</si>
  <si>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</si>
  <si>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</si>
  <si>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</si>
  <si>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</si>
  <si>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</si>
  <si>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</si>
  <si>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</si>
  <si>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</si>
  <si>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</si>
  <si>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</si>
  <si>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</si>
  <si>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</si>
  <si>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</si>
  <si>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</si>
  <si>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</si>
  <si>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</si>
  <si>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</si>
  <si>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</si>
  <si>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</si>
  <si>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</si>
  <si>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</si>
  <si>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</si>
  <si>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</si>
  <si>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</si>
  <si>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</si>
  <si>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</si>
  <si>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</si>
  <si>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</si>
  <si>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</si>
  <si>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</si>
  <si>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</si>
  <si>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</si>
  <si>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</si>
  <si>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</si>
  <si>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</si>
  <si>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</si>
  <si>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</si>
  <si>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</si>
  <si>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</si>
  <si>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</si>
  <si>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</si>
  <si>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</si>
  <si>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</si>
  <si>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</si>
  <si>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</si>
  <si>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</si>
  <si>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</si>
  <si>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</si>
  <si>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</si>
  <si>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</si>
  <si>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</si>
  <si>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</si>
  <si>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</si>
  <si>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</si>
  <si>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</si>
  <si>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</si>
  <si>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</si>
  <si>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</si>
  <si>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</si>
  <si>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</si>
  <si>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</si>
  <si>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拳套+37</t>
  </si>
  <si>
    <t>拳套+38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</si>
  <si>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</si>
  <si>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</si>
  <si>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</si>
  <si>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</si>
  <si>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</si>
  <si>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</si>
  <si>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</si>
  <si>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</si>
  <si>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</si>
  <si>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</si>
  <si>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</si>
  <si>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</si>
  <si>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</si>
  <si>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工地手套+8G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</si>
  <si>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</si>
  <si>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</si>
  <si>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</si>
  <si>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</si>
  <si>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</si>
  <si>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</si>
  <si>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</si>
  <si>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</si>
  <si>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</si>
  <si>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</si>
  <si>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</si>
  <si>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</si>
  <si>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</si>
  <si>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</si>
  <si>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</si>
  <si>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</si>
  <si>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</si>
  <si>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</si>
  <si>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拳套+39</t>
  </si>
  <si>
    <t>拳套+40</t>
  </si>
  <si>
    <t>拳套+41</t>
  </si>
  <si>
    <t>拳套+42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</si>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</sst>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5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family val="3"/>
        <charset val="134"/>
      </font>
    </dxf>
    <dxf>
      <font>
        <b/>
        <family val="3"/>
        <charset val="13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351224</xdr:colOff>
      <xdr:row>4</xdr:row>
      <xdr:rowOff>142875</xdr:rowOff>
    </xdr:from>
    <xdr:to>
      <xdr:col>34</xdr:col>
      <xdr:colOff>397834</xdr:colOff>
      <xdr:row>39</xdr:row>
      <xdr:rowOff>8278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FF00B16-8A56-0185-F11D-671A28D33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43399" y="866775"/>
          <a:ext cx="11019410" cy="6199528"/>
        </a:xfrm>
        <a:prstGeom prst="rect">
          <a:avLst/>
        </a:prstGeom>
      </xdr:spPr>
    </xdr:pic>
    <xdr:clientData/>
  </xdr:twoCellAnchor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42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41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40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39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38"/>
    <tableColumn id="2" xr3:uid="{AA234072-647C-4A37-BA00-45785241169C}" name="购买价格w" dataDxfId="37"/>
    <tableColumn id="6" xr3:uid="{B69C23F2-12E4-49E4-B956-F35FECF6EED2}" name="制作价格" dataDxfId="36"/>
    <tableColumn id="7" xr3:uid="{1F179FDF-DB5D-4D9E-9382-252E36157465}" name="差价（含税）" dataDxfId="35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34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52" totalsRowShown="0">
  <autoFilter ref="E32:L52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33"/>
    <tableColumn id="2" xr3:uid="{EB49316D-EA89-440F-8BED-529A7B30C022}" name="开始" dataDxfId="32"/>
    <tableColumn id="7" xr3:uid="{D165A06A-4105-4A22-9828-A4BEF84DACDC}" name="结束lv" dataDxfId="31"/>
    <tableColumn id="3" xr3:uid="{7BC03053-038D-41AD-84CE-B60879A78C44}" name="结束" dataDxfId="30"/>
    <tableColumn id="8" xr3:uid="{18F6AB19-F5E3-4464-85E9-7510B0FF4FBB}" name="总经验(万)" dataDxfId="29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28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27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26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25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24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23"/>
    <tableColumn id="2" xr3:uid="{C61182DF-822A-4A58-AE24-69A976436107}" name="预期成功" dataDxfId="22"/>
    <tableColumn id="5" xr3:uid="{0F00CCD6-E594-41C1-8347-E43384BB99BE}" name="卷拍卖行价w" dataDxfId="21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20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19" totalsRowDxfId="18"/>
    <tableColumn id="4" xr3:uid="{CA577DD0-7258-45B9-A695-C4171373AE3D}" name="rmb" dataDxfId="17">
      <calculatedColumnFormula array="1">表7[[#This Row],[单价]]*金价表[税后金价]</calculatedColumnFormula>
    </tableColumn>
    <tableColumn id="7" xr3:uid="{3BF04BD0-3887-4D5A-9323-13DA842E9180}" name="每点敏捷价格" dataDxfId="16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15">
      <totalsRowFormula>SUM(表7[模拟数量])</totalsRowFormula>
    </tableColumn>
    <tableColumn id="12" xr3:uid="{94F47A8A-0CD2-46BA-BB08-9B69181B3598}" name="成功数量" dataDxfId="14"/>
    <tableColumn id="13" xr3:uid="{D8FA6D3D-13C9-413D-AA5C-EE25CEB6741F}" name="总敏捷" totalsRowFunction="custom" dataDxfId="13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12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11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10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9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8" totalsRowDxfId="7"/>
    <tableColumn id="4" xr3:uid="{EC81E847-7526-4094-88CA-6860A893C3B1}" name="rmb" dataDxfId="6">
      <calculatedColumnFormula array="1">表7_9[[#This Row],[单价]]*金价表[税后金价]</calculatedColumnFormula>
    </tableColumn>
    <tableColumn id="7" xr3:uid="{C26F07DB-AA65-4261-A542-9FF829521DAC}" name="敏捷价格" dataDxfId="5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4">
      <totalsRowFormula>SUM(表7_9[模拟数量])</totalsRowFormula>
    </tableColumn>
    <tableColumn id="12" xr3:uid="{E46A5CC0-4EA5-480B-A804-F448C4FD1200}" name="成功数量" dataDxfId="3"/>
    <tableColumn id="13" xr3:uid="{4297568D-CFCF-46D6-99EB-6BE373700BA1}" name="总敏捷" totalsRowFunction="custom" dataDxfId="2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0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57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2" totalsRowCount="1">
  <autoFilter ref="D26:E31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8:E46" totalsRowShown="0">
  <autoFilter ref="D38:E46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55"/>
    <tableColumn id="13" xr3:uid="{B41CD52A-A98D-4045-A6E3-121E0D0AEF7D}" name="额外攻击" dataDxfId="54"/>
    <tableColumn id="1" xr3:uid="{5D631460-1878-4992-B4F1-C11DD2022B97}" name="攻击" dataDxfId="53">
      <calculatedColumnFormula>攻击表[[#Totals],[值]]+表15[[#This Row],[额外攻击]]</calculatedColumnFormula>
    </tableColumn>
    <tableColumn id="10" xr3:uid="{BBD0C02A-DFD9-4B1D-B574-6A30BAE2D997}" name="运气" dataDxfId="52"/>
    <tableColumn id="11" xr3:uid="{BBF260FC-CE43-4380-87B9-5F9EE2064698}" name="敏捷" dataDxfId="51"/>
    <tableColumn id="15" xr3:uid="{19169ABF-D16F-4AB7-840E-72174B5817E9}" name="面板max" dataDxfId="50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49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48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47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46">
      <calculatedColumnFormula array="1">表15[[#This Row],[攻击max]]*(常量表[技能倍率]+常量表[暴击倍率])</calculatedColumnFormula>
    </tableColumn>
    <tableColumn id="7" xr3:uid="{02CE20E8-6B44-43C6-B599-BF6C200E0989}" name="暴击伤害min" dataDxfId="45">
      <calculatedColumnFormula array="1">表15[[#This Row],[攻击min]]*(常量表[技能倍率]+常量表[暴击倍率])</calculatedColumnFormula>
    </tableColumn>
    <tableColumn id="8" xr3:uid="{CDE151F5-6122-4088-B163-44E497C31795}" name="实际伤害max" dataDxfId="44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43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34"/>
  <sheetViews>
    <sheetView workbookViewId="0">
      <selection activeCell="G13" sqref="G13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146</v>
      </c>
      <c r="E5" s="3" t="s">
        <v>116</v>
      </c>
    </row>
    <row r="6" spans="2:14" x14ac:dyDescent="0.2">
      <c r="B6" s="2">
        <v>0.36</v>
      </c>
      <c r="C6">
        <f>金价表[[#This Row],[当前金价1w]]/0.95</f>
        <v>0.37894736842105264</v>
      </c>
      <c r="D6" s="2">
        <v>61.177700000000002</v>
      </c>
      <c r="E6">
        <f>金价表[[#This Row],[出售商品价格]]*金价表[[#This Row],[当前金价1w]]*0.95</f>
        <v>20.922773400000001</v>
      </c>
    </row>
    <row r="8" spans="2:14" x14ac:dyDescent="0.2">
      <c r="I8" cm="1">
        <f t="array" ref="I8">555*金价表[税后金价]</f>
        <v>210.31578947368422</v>
      </c>
      <c r="J8" cm="1">
        <f t="array" ref="J8">2888.8888*金价表[当前金价1w]</f>
        <v>1039.9999680000001</v>
      </c>
      <c r="K8" cm="1">
        <f t="array" ref="K8">2888.8888*金价表[当前金价1w]</f>
        <v>1039.9999680000001</v>
      </c>
    </row>
    <row r="12" spans="2:14" ht="28.5" x14ac:dyDescent="0.2">
      <c r="H12" s="3" t="s">
        <v>115</v>
      </c>
      <c r="I12" s="3" t="s">
        <v>127</v>
      </c>
      <c r="J12" s="3" t="s">
        <v>128</v>
      </c>
      <c r="K12" s="3" t="s">
        <v>132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88.673684210526318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210.52610526315789</v>
      </c>
      <c r="M14" s="3">
        <v>1</v>
      </c>
      <c r="N14" s="3">
        <f>IFERROR((表16[[#This Row],[等价rmb]]-$L$13)/表16[[#This Row],[提升]],0)</f>
        <v>121.85242105263157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374.73680842105261</v>
      </c>
      <c r="M15" s="3">
        <v>2</v>
      </c>
      <c r="N15" s="3">
        <f>IFERROR((表16[[#This Row],[等价rmb]]-$L$13)/表16[[#This Row],[提升]],0)</f>
        <v>143.03156210526316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564.21049263157897</v>
      </c>
      <c r="M16" s="3">
        <v>3</v>
      </c>
      <c r="N16" s="3">
        <f>IFERROR((表16[[#This Row],[等价rmb]]-$L$13)/表16[[#This Row],[提升]],0)</f>
        <v>158.51226947368423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644.21052631578948</v>
      </c>
      <c r="M17">
        <v>4</v>
      </c>
      <c r="N17" s="3">
        <f>IFERROR((表16[[#This Row],[等价rmb]]-$L$13)/表16[[#This Row],[提升]],0)</f>
        <v>138.8842105263158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1136.8421052631579</v>
      </c>
      <c r="M18">
        <v>5</v>
      </c>
      <c r="N18" s="3">
        <f>IFERROR((表16[[#This Row],[等价rmb]]-$L$13)/表16[[#This Row],[提升]],0)</f>
        <v>209.63368421052633</v>
      </c>
      <c r="Q18">
        <f>555.555+98</f>
        <v>653.55499999999995</v>
      </c>
      <c r="R18" s="1" cm="1">
        <f t="array" ref="R18">Q18*金价表[当前金价1w]</f>
        <v>235.27979999999997</v>
      </c>
    </row>
    <row r="19" spans="8:20" x14ac:dyDescent="0.2">
      <c r="H19" s="2" t="s">
        <v>131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1132.6315452631579</v>
      </c>
      <c r="M19">
        <v>6</v>
      </c>
      <c r="N19" s="3">
        <f>IFERROR((表16[[#This Row],[等价rmb]]-$L$13)/表16[[#This Row],[提升]],0)</f>
        <v>173.99297684210526</v>
      </c>
    </row>
    <row r="20" spans="8:20" x14ac:dyDescent="0.2">
      <c r="H20" s="2" t="s">
        <v>143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3031.5789473684213</v>
      </c>
      <c r="M20">
        <v>7</v>
      </c>
      <c r="N20" s="3">
        <f>IFERROR((表16[[#This Row],[等价rmb]]-$L$13)/表16[[#This Row],[提升]],0)</f>
        <v>420.41503759398495</v>
      </c>
    </row>
    <row r="21" spans="8:20" x14ac:dyDescent="0.2">
      <c r="H21" s="2" t="s">
        <v>125</v>
      </c>
      <c r="I21" s="2">
        <v>96</v>
      </c>
      <c r="J21" s="2">
        <f>26+49</f>
        <v>75</v>
      </c>
      <c r="K21" s="2">
        <f>IF(表16[[#This Row],[制作价格]]&gt;0,表16[[#This Row],[购买价格w]]*0.95-表16[[#This Row],[制作价格]],0)</f>
        <v>16.199999999999989</v>
      </c>
      <c r="L21" cm="1">
        <f t="array" ref="L21">MIN(表16[[#This Row],[购买价格w]],表16[[#This Row],[制作价格]])*金价表[税后金价]</f>
        <v>28.421052631578949</v>
      </c>
      <c r="M21">
        <v>0</v>
      </c>
      <c r="N21" s="3">
        <f>IFERROR((表16[[#This Row],[等价rmb]]-$L$21)/表16[[#This Row],[提升]],0)</f>
        <v>0</v>
      </c>
    </row>
    <row r="22" spans="8:20" x14ac:dyDescent="0.2">
      <c r="H22" s="2" t="s">
        <v>126</v>
      </c>
      <c r="I22" s="2">
        <v>500</v>
      </c>
      <c r="J22" s="2">
        <f>538+49</f>
        <v>587</v>
      </c>
      <c r="K22" s="2">
        <f>IF(表16[[#This Row],[制作价格]]&gt;0,表16[[#This Row],[购买价格w]]*0.95-表16[[#This Row],[制作价格]],0)</f>
        <v>-112</v>
      </c>
      <c r="L22" cm="1">
        <f t="array" ref="L22">MIN(表16[[#This Row],[购买价格w]],表16[[#This Row],[制作价格]])*金价表[税后金价]</f>
        <v>189.47368421052633</v>
      </c>
      <c r="M22">
        <v>1</v>
      </c>
      <c r="N22" s="3">
        <f>IFERROR((表16[[#This Row],[等价rmb]]-$L$21)/表16[[#This Row],[提升]],0)</f>
        <v>161.05263157894737</v>
      </c>
    </row>
    <row r="23" spans="8:20" x14ac:dyDescent="0.2">
      <c r="H23" s="2" t="s">
        <v>159</v>
      </c>
      <c r="I23" s="2">
        <v>500</v>
      </c>
      <c r="J23" s="2">
        <f>940+49</f>
        <v>989</v>
      </c>
      <c r="K23" s="2">
        <f>IF(表16[[#This Row],[制作价格]]&gt;0,表16[[#This Row],[购买价格w]]*0.95-表16[[#This Row],[制作价格]],0)</f>
        <v>-514</v>
      </c>
      <c r="L23" cm="1">
        <f t="array" ref="L23">MIN(表16[[#This Row],[购买价格w]],表16[[#This Row],[制作价格]])*金价表[税后金价]</f>
        <v>189.47368421052633</v>
      </c>
      <c r="N23" s="3"/>
    </row>
    <row r="24" spans="8:20" x14ac:dyDescent="0.2">
      <c r="H24" s="2" t="s">
        <v>160</v>
      </c>
      <c r="I24" s="2">
        <v>1500</v>
      </c>
      <c r="J24" s="2">
        <f>4988.8888+49</f>
        <v>5037.8887999999997</v>
      </c>
      <c r="K24" s="2">
        <f>IF(表16[[#This Row],[制作价格]]&gt;0,表16[[#This Row],[购买价格w]]*0.95-表16[[#This Row],[制作价格]],0)</f>
        <v>-3612.8887999999997</v>
      </c>
      <c r="L24" cm="1">
        <f t="array" ref="L24">MIN(表16[[#This Row],[购买价格w]],表16[[#This Row],[制作价格]])*金价表[税后金价]</f>
        <v>568.42105263157896</v>
      </c>
      <c r="M24">
        <v>2</v>
      </c>
      <c r="N24" s="3">
        <f>IFERROR((表16[[#This Row],[等价rmb]]-$L$21)/表16[[#This Row],[提升]],0)</f>
        <v>270</v>
      </c>
    </row>
    <row r="25" spans="8:20" x14ac:dyDescent="0.2">
      <c r="H25" s="2" t="s">
        <v>161</v>
      </c>
      <c r="I25" s="2">
        <v>2000</v>
      </c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757.89473684210532</v>
      </c>
      <c r="M25">
        <v>3</v>
      </c>
      <c r="N25" s="3">
        <f>IFERROR((表16[[#This Row],[等价rmb]]-$L$21)/表16[[#This Row],[提升]],0)</f>
        <v>243.15789473684211</v>
      </c>
      <c r="Q25" t="s">
        <v>149</v>
      </c>
      <c r="R25" t="s">
        <v>148</v>
      </c>
      <c r="S25" t="s">
        <v>152</v>
      </c>
    </row>
    <row r="26" spans="8:20" x14ac:dyDescent="0.2">
      <c r="H26" s="2" t="s">
        <v>162</v>
      </c>
      <c r="I26" s="2">
        <v>3666.6666</v>
      </c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1389.4736589473684</v>
      </c>
      <c r="M26">
        <v>4</v>
      </c>
      <c r="N26" s="3">
        <f>IFERROR((表16[[#This Row],[等价rmb]]-$L$21)/表16[[#This Row],[提升]],0)</f>
        <v>340.26315157894737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155</v>
      </c>
      <c r="I27" s="2">
        <v>5000</v>
      </c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1894.7368421052631</v>
      </c>
      <c r="M27">
        <v>5</v>
      </c>
      <c r="N27" s="3">
        <f>IFERROR((表16[[#This Row],[等价rmb]]-$L$21)/表16[[#This Row],[提升]],0)</f>
        <v>373.26315789473682</v>
      </c>
      <c r="R27" s="1">
        <f>SUM(Q26:S26)</f>
        <v>321</v>
      </c>
      <c r="T27" cm="1">
        <f t="array" ref="T27">R27/金价表[税后金价]</f>
        <v>847.08333333333326</v>
      </c>
    </row>
    <row r="28" spans="8:20" x14ac:dyDescent="0.2">
      <c r="H28" s="2" t="s">
        <v>156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-4.0601503759398501</v>
      </c>
    </row>
    <row r="29" spans="8:20" x14ac:dyDescent="0.2">
      <c r="H29" s="2" t="s">
        <v>157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-3.5526315789473686</v>
      </c>
      <c r="Q29" t="s">
        <v>147</v>
      </c>
      <c r="R29">
        <f>4*140</f>
        <v>560</v>
      </c>
      <c r="S29" t="s">
        <v>151</v>
      </c>
    </row>
    <row r="30" spans="8:20" x14ac:dyDescent="0.2">
      <c r="H30" s="2" t="s">
        <v>158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-3.1578947368421053</v>
      </c>
      <c r="Q30" t="s">
        <v>150</v>
      </c>
      <c r="R30" s="1">
        <f>L28-R29</f>
        <v>-560</v>
      </c>
    </row>
    <row r="31" spans="8:20" x14ac:dyDescent="0.2">
      <c r="H31" s="8" t="s">
        <v>129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89.431578947368422</v>
      </c>
    </row>
    <row r="32" spans="8:20" x14ac:dyDescent="0.2">
      <c r="H32" s="8" t="s">
        <v>130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146.27368421052631</v>
      </c>
      <c r="R32">
        <f>2200/0.35</f>
        <v>6285.7142857142862</v>
      </c>
    </row>
    <row r="33" spans="8:12" x14ac:dyDescent="0.2">
      <c r="H33" s="8" t="s">
        <v>133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43.2</v>
      </c>
    </row>
    <row r="34" spans="8:12" x14ac:dyDescent="0.2">
      <c r="H34" s="8" t="s">
        <v>134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123.53684210526316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P26" sqref="P26"/>
    </sheetView>
  </sheetViews>
  <sheetFormatPr defaultRowHeight="14.25" x14ac:dyDescent="0.2"/>
  <cols>
    <col min="2" max="2" width="10.25" customWidth="1"/>
    <col min="5" max="5" width="17.25" customWidth="1"/>
    <col min="6" max="6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166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164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144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145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2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154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2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163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2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165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2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184</v>
      </c>
      <c r="F52" s="2">
        <v>70</v>
      </c>
      <c r="G52" s="2">
        <v>878183</v>
      </c>
      <c r="H52" s="2">
        <v>80</v>
      </c>
      <c r="I52" s="2">
        <v>0</v>
      </c>
      <c r="J52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60*24*4.2</f>
        <v>6048</v>
      </c>
      <c r="L52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25.454188492063491</v>
      </c>
    </row>
    <row r="53" spans="1:12" x14ac:dyDescent="0.2">
      <c r="A53">
        <v>51</v>
      </c>
      <c r="B53" s="4">
        <v>748608</v>
      </c>
      <c r="C53">
        <f>经验表[[#This Row],[升级所需]]/10000</f>
        <v>74.860799999999998</v>
      </c>
    </row>
    <row r="54" spans="1:12" x14ac:dyDescent="0.2">
      <c r="A54">
        <v>52</v>
      </c>
      <c r="B54" s="4">
        <v>789631</v>
      </c>
      <c r="C54">
        <f>经验表[[#This Row],[升级所需]]/10000</f>
        <v>78.963099999999997</v>
      </c>
    </row>
    <row r="55" spans="1:12" x14ac:dyDescent="0.2">
      <c r="A55">
        <v>53</v>
      </c>
      <c r="B55" s="4">
        <v>832902</v>
      </c>
      <c r="C55">
        <f>经验表[[#This Row],[升级所需]]/10000</f>
        <v>83.290199999999999</v>
      </c>
    </row>
    <row r="56" spans="1:12" x14ac:dyDescent="0.2">
      <c r="A56">
        <v>54</v>
      </c>
      <c r="B56" s="4">
        <v>878545</v>
      </c>
      <c r="C56">
        <f>经验表[[#This Row],[升级所需]]/10000</f>
        <v>87.854500000000002</v>
      </c>
    </row>
    <row r="57" spans="1:12" x14ac:dyDescent="0.2">
      <c r="A57">
        <v>55</v>
      </c>
      <c r="B57" s="4">
        <v>926689</v>
      </c>
      <c r="C57">
        <f>经验表[[#This Row],[升级所需]]/10000</f>
        <v>92.668899999999994</v>
      </c>
      <c r="K57">
        <f>K52/60</f>
        <v>100.8</v>
      </c>
      <c r="L57">
        <f>K57*28</f>
        <v>2822.4</v>
      </c>
    </row>
    <row r="58" spans="1:12" x14ac:dyDescent="0.2">
      <c r="A58">
        <v>56</v>
      </c>
      <c r="B58" s="4">
        <v>977471</v>
      </c>
      <c r="C58">
        <f>经验表[[#This Row],[升级所需]]/10000</f>
        <v>97.747100000000003</v>
      </c>
    </row>
    <row r="59" spans="1:12" x14ac:dyDescent="0.2">
      <c r="A59">
        <v>57</v>
      </c>
      <c r="B59" s="4">
        <v>1031036</v>
      </c>
      <c r="C59">
        <f>经验表[[#This Row],[升级所需]]/10000</f>
        <v>103.1036</v>
      </c>
    </row>
    <row r="60" spans="1:12" x14ac:dyDescent="0.2">
      <c r="A60">
        <v>58</v>
      </c>
      <c r="B60" s="4">
        <v>1087536</v>
      </c>
      <c r="C60">
        <f>经验表[[#This Row],[升级所需]]/10000</f>
        <v>108.75360000000001</v>
      </c>
    </row>
    <row r="61" spans="1:12" x14ac:dyDescent="0.2">
      <c r="A61">
        <v>59</v>
      </c>
      <c r="B61" s="4">
        <v>1147132</v>
      </c>
      <c r="C61">
        <f>经验表[[#This Row],[升级所需]]/10000</f>
        <v>114.7132</v>
      </c>
    </row>
    <row r="62" spans="1:12" x14ac:dyDescent="0.2">
      <c r="A62">
        <v>60</v>
      </c>
      <c r="B62" s="4">
        <v>1209994</v>
      </c>
      <c r="C62">
        <f>经验表[[#This Row],[升级所需]]/10000</f>
        <v>120.99939999999999</v>
      </c>
    </row>
    <row r="63" spans="1:12" x14ac:dyDescent="0.2">
      <c r="A63">
        <v>61</v>
      </c>
      <c r="B63" s="4">
        <v>1276301</v>
      </c>
      <c r="C63">
        <f>经验表[[#This Row],[升级所需]]/10000</f>
        <v>127.6301</v>
      </c>
    </row>
    <row r="64" spans="1:12" x14ac:dyDescent="0.2">
      <c r="A64">
        <v>62</v>
      </c>
      <c r="B64" s="4">
        <v>1346242</v>
      </c>
      <c r="C64">
        <f>经验表[[#This Row],[升级所需]]/10000</f>
        <v>134.6242</v>
      </c>
    </row>
    <row r="65" spans="1:3" x14ac:dyDescent="0.2">
      <c r="A65">
        <v>63</v>
      </c>
      <c r="B65" s="4">
        <v>1420016</v>
      </c>
      <c r="C65">
        <f>经验表[[#This Row],[升级所需]]/10000</f>
        <v>142.0016</v>
      </c>
    </row>
    <row r="66" spans="1:3" x14ac:dyDescent="0.2">
      <c r="A66">
        <v>64</v>
      </c>
      <c r="B66" s="4">
        <v>1497832</v>
      </c>
      <c r="C66">
        <f>经验表[[#This Row],[升级所需]]/10000</f>
        <v>149.78319999999999</v>
      </c>
    </row>
    <row r="67" spans="1:3" x14ac:dyDescent="0.2">
      <c r="A67">
        <v>65</v>
      </c>
      <c r="B67" s="4">
        <v>1579913</v>
      </c>
      <c r="C67">
        <f>经验表[[#This Row],[升级所需]]/10000</f>
        <v>157.9913</v>
      </c>
    </row>
    <row r="68" spans="1:3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3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3" x14ac:dyDescent="0.2">
      <c r="A70">
        <v>68</v>
      </c>
      <c r="B70" s="4">
        <v>1854143</v>
      </c>
      <c r="C70">
        <f>经验表[[#This Row],[升级所需]]/10000</f>
        <v>185.4143</v>
      </c>
    </row>
    <row r="71" spans="1:3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3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3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3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3" x14ac:dyDescent="0.2">
      <c r="A75">
        <v>73</v>
      </c>
      <c r="B75" s="4">
        <v>2420993</v>
      </c>
      <c r="C75">
        <f>经验表[[#This Row],[升级所需]]/10000</f>
        <v>242.0993</v>
      </c>
    </row>
    <row r="76" spans="1:3" x14ac:dyDescent="0.2">
      <c r="A76">
        <v>74</v>
      </c>
      <c r="B76" s="4">
        <v>2553663</v>
      </c>
      <c r="C76">
        <f>经验表[[#This Row],[升级所需]]/10000</f>
        <v>255.3663</v>
      </c>
    </row>
    <row r="77" spans="1:3" x14ac:dyDescent="0.2">
      <c r="A77">
        <v>75</v>
      </c>
      <c r="B77" s="4">
        <v>2693603</v>
      </c>
      <c r="C77">
        <f>经验表[[#This Row],[升级所需]]/10000</f>
        <v>269.3603</v>
      </c>
    </row>
    <row r="78" spans="1:3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3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3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workbookViewId="0">
      <selection activeCell="E4" sqref="E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41.684210526315788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536.06237816764099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178.68745938921381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99.270810771785463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70.165232744455679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56.834433647968758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49.995372064758982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7.2</v>
      </c>
      <c r="W16">
        <f>表7[[#This Row],[rmb]]
/(表7[[#This Row],[卷概率]]*表7[[#This Row],[敏捷]])</f>
        <v>14.4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43.2</v>
      </c>
      <c r="AB16">
        <f>表7[[#This Row],[总敏捷]]*表7[[#This Row],[每点敏捷价格]]</f>
        <v>216</v>
      </c>
      <c r="AC16">
        <f>表7[[#This Row],[成本造价]]
/IFERROR((1 - _xlfn.BINOM.DIST(表7[[#This Row],[成功数量]]-1, 表7[[#This Row],[模拟数量]], 表7[[#This Row],[卷概率]], TRUE)),0)</f>
        <v>2725.5520504731812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51.915789473684214</v>
      </c>
      <c r="W17">
        <f>表7[[#This Row],[rmb]]
/(表7[[#This Row],[卷概率]]*表7[[#This Row],[敏捷]])</f>
        <v>43.26315789473685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1.3263157894736843</v>
      </c>
      <c r="W18">
        <f>表7[[#This Row],[rmb]]
/(表7[[#This Row],[卷概率]]*表7[[#This Row],[敏捷]])</f>
        <v>1.3263157894736843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5.3052631578947373</v>
      </c>
      <c r="AB18">
        <f>表7[[#This Row],[总敏捷]]*表7[[#This Row],[每点敏捷价格]]</f>
        <v>5.3052631578947373</v>
      </c>
      <c r="AC18">
        <f>表7[[#This Row],[成本造价]]
/IFERROR((1 - _xlfn.BINOM.DIST(表7[[#This Row],[成功数量]]-1, 表7[[#This Row],[模拟数量]], 表7[[#This Row],[卷概率]], TRUE)),0)</f>
        <v>5.3052631578947373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48.505263157894738</v>
      </c>
      <c r="AB19">
        <f>SUM(表7[总价格])</f>
        <v>221.30526315789473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7.2</v>
      </c>
      <c r="W27">
        <f>表7_9[[#This Row],[rmb]]
/(表7_9[[#This Row],[卷概率]]*表7_9[[#This Row],[敏捷]])</f>
        <v>14.4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50.4</v>
      </c>
      <c r="AB27">
        <f>IFERROR(1/(1 - _xlfn.BINOM.DIST(表7_9[[#This Row],[成功数量]]-1, 表7_9[[#This Row],[模拟数量]], 表7_9[[#This Row],[卷概率]], TRUE)),0)
*表7_9[[#This Row],[敏捷价格]]</f>
        <v>560.49666232022309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51.915789473684214</v>
      </c>
      <c r="W28">
        <f>表7_9[[#This Row],[rmb]]
/(表7_9[[#This Row],[卷概率]]*表7_9[[#This Row],[敏捷]])</f>
        <v>43.26315789473685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155.74736842105264</v>
      </c>
      <c r="AB28">
        <f>IFERROR(1/(1 - _xlfn.BINOM.DIST(表7_9[[#This Row],[成功数量]]-1, 表7_9[[#This Row],[模拟数量]], 表7_9[[#This Row],[卷概率]], TRUE)),0)
*表7_9[[#This Row],[敏捷价格]]</f>
        <v>200.29239766081878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1.3263157894736843</v>
      </c>
      <c r="W29">
        <f>表7_9[[#This Row],[rmb]]
/(表7_9[[#This Row],[卷概率]]*表7_9[[#This Row],[敏捷]])</f>
        <v>1.3263157894736843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206.14736842105265</v>
      </c>
      <c r="AB30">
        <f>SUM(表7_9[风险造价])</f>
        <v>760.78905998104187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6"/>
  <sheetViews>
    <sheetView topLeftCell="A4" workbookViewId="0">
      <selection activeCell="K40" sqref="K40:Q40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172</v>
      </c>
      <c r="F8" s="3" t="s">
        <v>173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41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84</v>
      </c>
      <c r="E32">
        <f>SUM(攻击表[值])</f>
        <v>64</v>
      </c>
      <c r="K32" t="s">
        <v>111</v>
      </c>
      <c r="L32" t="s">
        <v>142</v>
      </c>
      <c r="M32" t="s">
        <v>141</v>
      </c>
      <c r="N32" t="s">
        <v>110</v>
      </c>
      <c r="O32" t="s">
        <v>38</v>
      </c>
      <c r="P32" t="s">
        <v>170</v>
      </c>
      <c r="Q32" t="s">
        <v>171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K33" s="8" t="s">
        <v>112</v>
      </c>
      <c r="L33" s="8">
        <v>0</v>
      </c>
      <c r="M33" s="2">
        <f>攻击表[[#Totals],[值]]+表15[[#This Row],[额外攻击]]</f>
        <v>64</v>
      </c>
      <c r="N33" s="2">
        <v>297</v>
      </c>
      <c r="O33" s="2">
        <v>106</v>
      </c>
      <c r="P33" cm="1">
        <f t="array" ref="P33">表15[[#This Row],[攻击]]
*(
 常量表[面板主属性系数]*表15[[#This Row],[运气]]
 +常量表[面板副属性系数]*SUM(属性表[力量],表15[[#This Row],[敏捷]])
)/100</f>
        <v>755.96800000000007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441.19552000000004</v>
      </c>
      <c r="R33" cm="1">
        <f t="array" ref="R33">表15[[#This Row],[攻击]]
*(
 常量表[主属性系数]*表15[[#This Row],[运气]]
)/100</f>
        <v>950.4</v>
      </c>
      <c r="S33" cm="1">
        <f t="array" ref="S33">表15[[#This Row],[攻击]]
*(
 0.5*常量表[主属性系数]*属性表[运气]
)/100</f>
        <v>326.39999999999998</v>
      </c>
      <c r="T33" cm="1">
        <f t="array" ref="T33">表15[[#This Row],[攻击max]]*(常量表[技能倍率]+常量表[暴击倍率])</f>
        <v>2376</v>
      </c>
      <c r="U33" cm="1">
        <f t="array" ref="U33">表15[[#This Row],[攻击min]]*(常量表[技能倍率]+常量表[暴击倍率])</f>
        <v>816</v>
      </c>
      <c r="V33" s="1" cm="1">
        <f t="array" ref="V33">表15[[#This Row],[暴击伤害max]]*(1+0.01*怪物参数[等级差])-怪物参数[怪物防御]*怪物参数[max系数]</f>
        <v>1928.4</v>
      </c>
      <c r="W33" s="1" cm="1">
        <f t="array" ref="W33">表15[[#This Row],[暴击伤害min]]*(1+0.01*怪物参数[等级差])-怪物参数[怪物防御]*怪物参数[min系数]</f>
        <v>482.4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65</v>
      </c>
      <c r="N34" s="2">
        <v>297</v>
      </c>
      <c r="O34" s="2">
        <v>106</v>
      </c>
      <c r="P34" cm="1">
        <f t="array" ref="P34">表15[[#This Row],[攻击]]
*(
 常量表[面板主属性系数]*表15[[#This Row],[运气]]
 +常量表[面板副属性系数]*SUM(属性表[力量],表15[[#This Row],[敏捷]])
)/100</f>
        <v>767.78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448.08920000000006</v>
      </c>
      <c r="R34" cm="1">
        <f t="array" ref="R34">表15[[#This Row],[攻击]]
*(
 常量表[主属性系数]*表15[[#This Row],[运气]]
)/100</f>
        <v>965.25</v>
      </c>
      <c r="S34" cm="1">
        <f t="array" ref="S34">表15[[#This Row],[攻击]]
*(
 0.5*常量表[主属性系数]*属性表[运气]
)/100</f>
        <v>331.5</v>
      </c>
      <c r="T34" cm="1">
        <f t="array" ref="T34">表15[[#This Row],[攻击max]]*(常量表[技能倍率]+常量表[暴击倍率])</f>
        <v>2413.125</v>
      </c>
      <c r="U34" cm="1">
        <f t="array" ref="U34">表15[[#This Row],[攻击min]]*(常量表[技能倍率]+常量表[暴击倍率])</f>
        <v>828.75</v>
      </c>
      <c r="V34" s="1" cm="1">
        <f t="array" ref="V34">表15[[#This Row],[暴击伤害max]]*(1+0.01*怪物参数[等级差])-怪物参数[怪物防御]*怪物参数[max系数]</f>
        <v>1961.8125</v>
      </c>
      <c r="W34" s="1" cm="1">
        <f t="array" ref="W34">表15[[#This Row],[暴击伤害min]]*(1+0.01*怪物参数[等级差])-怪物参数[怪物防御]*怪物参数[min系数]</f>
        <v>493.875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66</v>
      </c>
      <c r="N35" s="2">
        <v>297</v>
      </c>
      <c r="O35" s="2">
        <v>106</v>
      </c>
      <c r="P35" cm="1">
        <f t="array" ref="P35">表15[[#This Row],[攻击]]
*(
 常量表[面板主属性系数]*表15[[#This Row],[运气]]
 +常量表[面板副属性系数]*SUM(属性表[力量],表15[[#This Row],[敏捷]])
)/100</f>
        <v>779.59199999999998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454.98288000000002</v>
      </c>
      <c r="R35" cm="1">
        <f t="array" ref="R35">表15[[#This Row],[攻击]]
*(
 常量表[主属性系数]*表15[[#This Row],[运气]]
)/100</f>
        <v>980.1</v>
      </c>
      <c r="S35" cm="1">
        <f t="array" ref="S35">表15[[#This Row],[攻击]]
*(
 0.5*常量表[主属性系数]*属性表[运气]
)/100</f>
        <v>336.6</v>
      </c>
      <c r="T35" cm="1">
        <f t="array" ref="T35">表15[[#This Row],[攻击max]]*(常量表[技能倍率]+常量表[暴击倍率])</f>
        <v>2450.25</v>
      </c>
      <c r="U35" cm="1">
        <f t="array" ref="U35">表15[[#This Row],[攻击min]]*(常量表[技能倍率]+常量表[暴击倍率])</f>
        <v>841.5</v>
      </c>
      <c r="V35" s="1" cm="1">
        <f t="array" ref="V35">表15[[#This Row],[暴击伤害max]]*(1+0.01*怪物参数[等级差])-怪物参数[怪物防御]*怪物参数[max系数]</f>
        <v>1995.2249999999999</v>
      </c>
      <c r="W35" s="1" cm="1">
        <f t="array" ref="W35">表15[[#This Row],[暴击伤害min]]*(1+0.01*怪物参数[等级差])-怪物参数[怪物防御]*怪物参数[min系数]</f>
        <v>505.35</v>
      </c>
    </row>
    <row r="36" spans="4:23" x14ac:dyDescent="0.2">
      <c r="K36" s="8" t="s">
        <v>135</v>
      </c>
      <c r="L36" s="8">
        <v>3</v>
      </c>
      <c r="M36" s="2">
        <f>攻击表[[#Totals],[值]]+表15[[#This Row],[额外攻击]]</f>
        <v>67</v>
      </c>
      <c r="N36" s="2">
        <v>297</v>
      </c>
      <c r="O36" s="2">
        <v>106</v>
      </c>
      <c r="P36" cm="1">
        <f t="array" ref="P36">表15[[#This Row],[攻击]]
*(
 常量表[面板主属性系数]*表15[[#This Row],[运气]]
 +常量表[面板副属性系数]*SUM(属性表[力量],表15[[#This Row],[敏捷]])
)/100</f>
        <v>791.40400000000011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461.87656000000004</v>
      </c>
      <c r="R36" cm="1">
        <f t="array" ref="R36">表15[[#This Row],[攻击]]
*(
 常量表[主属性系数]*表15[[#This Row],[运气]]
)/100</f>
        <v>994.95</v>
      </c>
      <c r="S36" cm="1">
        <f t="array" ref="S36">表15[[#This Row],[攻击]]
*(
 0.5*常量表[主属性系数]*属性表[运气]
)/100</f>
        <v>341.7</v>
      </c>
      <c r="T36" cm="1">
        <f t="array" ref="T36">表15[[#This Row],[攻击max]]*(常量表[技能倍率]+常量表[暴击倍率])</f>
        <v>2487.375</v>
      </c>
      <c r="U36" cm="1">
        <f t="array" ref="U36">表15[[#This Row],[攻击min]]*(常量表[技能倍率]+常量表[暴击倍率])</f>
        <v>854.25</v>
      </c>
      <c r="V36" s="1" cm="1">
        <f t="array" ref="V36">表15[[#This Row],[暴击伤害max]]*(1+0.01*怪物参数[等级差])-怪物参数[怪物防御]*怪物参数[max系数]</f>
        <v>2028.6375000000003</v>
      </c>
      <c r="W36" s="1" cm="1">
        <f t="array" ref="W36">表15[[#This Row],[暴击伤害min]]*(1+0.01*怪物参数[等级差])-怪物参数[怪物防御]*怪物参数[min系数]</f>
        <v>516.82500000000005</v>
      </c>
    </row>
    <row r="37" spans="4:23" x14ac:dyDescent="0.2">
      <c r="D37" t="s">
        <v>85</v>
      </c>
      <c r="K37" s="8" t="s">
        <v>136</v>
      </c>
      <c r="L37" s="8">
        <v>4</v>
      </c>
      <c r="M37" s="2">
        <f>攻击表[[#Totals],[值]]+表15[[#This Row],[额外攻击]]</f>
        <v>68</v>
      </c>
      <c r="N37" s="2">
        <v>297</v>
      </c>
      <c r="O37" s="2">
        <v>106</v>
      </c>
      <c r="P37" cm="1">
        <f t="array" ref="P37">表15[[#This Row],[攻击]]
*(
 常量表[面板主属性系数]*表15[[#This Row],[运气]]
 +常量表[面板副属性系数]*SUM(属性表[力量],表15[[#This Row],[敏捷]])
)/100</f>
        <v>803.21600000000001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468.77024000000006</v>
      </c>
      <c r="R37" cm="1">
        <f t="array" ref="R37">表15[[#This Row],[攻击]]
*(
 常量表[主属性系数]*表15[[#This Row],[运气]]
)/100</f>
        <v>1009.8</v>
      </c>
      <c r="S37" cm="1">
        <f t="array" ref="S37">表15[[#This Row],[攻击]]
*(
 0.5*常量表[主属性系数]*属性表[运气]
)/100</f>
        <v>346.8</v>
      </c>
      <c r="T37" cm="1">
        <f t="array" ref="T37">表15[[#This Row],[攻击max]]*(常量表[技能倍率]+常量表[暴击倍率])</f>
        <v>2524.5</v>
      </c>
      <c r="U37" cm="1">
        <f t="array" ref="U37">表15[[#This Row],[攻击min]]*(常量表[技能倍率]+常量表[暴击倍率])</f>
        <v>867</v>
      </c>
      <c r="V37" s="1" cm="1">
        <f t="array" ref="V37">表15[[#This Row],[暴击伤害max]]*(1+0.01*怪物参数[等级差])-怪物参数[怪物防御]*怪物参数[max系数]</f>
        <v>2062.0500000000002</v>
      </c>
      <c r="W37" s="1" cm="1">
        <f t="array" ref="W37">表15[[#This Row],[暴击伤害min]]*(1+0.01*怪物参数[等级差])-怪物参数[怪物防御]*怪物参数[min系数]</f>
        <v>528.30000000000007</v>
      </c>
    </row>
    <row r="38" spans="4:23" x14ac:dyDescent="0.2">
      <c r="D38" t="s">
        <v>86</v>
      </c>
      <c r="E38" t="s">
        <v>78</v>
      </c>
      <c r="K38" s="8" t="s">
        <v>137</v>
      </c>
      <c r="L38" s="8">
        <v>5</v>
      </c>
      <c r="M38" s="2">
        <f>攻击表[[#Totals],[值]]+表15[[#This Row],[额外攻击]]</f>
        <v>69</v>
      </c>
      <c r="N38" s="2">
        <v>297</v>
      </c>
      <c r="O38" s="2">
        <v>106</v>
      </c>
      <c r="P38" cm="1">
        <f t="array" ref="P38">表15[[#This Row],[攻击]]
*(
 常量表[面板主属性系数]*表15[[#This Row],[运气]]
 +常量表[面板副属性系数]*SUM(属性表[力量],表15[[#This Row],[敏捷]])
)/100</f>
        <v>815.02800000000002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475.66392000000008</v>
      </c>
      <c r="R38" cm="1">
        <f t="array" ref="R38">表15[[#This Row],[攻击]]
*(
 常量表[主属性系数]*表15[[#This Row],[运气]]
)/100</f>
        <v>1024.6500000000001</v>
      </c>
      <c r="S38" cm="1">
        <f t="array" ref="S38">表15[[#This Row],[攻击]]
*(
 0.5*常量表[主属性系数]*属性表[运气]
)/100</f>
        <v>351.9</v>
      </c>
      <c r="T38" cm="1">
        <f t="array" ref="T38">表15[[#This Row],[攻击max]]*(常量表[技能倍率]+常量表[暴击倍率])</f>
        <v>2561.625</v>
      </c>
      <c r="U38" cm="1">
        <f t="array" ref="U38">表15[[#This Row],[攻击min]]*(常量表[技能倍率]+常量表[暴击倍率])</f>
        <v>879.75</v>
      </c>
      <c r="V38" s="1" cm="1">
        <f t="array" ref="V38">表15[[#This Row],[暴击伤害max]]*(1+0.01*怪物参数[等级差])-怪物参数[怪物防御]*怪物参数[max系数]</f>
        <v>2095.4625000000001</v>
      </c>
      <c r="W38" s="1" cm="1">
        <f t="array" ref="W38">表15[[#This Row],[暴击伤害min]]*(1+0.01*怪物参数[等级差])-怪物参数[怪物防御]*怪物参数[min系数]</f>
        <v>539.77499999999998</v>
      </c>
    </row>
    <row r="39" spans="4:23" x14ac:dyDescent="0.2">
      <c r="D39" t="s">
        <v>87</v>
      </c>
      <c r="E39" cm="1">
        <f t="array" ref="E39">攻击表[[#Totals],[值]]
*(1+(属性表[运气]*常量表[主属性系数]+SUM(属性表[力量],属性表[敏捷])*常量表[面板副属性系数])/100)</f>
        <v>773.76</v>
      </c>
      <c r="K39" s="8" t="s">
        <v>138</v>
      </c>
      <c r="L39" s="8">
        <v>6</v>
      </c>
      <c r="M39" s="2">
        <f>攻击表[[#Totals],[值]]+表15[[#This Row],[额外攻击]]</f>
        <v>70</v>
      </c>
      <c r="N39" s="2">
        <v>297</v>
      </c>
      <c r="O39" s="2">
        <v>106</v>
      </c>
      <c r="P39" cm="1">
        <f t="array" ref="P39">表15[[#This Row],[攻击]]
*(
 常量表[面板主属性系数]*表15[[#This Row],[运气]]
 +常量表[面板副属性系数]*SUM(属性表[力量],表15[[#This Row],[敏捷]])
)/100</f>
        <v>826.84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482.55760000000004</v>
      </c>
      <c r="R39" cm="1">
        <f t="array" ref="R39">表15[[#This Row],[攻击]]
*(
 常量表[主属性系数]*表15[[#This Row],[运气]]
)/100</f>
        <v>1039.5</v>
      </c>
      <c r="S39" cm="1">
        <f t="array" ref="S39">表15[[#This Row],[攻击]]
*(
 0.5*常量表[主属性系数]*属性表[运气]
)/100</f>
        <v>357</v>
      </c>
      <c r="T39" cm="1">
        <f t="array" ref="T39">表15[[#This Row],[攻击max]]*(常量表[技能倍率]+常量表[暴击倍率])</f>
        <v>2598.75</v>
      </c>
      <c r="U39" cm="1">
        <f t="array" ref="U39">表15[[#This Row],[攻击min]]*(常量表[技能倍率]+常量表[暴击倍率])</f>
        <v>892.5</v>
      </c>
      <c r="V39" s="1" cm="1">
        <f t="array" ref="V39">表15[[#This Row],[暴击伤害max]]*(1+0.01*怪物参数[等级差])-怪物参数[怪物防御]*怪物参数[max系数]</f>
        <v>2128.875</v>
      </c>
      <c r="W39" s="1" cm="1">
        <f t="array" ref="W39">表15[[#This Row],[暴击伤害min]]*(1+0.01*怪物参数[等级差])-怪物参数[怪物防御]*怪物参数[min系数]</f>
        <v>551.25</v>
      </c>
    </row>
    <row r="40" spans="4:23" x14ac:dyDescent="0.2">
      <c r="D40" t="s">
        <v>88</v>
      </c>
      <c r="E40" cm="1">
        <f t="array" ref="E40">攻击表[[#Totals],[值]]
*(常量表[伤害下限系数]+(属性表[运气]*常量表[主属性系数]*常量表[熟练度系数]+SUM(属性表[力量],属性表[敏捷])*常量表[面板副属性系数])/100)</f>
        <v>447.87200000000001</v>
      </c>
      <c r="K40" s="8" t="s">
        <v>139</v>
      </c>
      <c r="L40" s="8">
        <v>7</v>
      </c>
      <c r="M40" s="2">
        <f>攻击表[[#Totals],[值]]+表15[[#This Row],[额外攻击]]</f>
        <v>71</v>
      </c>
      <c r="N40" s="2">
        <v>297</v>
      </c>
      <c r="O40" s="2">
        <v>106</v>
      </c>
      <c r="P40" s="1" cm="1">
        <f t="array" ref="P40">表15[[#This Row],[攻击]]
*(
 常量表[面板主属性系数]*表15[[#This Row],[运气]]
 +常量表[面板副属性系数]*SUM(属性表[力量],表15[[#This Row],[敏捷]])
)/100</f>
        <v>838.65199999999993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489.45128000000005</v>
      </c>
      <c r="R40" s="1" cm="1">
        <f t="array" ref="R40">表15[[#This Row],[攻击]]
*(
 常量表[主属性系数]*表15[[#This Row],[运气]]
)/100</f>
        <v>1054.3499999999999</v>
      </c>
      <c r="S40" s="1" cm="1">
        <f t="array" ref="S40">表15[[#This Row],[攻击]]
*(
 0.5*常量表[主属性系数]*属性表[运气]
)/100</f>
        <v>362.1</v>
      </c>
      <c r="T40" s="1" cm="1">
        <f t="array" ref="T40">表15[[#This Row],[攻击max]]*(常量表[技能倍率]+常量表[暴击倍率])</f>
        <v>2635.875</v>
      </c>
      <c r="U40" s="1" cm="1">
        <f t="array" ref="U40">表15[[#This Row],[攻击min]]*(常量表[技能倍率]+常量表[暴击倍率])</f>
        <v>905.25</v>
      </c>
      <c r="V40" s="1" cm="1">
        <f t="array" ref="V40">表15[[#This Row],[暴击伤害max]]*(1+0.01*怪物参数[等级差])-怪物参数[怪物防御]*怪物参数[max系数]</f>
        <v>2162.2874999999999</v>
      </c>
      <c r="W40" s="1" cm="1">
        <f t="array" ref="W40">表15[[#This Row],[暴击伤害min]]*(1+0.01*怪物参数[等级差])-怪物参数[怪物防御]*怪物参数[min系数]</f>
        <v>562.72500000000002</v>
      </c>
    </row>
    <row r="41" spans="4:23" x14ac:dyDescent="0.2">
      <c r="D41" t="s">
        <v>91</v>
      </c>
      <c r="E41" cm="1">
        <f t="array" ref="E41">E39*常量表[技能倍率]</f>
        <v>1160.6399999999999</v>
      </c>
      <c r="K41" s="8" t="s">
        <v>140</v>
      </c>
      <c r="L41" s="8">
        <v>8</v>
      </c>
      <c r="M41" s="2">
        <f>攻击表[[#Totals],[值]]+表15[[#This Row],[额外攻击]]</f>
        <v>72</v>
      </c>
      <c r="N41" s="2">
        <v>297</v>
      </c>
      <c r="O41" s="2">
        <v>106</v>
      </c>
      <c r="P41" cm="1">
        <f t="array" ref="P41">表15[[#This Row],[攻击]]
*(
 常量表[面板主属性系数]*表15[[#This Row],[运气]]
 +常量表[面板副属性系数]*SUM(属性表[力量],表15[[#This Row],[敏捷]])
)/100</f>
        <v>850.46400000000006</v>
      </c>
      <c r="Q41" cm="1">
        <f t="array" ref="Q41">表15[[#This Row],[攻击]]
*(
 常量表[面板主属性系数]*表15[[#This Row],[运气]]*常量表[熟练度系数]
 +常量表[面板副属性系数]*SUM(属性表[力量],表15[[#This Row],[敏捷]])
)/100</f>
        <v>496.34496000000007</v>
      </c>
      <c r="R41" cm="1">
        <f t="array" ref="R41">表15[[#This Row],[攻击]]
*(
 常量表[主属性系数]*表15[[#This Row],[运气]]
)/100</f>
        <v>1069.2</v>
      </c>
      <c r="S41" cm="1">
        <f t="array" ref="S41">表15[[#This Row],[攻击]]
*(
 0.5*常量表[主属性系数]*属性表[运气]
)/100</f>
        <v>367.2</v>
      </c>
      <c r="T41" cm="1">
        <f t="array" ref="T41">表15[[#This Row],[攻击max]]*(常量表[技能倍率]+常量表[暴击倍率])</f>
        <v>2673</v>
      </c>
      <c r="U41" cm="1">
        <f t="array" ref="U41">表15[[#This Row],[攻击min]]*(常量表[技能倍率]+常量表[暴击倍率])</f>
        <v>918</v>
      </c>
      <c r="V41" s="1" cm="1">
        <f t="array" ref="V41">表15[[#This Row],[暴击伤害max]]*(1+0.01*怪物参数[等级差])-怪物参数[怪物防御]*怪物参数[max系数]</f>
        <v>2195.7000000000003</v>
      </c>
      <c r="W41" s="1" cm="1">
        <f t="array" ref="W41">表15[[#This Row],[暴击伤害min]]*(1+0.01*怪物参数[等级差])-怪物参数[怪物防御]*怪物参数[min系数]</f>
        <v>574.20000000000005</v>
      </c>
    </row>
    <row r="42" spans="4:23" x14ac:dyDescent="0.2">
      <c r="D42" t="s">
        <v>90</v>
      </c>
      <c r="E42" cm="1">
        <f t="array" ref="E42">E40*常量表[技能倍率]</f>
        <v>671.80799999999999</v>
      </c>
    </row>
    <row r="43" spans="4:23" x14ac:dyDescent="0.2">
      <c r="D43" t="s">
        <v>97</v>
      </c>
      <c r="E43" cm="1">
        <f t="array" ref="E43">E41*常量表[暴击倍率]</f>
        <v>1160.6399999999999</v>
      </c>
    </row>
    <row r="44" spans="4:23" x14ac:dyDescent="0.2">
      <c r="D44" t="s">
        <v>95</v>
      </c>
      <c r="E44" cm="1">
        <f t="array" ref="E44">E42*常量表[暴击倍率]</f>
        <v>671.80799999999999</v>
      </c>
    </row>
    <row r="45" spans="4:23" x14ac:dyDescent="0.2">
      <c r="D45" t="s">
        <v>103</v>
      </c>
      <c r="E45" cm="1">
        <f t="array" ref="E45">E43*(1+0.01*怪物参数[等级差])-怪物参数[怪物防御]*怪物参数[max系数]</f>
        <v>834.57600000000002</v>
      </c>
    </row>
    <row r="46" spans="4:23" x14ac:dyDescent="0.2">
      <c r="D46" t="s">
        <v>105</v>
      </c>
      <c r="E46" cm="1">
        <f t="array" ref="E46">E44*(1+0.01*怪物参数[等级差])-怪物参数[怪物防御]*怪物参数[min系数]</f>
        <v>352.62720000000002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176</v>
      </c>
      <c r="C4" t="s">
        <v>174</v>
      </c>
      <c r="D4" t="s">
        <v>175</v>
      </c>
    </row>
    <row r="5" spans="2:4" x14ac:dyDescent="0.2">
      <c r="B5" t="s">
        <v>180</v>
      </c>
      <c r="C5" t="s">
        <v>177</v>
      </c>
      <c r="D5" t="s">
        <v>181</v>
      </c>
    </row>
    <row r="6" spans="2:4" x14ac:dyDescent="0.2">
      <c r="B6" t="s">
        <v>180</v>
      </c>
      <c r="C6" t="s">
        <v>178</v>
      </c>
      <c r="D6" t="s">
        <v>181</v>
      </c>
    </row>
    <row r="7" spans="2:4" x14ac:dyDescent="0.2">
      <c r="B7" t="s">
        <v>180</v>
      </c>
      <c r="C7" t="s">
        <v>179</v>
      </c>
      <c r="D7" t="s">
        <v>181</v>
      </c>
    </row>
    <row r="8" spans="2:4" x14ac:dyDescent="0.2">
      <c r="B8" t="s">
        <v>180</v>
      </c>
      <c r="C8" t="s">
        <v>183</v>
      </c>
    </row>
    <row r="9" spans="2:4" x14ac:dyDescent="0.2">
      <c r="B9" t="s">
        <v>153</v>
      </c>
      <c r="C9" t="s">
        <v>182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168</v>
      </c>
    </row>
    <row r="105" spans="7:15" x14ac:dyDescent="0.2">
      <c r="G105">
        <v>2</v>
      </c>
      <c r="H105" t="s">
        <v>167</v>
      </c>
    </row>
    <row r="106" spans="7:15" x14ac:dyDescent="0.2">
      <c r="G106">
        <v>3</v>
      </c>
      <c r="H106" t="s">
        <v>168</v>
      </c>
    </row>
    <row r="107" spans="7:15" x14ac:dyDescent="0.2">
      <c r="N107">
        <v>31</v>
      </c>
      <c r="O107" t="s">
        <v>167</v>
      </c>
    </row>
    <row r="108" spans="7:15" x14ac:dyDescent="0.2">
      <c r="N108">
        <v>32</v>
      </c>
      <c r="O108" t="s">
        <v>167</v>
      </c>
    </row>
    <row r="109" spans="7:15" x14ac:dyDescent="0.2">
      <c r="G109">
        <v>19</v>
      </c>
      <c r="H109" t="s">
        <v>167</v>
      </c>
      <c r="N109">
        <v>33</v>
      </c>
      <c r="O109" t="s">
        <v>167</v>
      </c>
    </row>
    <row r="110" spans="7:15" x14ac:dyDescent="0.2">
      <c r="G110">
        <v>23</v>
      </c>
      <c r="H110" t="s">
        <v>169</v>
      </c>
      <c r="N110">
        <v>36</v>
      </c>
      <c r="O110" t="s">
        <v>168</v>
      </c>
    </row>
    <row r="111" spans="7:15" x14ac:dyDescent="0.2">
      <c r="N111">
        <v>39</v>
      </c>
      <c r="O111" t="s">
        <v>167</v>
      </c>
    </row>
    <row r="112" spans="7:15" x14ac:dyDescent="0.2">
      <c r="N112">
        <v>41</v>
      </c>
      <c r="O112" t="s">
        <v>167</v>
      </c>
    </row>
    <row r="113" spans="14:15" x14ac:dyDescent="0.2">
      <c r="N113">
        <v>54</v>
      </c>
      <c r="O113" t="s">
        <v>168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2026-08-26T17:24:07Z</dcterms:modified>
</cp:coreProperties>
</file>