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reformaglobal.sharepoint.com/sites/ReformaGlobal/Shared Documents/2. Projects/UNICEF Vit A/"/>
    </mc:Choice>
  </mc:AlternateContent>
  <xr:revisionPtr revIDLastSave="2" documentId="8_{B08B64BD-0494-4851-9B77-E7151AE062BA}" xr6:coauthVersionLast="47" xr6:coauthVersionMax="47" xr10:uidLastSave="{39A435F1-909F-44A0-870F-F942D198A912}"/>
  <bookViews>
    <workbookView xWindow="-120" yWindow="-120" windowWidth="29040" windowHeight="15840" xr2:uid="{EFE3261B-9CE8-4A25-8011-17A5F2A4D27A}"/>
  </bookViews>
  <sheets>
    <sheet name="Decision Tree" sheetId="5" r:id="rId1"/>
    <sheet name="All_Scenarios" sheetId="12" r:id="rId2"/>
    <sheet name="Frontier" sheetId="13" r:id="rId3"/>
    <sheet name="DRC Population" sheetId="2" r:id="rId4"/>
    <sheet name="Population in need_HKI" sheetId="9" state="hidden" r:id="rId5"/>
    <sheet name="DRC VAS Cost" sheetId="4" r:id="rId6"/>
    <sheet name="Decision Tree 1" sheetId="1" state="hidden" r:id="rId7"/>
    <sheet name="DRC id" sheetId="6" r:id="rId8"/>
  </sheets>
  <definedNames>
    <definedName name="_xlnm._FilterDatabase" localSheetId="7" hidden="1">'DRC id'!$T$93:$AB$113</definedName>
    <definedName name="solver_eng" localSheetId="7" hidden="1">1</definedName>
    <definedName name="solver_neg" localSheetId="7" hidden="1">1</definedName>
    <definedName name="solver_num" localSheetId="7" hidden="1">0</definedName>
    <definedName name="solver_opt" localSheetId="7" hidden="1">'DRC id'!$Y$99</definedName>
    <definedName name="solver_typ" localSheetId="7" hidden="1">1</definedName>
    <definedName name="solver_val" localSheetId="7" hidden="1">0</definedName>
    <definedName name="solver_ver" localSheetId="7" hidden="1">3</definedName>
  </definedNames>
  <calcPr calcId="191029" concurrentCalc="0"/>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 l="1"/>
  <c r="F5" i="2"/>
  <c r="H30" i="9"/>
  <c r="H5" i="9"/>
  <c r="H6" i="9"/>
  <c r="H7" i="9"/>
  <c r="H8" i="9"/>
  <c r="H9" i="9"/>
  <c r="H10" i="9"/>
  <c r="H11" i="9"/>
  <c r="H12" i="9"/>
  <c r="H13" i="9"/>
  <c r="H14" i="9"/>
  <c r="H15" i="9"/>
  <c r="H16" i="9"/>
  <c r="H17" i="9"/>
  <c r="H18" i="9"/>
  <c r="H19" i="9"/>
  <c r="H20" i="9"/>
  <c r="H21" i="9"/>
  <c r="H22" i="9"/>
  <c r="H23" i="9"/>
  <c r="H24" i="9"/>
  <c r="H25" i="9"/>
  <c r="H26" i="9"/>
  <c r="H27" i="9"/>
  <c r="H28" i="9"/>
  <c r="H29" i="9"/>
  <c r="H4" i="9"/>
  <c r="G30" i="9"/>
  <c r="G5" i="9"/>
  <c r="G6" i="9"/>
  <c r="G7" i="9"/>
  <c r="G8" i="9"/>
  <c r="G9" i="9"/>
  <c r="G10" i="9"/>
  <c r="G11" i="9"/>
  <c r="G12" i="9"/>
  <c r="G13" i="9"/>
  <c r="G14" i="9"/>
  <c r="G15" i="9"/>
  <c r="G16" i="9"/>
  <c r="G17" i="9"/>
  <c r="G18" i="9"/>
  <c r="G19" i="9"/>
  <c r="G20" i="9"/>
  <c r="G21" i="9"/>
  <c r="G22" i="9"/>
  <c r="G23" i="9"/>
  <c r="G24" i="9"/>
  <c r="G25" i="9"/>
  <c r="G26" i="9"/>
  <c r="G27" i="9"/>
  <c r="G28" i="9"/>
  <c r="G29" i="9"/>
  <c r="G4" i="9"/>
  <c r="C30" i="9"/>
  <c r="E30" i="9"/>
  <c r="F30" i="9"/>
  <c r="B30" i="9"/>
  <c r="C4" i="12"/>
  <c r="H23" i="5"/>
  <c r="E4" i="12"/>
  <c r="L23" i="5"/>
  <c r="B7" i="12"/>
  <c r="L28" i="5"/>
  <c r="C7" i="12"/>
  <c r="H35" i="5"/>
  <c r="E5" i="12"/>
  <c r="L34" i="5"/>
  <c r="D7" i="12"/>
  <c r="L39" i="5"/>
  <c r="E7" i="12"/>
  <c r="C5" i="12"/>
  <c r="L56" i="5"/>
  <c r="F7" i="12"/>
  <c r="L61" i="5"/>
  <c r="G7" i="12"/>
  <c r="L66" i="5"/>
  <c r="H7" i="12"/>
  <c r="L71" i="5"/>
  <c r="I7" i="12"/>
  <c r="K10" i="12"/>
  <c r="F46" i="5"/>
  <c r="C3" i="12"/>
  <c r="G4" i="12"/>
  <c r="G5" i="12"/>
  <c r="H4" i="12"/>
  <c r="H5" i="12"/>
  <c r="J10" i="12"/>
  <c r="L10" i="12"/>
  <c r="M10" i="12" a="1"/>
  <c r="M10" i="12"/>
  <c r="N10" i="12"/>
  <c r="J65" i="6"/>
  <c r="J66" i="6"/>
  <c r="J67" i="6"/>
  <c r="J68" i="6"/>
  <c r="J69" i="6"/>
  <c r="J70" i="6"/>
  <c r="J71" i="6"/>
  <c r="J72" i="6"/>
  <c r="J73" i="6"/>
  <c r="J74" i="6"/>
  <c r="J75" i="6"/>
  <c r="J76" i="6"/>
  <c r="J77" i="6"/>
  <c r="J78" i="6"/>
  <c r="J79" i="6"/>
  <c r="J80" i="6"/>
  <c r="J81" i="6"/>
  <c r="J82" i="6"/>
  <c r="J83" i="6"/>
  <c r="J84" i="6"/>
  <c r="J85" i="6"/>
  <c r="J86" i="6"/>
  <c r="J87" i="6"/>
  <c r="J88" i="6"/>
  <c r="J89" i="6"/>
  <c r="J64" i="6"/>
  <c r="I65" i="6"/>
  <c r="I66" i="6"/>
  <c r="I67" i="6"/>
  <c r="I68" i="6"/>
  <c r="I69" i="6"/>
  <c r="I70" i="6"/>
  <c r="I71" i="6"/>
  <c r="I72" i="6"/>
  <c r="I73" i="6"/>
  <c r="I74" i="6"/>
  <c r="I75" i="6"/>
  <c r="I76" i="6"/>
  <c r="I77" i="6"/>
  <c r="I78" i="6"/>
  <c r="I79" i="6"/>
  <c r="I80" i="6"/>
  <c r="I81" i="6"/>
  <c r="I82" i="6"/>
  <c r="I83" i="6"/>
  <c r="I84" i="6"/>
  <c r="I85" i="6"/>
  <c r="I86" i="6"/>
  <c r="I87" i="6"/>
  <c r="I88" i="6"/>
  <c r="I89" i="6"/>
  <c r="I64" i="6"/>
  <c r="H65" i="6"/>
  <c r="H66" i="6"/>
  <c r="H67" i="6"/>
  <c r="H68" i="6"/>
  <c r="H69" i="6"/>
  <c r="H70" i="6"/>
  <c r="H71" i="6"/>
  <c r="H72" i="6"/>
  <c r="H73" i="6"/>
  <c r="H74" i="6"/>
  <c r="H75" i="6"/>
  <c r="H76" i="6"/>
  <c r="H77" i="6"/>
  <c r="H78" i="6"/>
  <c r="H79" i="6"/>
  <c r="H80" i="6"/>
  <c r="H81" i="6"/>
  <c r="H82" i="6"/>
  <c r="H83" i="6"/>
  <c r="H84" i="6"/>
  <c r="H85" i="6"/>
  <c r="H86" i="6"/>
  <c r="H87" i="6"/>
  <c r="H88" i="6"/>
  <c r="H89" i="6"/>
  <c r="H90" i="6"/>
  <c r="H64" i="6"/>
  <c r="B44" i="5"/>
  <c r="F44" i="5"/>
  <c r="Y34" i="5"/>
  <c r="H69" i="5"/>
  <c r="H59" i="5"/>
  <c r="H38" i="5"/>
  <c r="H26" i="5"/>
  <c r="F48" i="5"/>
  <c r="H66" i="5"/>
  <c r="H56" i="5"/>
  <c r="D64" i="6"/>
  <c r="D65" i="6"/>
  <c r="D66" i="6"/>
  <c r="D67" i="6"/>
  <c r="D68" i="6"/>
  <c r="D69" i="6"/>
  <c r="D70" i="6"/>
  <c r="D71" i="6"/>
  <c r="D72" i="6"/>
  <c r="D73" i="6"/>
  <c r="D74" i="6"/>
  <c r="D75" i="6"/>
  <c r="D76" i="6"/>
  <c r="D77" i="6"/>
  <c r="D78" i="6"/>
  <c r="D79" i="6"/>
  <c r="D80" i="6"/>
  <c r="D81" i="6"/>
  <c r="D82" i="6"/>
  <c r="D83" i="6"/>
  <c r="D84" i="6"/>
  <c r="D85" i="6"/>
  <c r="D86" i="6"/>
  <c r="D87" i="6"/>
  <c r="D88" i="6"/>
  <c r="D89" i="6"/>
  <c r="D90" i="6"/>
  <c r="K64" i="6"/>
  <c r="K65" i="6"/>
  <c r="K66" i="6"/>
  <c r="K67" i="6"/>
  <c r="K68" i="6"/>
  <c r="K69" i="6"/>
  <c r="K70" i="6"/>
  <c r="K71" i="6"/>
  <c r="K72" i="6"/>
  <c r="K73" i="6"/>
  <c r="K74" i="6"/>
  <c r="K75" i="6"/>
  <c r="K76" i="6"/>
  <c r="K77" i="6"/>
  <c r="K78" i="6"/>
  <c r="K79" i="6"/>
  <c r="K80" i="6"/>
  <c r="K81" i="6"/>
  <c r="K82" i="6"/>
  <c r="K83" i="6"/>
  <c r="K84" i="6"/>
  <c r="K85" i="6"/>
  <c r="K86" i="6"/>
  <c r="K87" i="6"/>
  <c r="K88" i="6"/>
  <c r="K89" i="6"/>
  <c r="G90" i="6"/>
  <c r="K90" i="6"/>
  <c r="I90" i="6"/>
  <c r="J90" i="6"/>
  <c r="V43" i="5" a="1"/>
  <c r="V43" i="5"/>
  <c r="J94" i="6"/>
  <c r="L94" i="6"/>
  <c r="F137" i="6"/>
  <c r="AC181" i="6"/>
  <c r="H168" i="6"/>
  <c r="F233" i="6"/>
  <c r="G137" i="6"/>
  <c r="AE181" i="6"/>
  <c r="J168" i="6"/>
  <c r="H233" i="6"/>
  <c r="G168" i="6" a="1"/>
  <c r="G168" i="6"/>
  <c r="M94" i="6"/>
  <c r="H137" i="6"/>
  <c r="J233" i="6"/>
  <c r="I137" i="6"/>
  <c r="L233" i="6"/>
  <c r="J95" i="6"/>
  <c r="L95" i="6"/>
  <c r="F138" i="6"/>
  <c r="AC171" i="6"/>
  <c r="H169" i="6"/>
  <c r="F234" i="6"/>
  <c r="G138" i="6"/>
  <c r="AE171" i="6"/>
  <c r="J169" i="6"/>
  <c r="H234" i="6"/>
  <c r="G169" i="6" a="1"/>
  <c r="G169" i="6"/>
  <c r="K95" i="6"/>
  <c r="M95" i="6"/>
  <c r="H138" i="6"/>
  <c r="J234" i="6"/>
  <c r="I138" i="6"/>
  <c r="L234" i="6"/>
  <c r="J96" i="6"/>
  <c r="L96" i="6"/>
  <c r="F139" i="6"/>
  <c r="AC183" i="6"/>
  <c r="H170" i="6"/>
  <c r="F235" i="6"/>
  <c r="G139" i="6"/>
  <c r="AE183" i="6"/>
  <c r="J170" i="6"/>
  <c r="H235" i="6"/>
  <c r="G170" i="6" a="1"/>
  <c r="G170" i="6"/>
  <c r="M96" i="6"/>
  <c r="H139" i="6"/>
  <c r="J235" i="6"/>
  <c r="I139" i="6"/>
  <c r="L235" i="6"/>
  <c r="J97" i="6"/>
  <c r="L97" i="6"/>
  <c r="F140" i="6"/>
  <c r="AC168" i="6"/>
  <c r="H171" i="6"/>
  <c r="F236" i="6"/>
  <c r="G140" i="6"/>
  <c r="AE168" i="6"/>
  <c r="J171" i="6"/>
  <c r="H236" i="6"/>
  <c r="G171" i="6" a="1"/>
  <c r="G171" i="6"/>
  <c r="K97" i="6"/>
  <c r="M97" i="6"/>
  <c r="H140" i="6"/>
  <c r="J236" i="6"/>
  <c r="I140" i="6"/>
  <c r="L236" i="6"/>
  <c r="J98" i="6"/>
  <c r="L98" i="6"/>
  <c r="F141" i="6"/>
  <c r="AC175" i="6"/>
  <c r="H172" i="6"/>
  <c r="F237" i="6"/>
  <c r="G141" i="6"/>
  <c r="AE175" i="6"/>
  <c r="J172" i="6"/>
  <c r="H237" i="6"/>
  <c r="G172" i="6" a="1"/>
  <c r="G172" i="6"/>
  <c r="M98" i="6"/>
  <c r="H141" i="6"/>
  <c r="J237" i="6"/>
  <c r="I141" i="6"/>
  <c r="L237" i="6"/>
  <c r="J99" i="6"/>
  <c r="L99" i="6"/>
  <c r="F142" i="6"/>
  <c r="AC185" i="6"/>
  <c r="H173" i="6"/>
  <c r="F238" i="6"/>
  <c r="G142" i="6"/>
  <c r="AE185" i="6"/>
  <c r="J173" i="6"/>
  <c r="H238" i="6"/>
  <c r="G173" i="6" a="1"/>
  <c r="G173" i="6"/>
  <c r="M99" i="6"/>
  <c r="H142" i="6"/>
  <c r="J238" i="6"/>
  <c r="I142" i="6"/>
  <c r="L238" i="6"/>
  <c r="J100" i="6"/>
  <c r="L100" i="6"/>
  <c r="F143" i="6"/>
  <c r="AC187" i="6"/>
  <c r="H174" i="6"/>
  <c r="F239" i="6"/>
  <c r="G143" i="6"/>
  <c r="AE187" i="6"/>
  <c r="J174" i="6"/>
  <c r="H239" i="6"/>
  <c r="G174" i="6" a="1"/>
  <c r="G174" i="6"/>
  <c r="M100" i="6"/>
  <c r="H143" i="6"/>
  <c r="J239" i="6"/>
  <c r="I143" i="6"/>
  <c r="L239" i="6"/>
  <c r="J101" i="6"/>
  <c r="L101" i="6"/>
  <c r="F144" i="6"/>
  <c r="AC190" i="6"/>
  <c r="H175" i="6"/>
  <c r="F240" i="6"/>
  <c r="G144" i="6"/>
  <c r="AE190" i="6"/>
  <c r="J175" i="6"/>
  <c r="H240" i="6"/>
  <c r="G175" i="6" a="1"/>
  <c r="G175" i="6"/>
  <c r="M101" i="6"/>
  <c r="H144" i="6"/>
  <c r="J240" i="6"/>
  <c r="I144" i="6"/>
  <c r="L240" i="6"/>
  <c r="J102" i="6"/>
  <c r="L102" i="6"/>
  <c r="F145" i="6"/>
  <c r="AC193" i="6"/>
  <c r="H176" i="6"/>
  <c r="F241" i="6"/>
  <c r="G145" i="6"/>
  <c r="AE193" i="6"/>
  <c r="J176" i="6"/>
  <c r="H241" i="6"/>
  <c r="G176" i="6" a="1"/>
  <c r="G176" i="6"/>
  <c r="M102" i="6"/>
  <c r="H145" i="6"/>
  <c r="J241" i="6"/>
  <c r="I145" i="6"/>
  <c r="L241" i="6"/>
  <c r="J103" i="6"/>
  <c r="L103" i="6"/>
  <c r="F146" i="6"/>
  <c r="AC173" i="6"/>
  <c r="H177" i="6"/>
  <c r="F242" i="6"/>
  <c r="G146" i="6"/>
  <c r="AE173" i="6"/>
  <c r="J177" i="6"/>
  <c r="H242" i="6"/>
  <c r="G177" i="6" a="1"/>
  <c r="G177" i="6"/>
  <c r="K103" i="6"/>
  <c r="M103" i="6"/>
  <c r="H146" i="6"/>
  <c r="J242" i="6"/>
  <c r="I146" i="6"/>
  <c r="L242" i="6"/>
  <c r="J104" i="6"/>
  <c r="L104" i="6"/>
  <c r="F147" i="6"/>
  <c r="AC180" i="6"/>
  <c r="H178" i="6"/>
  <c r="F243" i="6"/>
  <c r="G147" i="6"/>
  <c r="AE180" i="6"/>
  <c r="J178" i="6"/>
  <c r="H243" i="6"/>
  <c r="G178" i="6" a="1"/>
  <c r="G178" i="6"/>
  <c r="M104" i="6"/>
  <c r="H147" i="6"/>
  <c r="J243" i="6"/>
  <c r="I147" i="6"/>
  <c r="L243" i="6"/>
  <c r="J105" i="6"/>
  <c r="L105" i="6"/>
  <c r="F148" i="6"/>
  <c r="AC169" i="6"/>
  <c r="H179" i="6"/>
  <c r="F244" i="6"/>
  <c r="G148" i="6"/>
  <c r="AE169" i="6"/>
  <c r="J179" i="6"/>
  <c r="H244" i="6"/>
  <c r="G179" i="6" a="1"/>
  <c r="G179" i="6"/>
  <c r="K105" i="6"/>
  <c r="M105" i="6"/>
  <c r="H148" i="6"/>
  <c r="J244" i="6"/>
  <c r="I148" i="6"/>
  <c r="L244" i="6"/>
  <c r="J106" i="6"/>
  <c r="L106" i="6"/>
  <c r="F149" i="6"/>
  <c r="AC172" i="6"/>
  <c r="H180" i="6"/>
  <c r="F245" i="6"/>
  <c r="G149" i="6"/>
  <c r="AE172" i="6"/>
  <c r="J180" i="6"/>
  <c r="H245" i="6"/>
  <c r="G180" i="6" a="1"/>
  <c r="G180" i="6"/>
  <c r="K106" i="6"/>
  <c r="M106" i="6"/>
  <c r="H149" i="6"/>
  <c r="J245" i="6"/>
  <c r="I149" i="6"/>
  <c r="L245" i="6"/>
  <c r="J107" i="6"/>
  <c r="L107" i="6"/>
  <c r="F150" i="6"/>
  <c r="AC188" i="6"/>
  <c r="H181" i="6"/>
  <c r="F246" i="6"/>
  <c r="G150" i="6"/>
  <c r="AE188" i="6"/>
  <c r="J181" i="6"/>
  <c r="H246" i="6"/>
  <c r="G181" i="6" a="1"/>
  <c r="G181" i="6"/>
  <c r="M107" i="6"/>
  <c r="H150" i="6"/>
  <c r="J246" i="6"/>
  <c r="I150" i="6"/>
  <c r="L246" i="6"/>
  <c r="J108" i="6"/>
  <c r="L108" i="6"/>
  <c r="F151" i="6"/>
  <c r="AC176" i="6"/>
  <c r="H182" i="6"/>
  <c r="F247" i="6"/>
  <c r="G151" i="6"/>
  <c r="AE176" i="6"/>
  <c r="J182" i="6"/>
  <c r="H247" i="6"/>
  <c r="G182" i="6" a="1"/>
  <c r="G182" i="6"/>
  <c r="M108" i="6"/>
  <c r="H151" i="6"/>
  <c r="J247" i="6"/>
  <c r="I151" i="6"/>
  <c r="L247" i="6"/>
  <c r="J109" i="6"/>
  <c r="L109" i="6"/>
  <c r="F152" i="6"/>
  <c r="AC177" i="6"/>
  <c r="H183" i="6"/>
  <c r="F248" i="6"/>
  <c r="G152" i="6"/>
  <c r="AE177" i="6"/>
  <c r="J183" i="6"/>
  <c r="H248" i="6"/>
  <c r="G183" i="6" a="1"/>
  <c r="G183" i="6"/>
  <c r="M109" i="6"/>
  <c r="H152" i="6"/>
  <c r="J248" i="6"/>
  <c r="I152" i="6"/>
  <c r="L248" i="6"/>
  <c r="J110" i="6"/>
  <c r="L110" i="6"/>
  <c r="F153" i="6"/>
  <c r="AC182" i="6"/>
  <c r="H184" i="6"/>
  <c r="F249" i="6"/>
  <c r="G153" i="6"/>
  <c r="AE182" i="6"/>
  <c r="J184" i="6"/>
  <c r="H249" i="6"/>
  <c r="G184" i="6" a="1"/>
  <c r="G184" i="6"/>
  <c r="M110" i="6"/>
  <c r="H153" i="6"/>
  <c r="J249" i="6"/>
  <c r="I153" i="6"/>
  <c r="L249" i="6"/>
  <c r="J111" i="6"/>
  <c r="L111" i="6"/>
  <c r="F154" i="6"/>
  <c r="AC191" i="6"/>
  <c r="H185" i="6"/>
  <c r="F250" i="6"/>
  <c r="G154" i="6"/>
  <c r="AE191" i="6"/>
  <c r="J185" i="6"/>
  <c r="H250" i="6"/>
  <c r="G185" i="6" a="1"/>
  <c r="G185" i="6"/>
  <c r="M111" i="6"/>
  <c r="H154" i="6"/>
  <c r="J250" i="6"/>
  <c r="I154" i="6"/>
  <c r="L250" i="6"/>
  <c r="J112" i="6"/>
  <c r="L112" i="6"/>
  <c r="F155" i="6"/>
  <c r="AC170" i="6"/>
  <c r="H186" i="6"/>
  <c r="F251" i="6"/>
  <c r="G155" i="6"/>
  <c r="AE170" i="6"/>
  <c r="J186" i="6"/>
  <c r="H251" i="6"/>
  <c r="G186" i="6" a="1"/>
  <c r="G186" i="6"/>
  <c r="K112" i="6"/>
  <c r="M112" i="6"/>
  <c r="H155" i="6"/>
  <c r="J251" i="6"/>
  <c r="I155" i="6"/>
  <c r="L251" i="6"/>
  <c r="J113" i="6"/>
  <c r="L113" i="6"/>
  <c r="F156" i="6"/>
  <c r="AC184" i="6"/>
  <c r="H187" i="6"/>
  <c r="F252" i="6"/>
  <c r="G156" i="6"/>
  <c r="AE184" i="6"/>
  <c r="J187" i="6"/>
  <c r="H252" i="6"/>
  <c r="G187" i="6" a="1"/>
  <c r="G187" i="6"/>
  <c r="M113" i="6"/>
  <c r="H156" i="6"/>
  <c r="J252" i="6"/>
  <c r="I156" i="6"/>
  <c r="L252" i="6"/>
  <c r="J114" i="6"/>
  <c r="L114" i="6"/>
  <c r="F157" i="6"/>
  <c r="AC186" i="6"/>
  <c r="H188" i="6"/>
  <c r="F253" i="6"/>
  <c r="G157" i="6"/>
  <c r="AE186" i="6"/>
  <c r="J188" i="6"/>
  <c r="H253" i="6"/>
  <c r="G188" i="6" a="1"/>
  <c r="G188" i="6"/>
  <c r="M114" i="6"/>
  <c r="H157" i="6"/>
  <c r="J253" i="6"/>
  <c r="I157" i="6"/>
  <c r="L253" i="6"/>
  <c r="J115" i="6"/>
  <c r="L115" i="6"/>
  <c r="F158" i="6"/>
  <c r="H189" i="6"/>
  <c r="F254" i="6"/>
  <c r="G158" i="6"/>
  <c r="AE174" i="6"/>
  <c r="J189" i="6"/>
  <c r="H254" i="6"/>
  <c r="G189" i="6" a="1"/>
  <c r="G189" i="6"/>
  <c r="M115" i="6"/>
  <c r="H158" i="6"/>
  <c r="J254" i="6"/>
  <c r="I158" i="6"/>
  <c r="L254" i="6"/>
  <c r="J116" i="6"/>
  <c r="L116" i="6"/>
  <c r="F159" i="6"/>
  <c r="AC178" i="6"/>
  <c r="H190" i="6"/>
  <c r="F255" i="6"/>
  <c r="G159" i="6"/>
  <c r="AE178" i="6"/>
  <c r="J190" i="6"/>
  <c r="H255" i="6"/>
  <c r="G190" i="6" a="1"/>
  <c r="G190" i="6"/>
  <c r="M116" i="6"/>
  <c r="H159" i="6"/>
  <c r="J255" i="6"/>
  <c r="I159" i="6"/>
  <c r="L255" i="6"/>
  <c r="J117" i="6"/>
  <c r="L117" i="6"/>
  <c r="F160" i="6"/>
  <c r="AC179" i="6"/>
  <c r="H191" i="6"/>
  <c r="F256" i="6"/>
  <c r="G160" i="6"/>
  <c r="AE179" i="6"/>
  <c r="J191" i="6"/>
  <c r="H256" i="6"/>
  <c r="G191" i="6" a="1"/>
  <c r="G191" i="6"/>
  <c r="M117" i="6"/>
  <c r="H160" i="6"/>
  <c r="J256" i="6"/>
  <c r="I160" i="6"/>
  <c r="L256" i="6"/>
  <c r="J118" i="6"/>
  <c r="L118" i="6"/>
  <c r="F161" i="6"/>
  <c r="AC192" i="6"/>
  <c r="H192" i="6"/>
  <c r="F257" i="6"/>
  <c r="G161" i="6"/>
  <c r="AE192" i="6"/>
  <c r="J192" i="6"/>
  <c r="H257" i="6"/>
  <c r="G192" i="6" a="1"/>
  <c r="G192" i="6"/>
  <c r="M118" i="6"/>
  <c r="H161" i="6"/>
  <c r="J257" i="6"/>
  <c r="I161" i="6"/>
  <c r="L257" i="6"/>
  <c r="J119" i="6"/>
  <c r="L119" i="6"/>
  <c r="F162" i="6"/>
  <c r="AC189" i="6"/>
  <c r="H193" i="6"/>
  <c r="F258" i="6"/>
  <c r="G162" i="6"/>
  <c r="AE189" i="6"/>
  <c r="J193" i="6"/>
  <c r="H258" i="6"/>
  <c r="G193" i="6" a="1"/>
  <c r="G193" i="6"/>
  <c r="M119" i="6"/>
  <c r="H162" i="6"/>
  <c r="J258" i="6"/>
  <c r="I162" i="6"/>
  <c r="L258" i="6"/>
  <c r="J120" i="6"/>
  <c r="L120" i="6"/>
  <c r="F163" i="6"/>
  <c r="G163" i="6"/>
  <c r="M121" i="6"/>
  <c r="M120" i="6"/>
  <c r="H163" i="6"/>
  <c r="I163" i="6"/>
  <c r="F442" i="6"/>
  <c r="C1" i="12"/>
  <c r="F1" i="12"/>
  <c r="AA69" i="13"/>
  <c r="AA68" i="13"/>
  <c r="AA67" i="13"/>
  <c r="AA66" i="13"/>
  <c r="AA65" i="13"/>
  <c r="AA64" i="13"/>
  <c r="AA63" i="13"/>
  <c r="AA62" i="13"/>
  <c r="AA61" i="13"/>
  <c r="AA60" i="13"/>
  <c r="AA59" i="13"/>
  <c r="AA58" i="13"/>
  <c r="AA57" i="13"/>
  <c r="AA56" i="13"/>
  <c r="AA55" i="13"/>
  <c r="AA54" i="13"/>
  <c r="AA53" i="13"/>
  <c r="AA52" i="13"/>
  <c r="AA51" i="13"/>
  <c r="AA50" i="13"/>
  <c r="AA49" i="13"/>
  <c r="AA48" i="13"/>
  <c r="AA47" i="13"/>
  <c r="AA46" i="13"/>
  <c r="AA45" i="13"/>
  <c r="AA44" i="13"/>
  <c r="AA43" i="13"/>
  <c r="AA42" i="13"/>
  <c r="AA41" i="13"/>
  <c r="AA40" i="13"/>
  <c r="AA39" i="13"/>
  <c r="AA38" i="13"/>
  <c r="AA37" i="13"/>
  <c r="AA36" i="13"/>
  <c r="AA35" i="13"/>
  <c r="AA34" i="13"/>
  <c r="AA33" i="13"/>
  <c r="AA32" i="13"/>
  <c r="AA31" i="13"/>
  <c r="AA30" i="13"/>
  <c r="AA29" i="13"/>
  <c r="AA28" i="13"/>
  <c r="AA27" i="13"/>
  <c r="AA26" i="13"/>
  <c r="AA25" i="13"/>
  <c r="AA24" i="13"/>
  <c r="AA23" i="13"/>
  <c r="AA22" i="13"/>
  <c r="AA21" i="13"/>
  <c r="AA20" i="13"/>
  <c r="AA19" i="13"/>
  <c r="AA18" i="13"/>
  <c r="AA17" i="13"/>
  <c r="AA16" i="13"/>
  <c r="AA15" i="13"/>
  <c r="AA14" i="13"/>
  <c r="AA13" i="13"/>
  <c r="AA12" i="13"/>
  <c r="AA11" i="13"/>
  <c r="AA10" i="13"/>
  <c r="AA9" i="13"/>
  <c r="AA8" i="13"/>
  <c r="AA7" i="13"/>
  <c r="AA6" i="13"/>
  <c r="AA5" i="13"/>
  <c r="J28" i="5"/>
  <c r="F35" i="5"/>
  <c r="F34" i="5"/>
  <c r="H24" i="5"/>
  <c r="N30" i="5"/>
  <c r="P30" i="5"/>
  <c r="R28" i="5"/>
  <c r="R30" i="5"/>
  <c r="J39" i="5"/>
  <c r="H36" i="5"/>
  <c r="N41" i="5"/>
  <c r="P41" i="5"/>
  <c r="R39" i="5"/>
  <c r="R41" i="5"/>
  <c r="J61" i="5"/>
  <c r="F67" i="5"/>
  <c r="F66" i="5"/>
  <c r="H57" i="5"/>
  <c r="N63" i="5"/>
  <c r="P63" i="5"/>
  <c r="R61" i="5"/>
  <c r="R63" i="5"/>
  <c r="J71" i="5"/>
  <c r="H67" i="5"/>
  <c r="N73" i="5"/>
  <c r="P73" i="5"/>
  <c r="R71" i="5"/>
  <c r="R73" i="5"/>
  <c r="Z63" i="5"/>
  <c r="J23" i="5"/>
  <c r="J34" i="5"/>
  <c r="J56" i="5"/>
  <c r="J66" i="5"/>
  <c r="R23" i="5"/>
  <c r="R34" i="5"/>
  <c r="R56" i="5"/>
  <c r="R66" i="5"/>
  <c r="Z44" i="5"/>
  <c r="Z51" i="5"/>
  <c r="N71" i="5"/>
  <c r="P71" i="5"/>
  <c r="N61" i="5"/>
  <c r="P61" i="5"/>
  <c r="N39" i="5"/>
  <c r="P39" i="5"/>
  <c r="N28" i="5"/>
  <c r="P28" i="5"/>
  <c r="Z38" i="5"/>
  <c r="Z37" i="5"/>
  <c r="V49" i="5"/>
  <c r="V34" i="5"/>
  <c r="V41" i="5"/>
  <c r="H29" i="5"/>
  <c r="D94" i="6"/>
  <c r="D95" i="6"/>
  <c r="D96" i="6"/>
  <c r="D97" i="6"/>
  <c r="K94" i="6"/>
  <c r="I34" i="6"/>
  <c r="J34" i="6"/>
  <c r="N94" i="6"/>
  <c r="I35" i="6"/>
  <c r="J35" i="6"/>
  <c r="N95" i="6"/>
  <c r="K96" i="6"/>
  <c r="I36" i="6"/>
  <c r="J36" i="6"/>
  <c r="N96" i="6"/>
  <c r="I37" i="6"/>
  <c r="J37" i="6"/>
  <c r="N97" i="6"/>
  <c r="D98" i="6"/>
  <c r="K98" i="6"/>
  <c r="I38" i="6"/>
  <c r="J38" i="6"/>
  <c r="N98" i="6"/>
  <c r="D99" i="6"/>
  <c r="K99" i="6"/>
  <c r="I39" i="6"/>
  <c r="J39" i="6"/>
  <c r="N99" i="6"/>
  <c r="D100" i="6"/>
  <c r="K100" i="6"/>
  <c r="I40" i="6"/>
  <c r="J40" i="6"/>
  <c r="N100" i="6"/>
  <c r="D101" i="6"/>
  <c r="K101" i="6"/>
  <c r="I41" i="6"/>
  <c r="J41" i="6"/>
  <c r="N101" i="6"/>
  <c r="D102" i="6"/>
  <c r="K102" i="6"/>
  <c r="I42" i="6"/>
  <c r="J42" i="6"/>
  <c r="N102" i="6"/>
  <c r="D103" i="6"/>
  <c r="I43" i="6"/>
  <c r="J43" i="6"/>
  <c r="N103" i="6"/>
  <c r="D104" i="6"/>
  <c r="K104" i="6"/>
  <c r="I44" i="6"/>
  <c r="J44" i="6"/>
  <c r="N104" i="6"/>
  <c r="D105" i="6"/>
  <c r="I45" i="6"/>
  <c r="J45" i="6"/>
  <c r="N105" i="6"/>
  <c r="D106" i="6"/>
  <c r="I46" i="6"/>
  <c r="J46" i="6"/>
  <c r="N106" i="6"/>
  <c r="D107" i="6"/>
  <c r="K107" i="6"/>
  <c r="I47" i="6"/>
  <c r="J47" i="6"/>
  <c r="N107" i="6"/>
  <c r="D108" i="6"/>
  <c r="K108" i="6"/>
  <c r="I48" i="6"/>
  <c r="J48" i="6"/>
  <c r="N108" i="6"/>
  <c r="D109" i="6"/>
  <c r="K109" i="6"/>
  <c r="I49" i="6"/>
  <c r="J49" i="6"/>
  <c r="N109" i="6"/>
  <c r="D110" i="6"/>
  <c r="K110" i="6"/>
  <c r="I50" i="6"/>
  <c r="J50" i="6"/>
  <c r="N110" i="6"/>
  <c r="D111" i="6"/>
  <c r="K111" i="6"/>
  <c r="I51" i="6"/>
  <c r="J51" i="6"/>
  <c r="N111" i="6"/>
  <c r="D112" i="6"/>
  <c r="I52" i="6"/>
  <c r="J52" i="6"/>
  <c r="N112" i="6"/>
  <c r="D113" i="6"/>
  <c r="K113" i="6"/>
  <c r="I53" i="6"/>
  <c r="J53" i="6"/>
  <c r="N113" i="6"/>
  <c r="D114" i="6"/>
  <c r="K114" i="6"/>
  <c r="I54" i="6"/>
  <c r="J54" i="6"/>
  <c r="N114" i="6"/>
  <c r="D115" i="6"/>
  <c r="K115" i="6"/>
  <c r="I55" i="6"/>
  <c r="J55" i="6"/>
  <c r="N115" i="6"/>
  <c r="D116" i="6"/>
  <c r="K116" i="6"/>
  <c r="I56" i="6"/>
  <c r="J56" i="6"/>
  <c r="N116" i="6"/>
  <c r="D117" i="6"/>
  <c r="K117" i="6"/>
  <c r="I57" i="6"/>
  <c r="J57" i="6"/>
  <c r="N117" i="6"/>
  <c r="D118" i="6"/>
  <c r="K118" i="6"/>
  <c r="I58" i="6"/>
  <c r="J58" i="6"/>
  <c r="N118" i="6"/>
  <c r="D119" i="6"/>
  <c r="K119" i="6"/>
  <c r="I59" i="6"/>
  <c r="J59" i="6"/>
  <c r="N119" i="6"/>
  <c r="D120" i="6"/>
  <c r="K120" i="6"/>
  <c r="I60" i="6"/>
  <c r="J60" i="6"/>
  <c r="H41" i="5"/>
  <c r="H62" i="5"/>
  <c r="H72" i="5"/>
  <c r="J29" i="5"/>
  <c r="F199" i="6"/>
  <c r="F198" i="6"/>
  <c r="J35" i="5"/>
  <c r="D169" i="6"/>
  <c r="D199" i="6"/>
  <c r="D170" i="6"/>
  <c r="D200" i="6"/>
  <c r="D171" i="6"/>
  <c r="D201" i="6"/>
  <c r="D172" i="6"/>
  <c r="D202" i="6"/>
  <c r="D173" i="6"/>
  <c r="D203" i="6"/>
  <c r="D174" i="6"/>
  <c r="D204" i="6"/>
  <c r="D175" i="6"/>
  <c r="D205" i="6"/>
  <c r="D176" i="6"/>
  <c r="D206" i="6"/>
  <c r="D177" i="6"/>
  <c r="D207" i="6"/>
  <c r="D178" i="6"/>
  <c r="D208" i="6"/>
  <c r="D179" i="6"/>
  <c r="D209" i="6"/>
  <c r="D180" i="6"/>
  <c r="D210" i="6"/>
  <c r="D181" i="6"/>
  <c r="D211" i="6"/>
  <c r="D182" i="6"/>
  <c r="D212" i="6"/>
  <c r="D183" i="6"/>
  <c r="D213" i="6"/>
  <c r="D184" i="6"/>
  <c r="D214" i="6"/>
  <c r="D185" i="6"/>
  <c r="D215" i="6"/>
  <c r="D186" i="6"/>
  <c r="D216" i="6"/>
  <c r="D187" i="6"/>
  <c r="D217" i="6"/>
  <c r="D188" i="6"/>
  <c r="D218" i="6"/>
  <c r="D189" i="6"/>
  <c r="D219" i="6"/>
  <c r="D190" i="6"/>
  <c r="D220" i="6"/>
  <c r="D191" i="6"/>
  <c r="D221" i="6"/>
  <c r="D192" i="6"/>
  <c r="D222" i="6"/>
  <c r="D193" i="6"/>
  <c r="D223" i="6"/>
  <c r="D168" i="6"/>
  <c r="D198" i="6"/>
  <c r="AD189" i="6"/>
  <c r="I193" i="6"/>
  <c r="AD176" i="6"/>
  <c r="I182" i="6"/>
  <c r="AD177" i="6"/>
  <c r="I183" i="6"/>
  <c r="AD182" i="6"/>
  <c r="I184" i="6"/>
  <c r="AD191" i="6"/>
  <c r="I185" i="6"/>
  <c r="AD170" i="6"/>
  <c r="I186" i="6"/>
  <c r="AD184" i="6"/>
  <c r="I187" i="6"/>
  <c r="AD186" i="6"/>
  <c r="I188" i="6"/>
  <c r="AD174" i="6"/>
  <c r="I189" i="6"/>
  <c r="AD178" i="6"/>
  <c r="I190" i="6"/>
  <c r="AD179" i="6"/>
  <c r="I191" i="6"/>
  <c r="AD192" i="6"/>
  <c r="I192" i="6"/>
  <c r="AD171" i="6"/>
  <c r="I169" i="6"/>
  <c r="AD183" i="6"/>
  <c r="I170" i="6"/>
  <c r="AD168" i="6"/>
  <c r="I171" i="6"/>
  <c r="AD175" i="6"/>
  <c r="I172" i="6"/>
  <c r="AD185" i="6"/>
  <c r="I173" i="6"/>
  <c r="AD187" i="6"/>
  <c r="I174" i="6"/>
  <c r="AD190" i="6"/>
  <c r="I175" i="6"/>
  <c r="AD193" i="6"/>
  <c r="I176" i="6"/>
  <c r="AD173" i="6"/>
  <c r="I177" i="6"/>
  <c r="AD180" i="6"/>
  <c r="I178" i="6"/>
  <c r="AD169" i="6"/>
  <c r="I179" i="6"/>
  <c r="AD172" i="6"/>
  <c r="I180" i="6"/>
  <c r="AD188" i="6"/>
  <c r="I181" i="6"/>
  <c r="AD181" i="6"/>
  <c r="I168" i="6"/>
  <c r="AF177" i="6"/>
  <c r="K183" i="6"/>
  <c r="AF182" i="6"/>
  <c r="K184" i="6"/>
  <c r="AF191" i="6"/>
  <c r="K185" i="6"/>
  <c r="AF170" i="6"/>
  <c r="K186" i="6"/>
  <c r="AF184" i="6"/>
  <c r="K187" i="6"/>
  <c r="AF186" i="6"/>
  <c r="K188" i="6"/>
  <c r="AF174" i="6"/>
  <c r="K189" i="6"/>
  <c r="AF178" i="6"/>
  <c r="K190" i="6"/>
  <c r="AF179" i="6"/>
  <c r="K191" i="6"/>
  <c r="AF192" i="6"/>
  <c r="K192" i="6"/>
  <c r="AF189" i="6"/>
  <c r="K193" i="6"/>
  <c r="AF171" i="6"/>
  <c r="K169" i="6"/>
  <c r="AF183" i="6"/>
  <c r="K170" i="6"/>
  <c r="AF168" i="6"/>
  <c r="K171" i="6"/>
  <c r="AF175" i="6"/>
  <c r="K172" i="6"/>
  <c r="AF185" i="6"/>
  <c r="K173" i="6"/>
  <c r="AF187" i="6"/>
  <c r="K174" i="6"/>
  <c r="AF190" i="6"/>
  <c r="K175" i="6"/>
  <c r="AF193" i="6"/>
  <c r="K176" i="6"/>
  <c r="AF173" i="6"/>
  <c r="K177" i="6"/>
  <c r="AF180" i="6"/>
  <c r="K178" i="6"/>
  <c r="AF169" i="6"/>
  <c r="K179" i="6"/>
  <c r="AF172" i="6"/>
  <c r="K180" i="6"/>
  <c r="AF188" i="6"/>
  <c r="K181" i="6"/>
  <c r="AF176" i="6"/>
  <c r="K182" i="6"/>
  <c r="AF181" i="6"/>
  <c r="K168" i="6"/>
  <c r="AA95" i="6"/>
  <c r="AA96" i="6"/>
  <c r="AA97" i="6"/>
  <c r="AA98" i="6"/>
  <c r="AA99" i="6"/>
  <c r="AA100" i="6"/>
  <c r="AA101" i="6"/>
  <c r="AA102" i="6"/>
  <c r="AA103" i="6"/>
  <c r="AA104" i="6"/>
  <c r="AA105" i="6"/>
  <c r="AA106" i="6"/>
  <c r="AA107" i="6"/>
  <c r="AA108" i="6"/>
  <c r="AA109" i="6"/>
  <c r="AA110" i="6"/>
  <c r="AA111" i="6"/>
  <c r="AA112" i="6"/>
  <c r="AA113" i="6"/>
  <c r="AA94" i="6"/>
  <c r="X94" i="6"/>
  <c r="Y94" i="6"/>
  <c r="Z94" i="6"/>
  <c r="X95" i="6"/>
  <c r="Y95" i="6"/>
  <c r="Z95" i="6"/>
  <c r="X96" i="6"/>
  <c r="Y96" i="6"/>
  <c r="Z96" i="6"/>
  <c r="X97" i="6"/>
  <c r="Y97" i="6"/>
  <c r="Z97" i="6"/>
  <c r="X98" i="6"/>
  <c r="Y98" i="6"/>
  <c r="Z98" i="6"/>
  <c r="X99" i="6"/>
  <c r="Y99" i="6"/>
  <c r="Z99" i="6"/>
  <c r="X100" i="6"/>
  <c r="Y100" i="6"/>
  <c r="Z100" i="6"/>
  <c r="X101" i="6"/>
  <c r="Y101" i="6"/>
  <c r="Z101" i="6"/>
  <c r="X102" i="6"/>
  <c r="Y102" i="6"/>
  <c r="Z102" i="6"/>
  <c r="X103" i="6"/>
  <c r="Y103" i="6"/>
  <c r="Z103" i="6"/>
  <c r="X104" i="6"/>
  <c r="Y104" i="6"/>
  <c r="Z104" i="6"/>
  <c r="X105" i="6"/>
  <c r="Y105" i="6"/>
  <c r="Z105" i="6"/>
  <c r="X106" i="6"/>
  <c r="Y106" i="6"/>
  <c r="Z106" i="6"/>
  <c r="X107" i="6"/>
  <c r="Y107" i="6"/>
  <c r="Z107" i="6"/>
  <c r="X108" i="6"/>
  <c r="Y108" i="6"/>
  <c r="Z108" i="6"/>
  <c r="X109" i="6"/>
  <c r="Y109" i="6"/>
  <c r="Z109" i="6"/>
  <c r="X110" i="6"/>
  <c r="Y110" i="6"/>
  <c r="Z110" i="6"/>
  <c r="X111" i="6"/>
  <c r="Y111" i="6"/>
  <c r="Z111" i="6"/>
  <c r="X112" i="6"/>
  <c r="Y112" i="6"/>
  <c r="Z112" i="6"/>
  <c r="X113" i="6"/>
  <c r="Y113" i="6"/>
  <c r="Z113" i="6"/>
  <c r="W95" i="6"/>
  <c r="W96" i="6"/>
  <c r="W97" i="6"/>
  <c r="W98" i="6"/>
  <c r="W99" i="6"/>
  <c r="W100" i="6"/>
  <c r="W101" i="6"/>
  <c r="W102" i="6"/>
  <c r="W103" i="6"/>
  <c r="W104" i="6"/>
  <c r="W105" i="6"/>
  <c r="W106" i="6"/>
  <c r="W107" i="6"/>
  <c r="W108" i="6"/>
  <c r="W109" i="6"/>
  <c r="W110" i="6"/>
  <c r="W111" i="6"/>
  <c r="W112" i="6"/>
  <c r="W113" i="6"/>
  <c r="W94" i="6"/>
  <c r="AB98" i="6"/>
  <c r="AB103" i="6"/>
  <c r="AB101" i="6"/>
  <c r="AB111" i="6"/>
  <c r="AB113" i="6"/>
  <c r="AB105" i="6"/>
  <c r="AB104" i="6"/>
  <c r="AB96" i="6"/>
  <c r="AB112" i="6"/>
  <c r="AB102" i="6"/>
  <c r="AB106" i="6"/>
  <c r="AB108" i="6"/>
  <c r="AB109" i="6"/>
  <c r="AB110" i="6"/>
  <c r="AB94" i="6"/>
  <c r="AB99" i="6"/>
  <c r="AB100" i="6"/>
  <c r="AB97" i="6"/>
  <c r="AB107" i="6"/>
  <c r="AB95" i="6"/>
  <c r="Y121" i="6"/>
  <c r="Y122" i="6"/>
  <c r="Y123" i="6"/>
  <c r="Y124" i="6"/>
  <c r="Y125" i="6"/>
  <c r="Y120" i="6"/>
  <c r="X121" i="6"/>
  <c r="X122" i="6"/>
  <c r="X123" i="6"/>
  <c r="X124" i="6"/>
  <c r="X125" i="6"/>
  <c r="X120" i="6"/>
  <c r="L121"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37" i="6"/>
  <c r="I199" i="6"/>
  <c r="J199" i="6"/>
  <c r="I200" i="6"/>
  <c r="J200" i="6"/>
  <c r="I201" i="6"/>
  <c r="J201" i="6"/>
  <c r="I202" i="6"/>
  <c r="J202" i="6"/>
  <c r="I203" i="6"/>
  <c r="J203" i="6"/>
  <c r="I204" i="6"/>
  <c r="J204" i="6"/>
  <c r="I205" i="6"/>
  <c r="J205" i="6"/>
  <c r="I206" i="6"/>
  <c r="J206" i="6"/>
  <c r="I207" i="6"/>
  <c r="J207" i="6"/>
  <c r="I208" i="6"/>
  <c r="J208" i="6"/>
  <c r="I209" i="6"/>
  <c r="J209" i="6"/>
  <c r="I210" i="6"/>
  <c r="J210" i="6"/>
  <c r="I211" i="6"/>
  <c r="J211" i="6"/>
  <c r="I212" i="6"/>
  <c r="J212" i="6"/>
  <c r="I213" i="6"/>
  <c r="J213" i="6"/>
  <c r="I214" i="6"/>
  <c r="J214" i="6"/>
  <c r="I215" i="6"/>
  <c r="J215" i="6"/>
  <c r="I216" i="6"/>
  <c r="J216" i="6"/>
  <c r="I217" i="6"/>
  <c r="J217" i="6"/>
  <c r="I218" i="6"/>
  <c r="J218" i="6"/>
  <c r="I219" i="6"/>
  <c r="J219" i="6"/>
  <c r="I220" i="6"/>
  <c r="J220" i="6"/>
  <c r="I221" i="6"/>
  <c r="J221" i="6"/>
  <c r="I222" i="6"/>
  <c r="J222" i="6"/>
  <c r="I223" i="6"/>
  <c r="J223" i="6"/>
  <c r="J198" i="6"/>
  <c r="I198" i="6"/>
  <c r="G199" i="6"/>
  <c r="F200" i="6"/>
  <c r="G200" i="6"/>
  <c r="F201" i="6"/>
  <c r="G201" i="6"/>
  <c r="F202" i="6"/>
  <c r="G202" i="6"/>
  <c r="F203" i="6"/>
  <c r="G203" i="6"/>
  <c r="F204" i="6"/>
  <c r="G204" i="6"/>
  <c r="F205" i="6"/>
  <c r="G205" i="6"/>
  <c r="F206" i="6"/>
  <c r="G206" i="6"/>
  <c r="F207" i="6"/>
  <c r="G207" i="6"/>
  <c r="F208" i="6"/>
  <c r="G208" i="6"/>
  <c r="F209" i="6"/>
  <c r="G209" i="6"/>
  <c r="F210" i="6"/>
  <c r="G210" i="6"/>
  <c r="F211" i="6"/>
  <c r="G211" i="6"/>
  <c r="F212" i="6"/>
  <c r="G212" i="6"/>
  <c r="F213" i="6"/>
  <c r="G213" i="6"/>
  <c r="F214" i="6"/>
  <c r="G214" i="6"/>
  <c r="F215" i="6"/>
  <c r="G215" i="6"/>
  <c r="F216" i="6"/>
  <c r="G216" i="6"/>
  <c r="F217" i="6"/>
  <c r="G217" i="6"/>
  <c r="F218" i="6"/>
  <c r="G218" i="6"/>
  <c r="F219" i="6"/>
  <c r="G219" i="6"/>
  <c r="F220" i="6"/>
  <c r="G220" i="6"/>
  <c r="F221" i="6"/>
  <c r="G221" i="6"/>
  <c r="F222" i="6"/>
  <c r="G222" i="6"/>
  <c r="F223" i="6"/>
  <c r="G223" i="6"/>
  <c r="G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198" i="6"/>
  <c r="H198" i="6"/>
  <c r="D194" i="6"/>
  <c r="D224" i="6"/>
  <c r="J5" i="9"/>
  <c r="J6" i="9"/>
  <c r="J7" i="9"/>
  <c r="J8" i="9"/>
  <c r="J9" i="9"/>
  <c r="J10" i="9"/>
  <c r="J11" i="9"/>
  <c r="J12" i="9"/>
  <c r="J13" i="9"/>
  <c r="J14" i="9"/>
  <c r="J15" i="9"/>
  <c r="J16" i="9"/>
  <c r="J17" i="9"/>
  <c r="J18" i="9"/>
  <c r="J19" i="9"/>
  <c r="J20" i="9"/>
  <c r="J21" i="9"/>
  <c r="J22" i="9"/>
  <c r="J23" i="9"/>
  <c r="J24" i="9"/>
  <c r="J25" i="9"/>
  <c r="J26" i="9"/>
  <c r="J27" i="9"/>
  <c r="J28" i="9"/>
  <c r="J29" i="9"/>
  <c r="J4" i="9"/>
  <c r="K4" i="9"/>
  <c r="K5" i="9"/>
  <c r="K6" i="9"/>
  <c r="K7" i="9"/>
  <c r="K8" i="9"/>
  <c r="K9" i="9"/>
  <c r="K10" i="9"/>
  <c r="K11" i="9"/>
  <c r="K12" i="9"/>
  <c r="K13" i="9"/>
  <c r="K14" i="9"/>
  <c r="K15" i="9"/>
  <c r="K16" i="9"/>
  <c r="K17" i="9"/>
  <c r="K18" i="9"/>
  <c r="K19" i="9"/>
  <c r="K20" i="9"/>
  <c r="K21" i="9"/>
  <c r="K22" i="9"/>
  <c r="K23" i="9"/>
  <c r="K24" i="9"/>
  <c r="K25" i="9"/>
  <c r="K26" i="9"/>
  <c r="K27" i="9"/>
  <c r="K28" i="9"/>
  <c r="K29" i="9"/>
  <c r="E2" i="2"/>
  <c r="Z36" i="5"/>
  <c r="S58" i="5"/>
  <c r="S57" i="5"/>
  <c r="S56" i="5"/>
  <c r="AB51" i="5"/>
  <c r="S25" i="5"/>
  <c r="S24" i="5"/>
  <c r="S23" i="5"/>
  <c r="S36" i="5"/>
  <c r="S35" i="5"/>
  <c r="S34" i="5"/>
  <c r="S68" i="5"/>
  <c r="S67" i="5"/>
  <c r="S66" i="5"/>
  <c r="I47" i="1"/>
  <c r="G49" i="1"/>
  <c r="G37" i="1"/>
  <c r="L49" i="1"/>
  <c r="L44" i="1"/>
  <c r="L38" i="1"/>
  <c r="L33" i="1"/>
  <c r="I36" i="1"/>
  <c r="G45" i="1"/>
  <c r="A4" i="1"/>
  <c r="A5" i="1"/>
  <c r="A6" i="1"/>
  <c r="A7" i="1"/>
  <c r="A8" i="1"/>
  <c r="A9" i="1"/>
  <c r="A10" i="1"/>
  <c r="A11" i="1"/>
  <c r="A12" i="1"/>
  <c r="A13" i="1"/>
  <c r="A14" i="1"/>
  <c r="A15" i="1"/>
  <c r="A16" i="1"/>
  <c r="A17" i="1"/>
  <c r="A18" i="1"/>
  <c r="A19" i="1"/>
  <c r="A20" i="1"/>
  <c r="A21" i="1"/>
  <c r="A22" i="1"/>
  <c r="A23" i="1"/>
  <c r="A24" i="1"/>
  <c r="A25" i="1"/>
  <c r="A26" i="1"/>
  <c r="A27" i="1"/>
  <c r="A28" i="1"/>
  <c r="A29" i="1"/>
  <c r="A3" i="1"/>
  <c r="F29" i="1"/>
  <c r="E42" i="1"/>
  <c r="E45" i="1"/>
  <c r="C41" i="1"/>
  <c r="J47" i="1"/>
  <c r="Y69" i="5"/>
  <c r="J36" i="1"/>
  <c r="G52" i="1"/>
  <c r="G41" i="1"/>
  <c r="G43" i="1"/>
  <c r="C28" i="2"/>
  <c r="D27" i="2"/>
  <c r="E27" i="2"/>
  <c r="D26" i="2"/>
  <c r="E26" i="2"/>
  <c r="D25" i="2"/>
  <c r="E25" i="2"/>
  <c r="D24" i="2"/>
  <c r="E24" i="2"/>
  <c r="D23" i="2"/>
  <c r="E23" i="2"/>
  <c r="D22" i="2"/>
  <c r="E22" i="2"/>
  <c r="D21" i="2"/>
  <c r="E21" i="2"/>
  <c r="D20" i="2"/>
  <c r="E20" i="2"/>
  <c r="D19" i="2"/>
  <c r="E19" i="2"/>
  <c r="D18" i="2"/>
  <c r="E18" i="2"/>
  <c r="D17" i="2"/>
  <c r="E17" i="2"/>
  <c r="D16" i="2"/>
  <c r="E16" i="2"/>
  <c r="D15" i="2"/>
  <c r="E15" i="2"/>
  <c r="D14" i="2"/>
  <c r="E14" i="2"/>
  <c r="D13" i="2"/>
  <c r="E13" i="2"/>
  <c r="D12" i="2"/>
  <c r="E12" i="2"/>
  <c r="D11" i="2"/>
  <c r="E11" i="2"/>
  <c r="D10" i="2"/>
  <c r="E10" i="2"/>
  <c r="D9" i="2"/>
  <c r="E9" i="2"/>
  <c r="D8" i="2"/>
  <c r="E8" i="2"/>
  <c r="D7" i="2"/>
  <c r="E7" i="2"/>
  <c r="D6" i="2"/>
  <c r="E6" i="2"/>
  <c r="D5" i="2"/>
  <c r="E5" i="2"/>
  <c r="D4" i="2"/>
  <c r="E4" i="2"/>
  <c r="D3" i="2"/>
  <c r="E3" i="2"/>
  <c r="D2" i="2"/>
  <c r="Y71" i="5"/>
  <c r="V32" i="5"/>
  <c r="S55" i="5"/>
  <c r="U52" i="5"/>
  <c r="Y68" i="5"/>
  <c r="Y67" i="5"/>
  <c r="S65" i="5"/>
  <c r="S33" i="5"/>
  <c r="S22" i="5"/>
  <c r="G48" i="1"/>
  <c r="G36" i="1"/>
  <c r="L20" i="2"/>
  <c r="L21" i="2"/>
  <c r="L27" i="2"/>
  <c r="L22" i="2"/>
  <c r="L5" i="2"/>
  <c r="L23" i="2"/>
  <c r="D28" i="2"/>
  <c r="E28" i="2"/>
  <c r="F9" i="2"/>
  <c r="L13" i="2"/>
  <c r="L16" i="2"/>
  <c r="L11" i="2"/>
  <c r="L6" i="2"/>
  <c r="I38" i="1"/>
  <c r="J38" i="1"/>
  <c r="I49" i="1"/>
  <c r="J49" i="1"/>
  <c r="F28" i="2"/>
  <c r="F19" i="2"/>
  <c r="F21" i="2"/>
  <c r="F15" i="2"/>
  <c r="F16" i="2"/>
  <c r="F4" i="2"/>
  <c r="F22" i="2"/>
  <c r="F3" i="2"/>
  <c r="F20" i="2"/>
  <c r="F18" i="2"/>
  <c r="F25" i="2"/>
  <c r="F7" i="2"/>
  <c r="F10" i="2"/>
  <c r="F14" i="2"/>
  <c r="F24" i="2"/>
  <c r="F12" i="2"/>
  <c r="F27" i="2"/>
  <c r="F17" i="2"/>
  <c r="F23" i="2"/>
  <c r="F11" i="2"/>
  <c r="F26" i="2"/>
  <c r="L2" i="2"/>
  <c r="F6" i="2"/>
  <c r="F13" i="2"/>
  <c r="F8" i="2"/>
  <c r="E31" i="2"/>
  <c r="E32" i="2"/>
  <c r="E33" i="2"/>
  <c r="E34" i="2"/>
  <c r="E35" i="2"/>
  <c r="E37" i="2"/>
  <c r="Z71" i="5"/>
  <c r="Z72" i="5"/>
  <c r="L35" i="1"/>
  <c r="L40" i="1"/>
  <c r="L51" i="1"/>
  <c r="L46" i="1"/>
  <c r="G224" i="6"/>
  <c r="H224" i="6"/>
  <c r="Y127" i="6"/>
  <c r="Z127" i="6"/>
  <c r="Y115" i="6"/>
  <c r="Z115" i="6"/>
  <c r="K224" i="6"/>
  <c r="J62" i="5"/>
  <c r="J72" i="5"/>
  <c r="L123" i="6"/>
  <c r="J24" i="5"/>
  <c r="J40" i="5"/>
  <c r="N120" i="6"/>
  <c r="J224" i="6"/>
  <c r="J57" i="5"/>
  <c r="J67" i="5"/>
  <c r="AB44" i="5"/>
  <c r="Z67" i="5"/>
  <c r="F224" i="6"/>
  <c r="H194" i="6"/>
  <c r="F259" i="6"/>
  <c r="N25" i="5"/>
  <c r="H259" i="6"/>
  <c r="N36" i="5"/>
  <c r="I224" i="6"/>
  <c r="J194" i="6"/>
  <c r="J259" i="6"/>
  <c r="N58" i="5"/>
  <c r="L259" i="6"/>
  <c r="N68" i="5"/>
  <c r="V38" i="5"/>
  <c r="V46" i="5"/>
  <c r="P25" i="5"/>
  <c r="R25" i="5"/>
  <c r="P36" i="5"/>
  <c r="R36" i="5"/>
  <c r="P58" i="5"/>
  <c r="R58" i="5"/>
  <c r="P68" i="5"/>
  <c r="R68" i="5"/>
  <c r="Z62" i="5"/>
  <c r="V52" i="5"/>
  <c r="V56" i="5"/>
  <c r="Z69" i="5"/>
  <c r="Z68" i="5"/>
  <c r="Z70" i="5"/>
  <c r="Z41" i="5"/>
  <c r="Z43" i="5"/>
  <c r="Z45" i="5"/>
  <c r="Z48" i="5"/>
  <c r="Z50" i="5"/>
  <c r="Z52" i="5"/>
  <c r="Z56" i="5"/>
  <c r="AB56" i="5"/>
  <c r="AB57" i="5"/>
  <c r="Z57" i="5"/>
  <c r="J225" i="6"/>
  <c r="K194" i="6"/>
  <c r="H225" i="6"/>
  <c r="N34" i="5"/>
  <c r="AB42" i="5"/>
  <c r="P34" i="5"/>
  <c r="AB43" i="5"/>
  <c r="P66" i="5"/>
  <c r="AB50" i="5"/>
  <c r="P56" i="5"/>
  <c r="AB48" i="5"/>
  <c r="AB52" i="5"/>
  <c r="P23" i="5"/>
  <c r="AB41" i="5"/>
  <c r="I194" i="6"/>
  <c r="N56" i="5"/>
  <c r="AB47" i="5"/>
  <c r="N66" i="5"/>
  <c r="AB49" i="5"/>
  <c r="Z40" i="5"/>
  <c r="Z42" i="5"/>
  <c r="Z47" i="5"/>
  <c r="Z49" i="5"/>
  <c r="N23" i="5"/>
  <c r="AB40" i="5"/>
  <c r="Z64" i="5"/>
  <c r="AB45" i="5"/>
  <c r="K634"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K491" i="12"/>
  <c r="K492" i="12"/>
  <c r="K493" i="12"/>
  <c r="K494" i="12"/>
  <c r="K495" i="12"/>
  <c r="K496" i="12"/>
  <c r="K497" i="12"/>
  <c r="K498" i="12"/>
  <c r="K499" i="12"/>
  <c r="K500" i="12"/>
  <c r="K501" i="12"/>
  <c r="K502" i="12"/>
  <c r="K503" i="12"/>
  <c r="K504" i="12"/>
  <c r="K505" i="12"/>
  <c r="K506" i="12"/>
  <c r="K507" i="12"/>
  <c r="K508" i="12"/>
  <c r="K509" i="12"/>
  <c r="K510" i="12"/>
  <c r="K511" i="12"/>
  <c r="K512" i="12"/>
  <c r="K513" i="12"/>
  <c r="K514" i="12"/>
  <c r="K515" i="12"/>
  <c r="K516" i="12"/>
  <c r="K517" i="12"/>
  <c r="K518" i="12"/>
  <c r="K519" i="12"/>
  <c r="K520" i="12"/>
  <c r="K521" i="12"/>
  <c r="K522" i="12"/>
  <c r="K523" i="12"/>
  <c r="K524" i="12"/>
  <c r="K525" i="12"/>
  <c r="K526" i="12"/>
  <c r="K527" i="12"/>
  <c r="K528" i="12"/>
  <c r="K529" i="12"/>
  <c r="K530" i="12"/>
  <c r="K531" i="12"/>
  <c r="K532" i="12"/>
  <c r="K533" i="12"/>
  <c r="K534" i="12"/>
  <c r="K535" i="12"/>
  <c r="K536" i="12"/>
  <c r="K537" i="12"/>
  <c r="K538" i="12"/>
  <c r="K539" i="12"/>
  <c r="K540" i="12"/>
  <c r="K541" i="12"/>
  <c r="K542" i="12"/>
  <c r="K543" i="12"/>
  <c r="K544" i="12"/>
  <c r="K545" i="12"/>
  <c r="K546" i="12"/>
  <c r="K547" i="12"/>
  <c r="K548" i="12"/>
  <c r="K549" i="12"/>
  <c r="K550" i="12"/>
  <c r="K551" i="12"/>
  <c r="K552" i="12"/>
  <c r="K553" i="12"/>
  <c r="K554" i="12"/>
  <c r="K555" i="12"/>
  <c r="K556" i="12"/>
  <c r="K557" i="12"/>
  <c r="K558" i="12"/>
  <c r="K559" i="12"/>
  <c r="K560" i="12"/>
  <c r="K561" i="12"/>
  <c r="K562" i="12"/>
  <c r="K563" i="12"/>
  <c r="K564" i="12"/>
  <c r="K565" i="12"/>
  <c r="K566" i="12"/>
  <c r="K567" i="12"/>
  <c r="K568" i="12"/>
  <c r="K569" i="12"/>
  <c r="K570" i="12"/>
  <c r="K571" i="12"/>
  <c r="K572" i="12"/>
  <c r="K573" i="12"/>
  <c r="K574" i="12"/>
  <c r="K575" i="12"/>
  <c r="K576" i="12"/>
  <c r="K577" i="12"/>
  <c r="K578" i="12"/>
  <c r="K579" i="12"/>
  <c r="K580" i="12"/>
  <c r="K581" i="12"/>
  <c r="K582" i="12"/>
  <c r="K583" i="12"/>
  <c r="K584" i="12"/>
  <c r="K585" i="12"/>
  <c r="K586" i="12"/>
  <c r="K587" i="12"/>
  <c r="K588" i="12"/>
  <c r="K589" i="12"/>
  <c r="K590" i="12"/>
  <c r="K591" i="12"/>
  <c r="K592" i="12"/>
  <c r="K593" i="12"/>
  <c r="K594" i="12"/>
  <c r="K595" i="12"/>
  <c r="K596" i="12"/>
  <c r="K597" i="12"/>
  <c r="K598" i="12"/>
  <c r="K599" i="12"/>
  <c r="K600" i="12"/>
  <c r="K601" i="12"/>
  <c r="K602" i="12"/>
  <c r="K603" i="12"/>
  <c r="K604" i="12"/>
  <c r="K605" i="12"/>
  <c r="K606" i="12"/>
  <c r="K607" i="12"/>
  <c r="K608" i="12"/>
  <c r="K609" i="12"/>
  <c r="K610" i="12"/>
  <c r="K611" i="12"/>
  <c r="K612" i="12"/>
  <c r="K613" i="12"/>
  <c r="K614" i="12"/>
  <c r="K615" i="12"/>
  <c r="K616" i="12"/>
  <c r="K617" i="12"/>
  <c r="K618" i="12"/>
  <c r="K619" i="12"/>
  <c r="K620" i="12"/>
  <c r="K621" i="12"/>
  <c r="K622" i="12"/>
  <c r="K623" i="12"/>
  <c r="K624" i="12"/>
  <c r="K625" i="12"/>
  <c r="K626" i="12"/>
  <c r="K627" i="12"/>
  <c r="K628" i="12"/>
  <c r="K629" i="12"/>
  <c r="K630" i="12"/>
  <c r="K631" i="12"/>
  <c r="K632" i="12"/>
  <c r="K633" i="12"/>
  <c r="J634" i="12"/>
  <c r="L634" i="12"/>
  <c r="J11" i="12"/>
  <c r="L11" i="12"/>
  <c r="J12" i="12"/>
  <c r="L12" i="12"/>
  <c r="J13" i="12"/>
  <c r="L13" i="12"/>
  <c r="J14" i="12"/>
  <c r="L14" i="12"/>
  <c r="J15" i="12"/>
  <c r="L15" i="12"/>
  <c r="J16" i="12"/>
  <c r="L16" i="12"/>
  <c r="J17" i="12"/>
  <c r="L17" i="12"/>
  <c r="J18" i="12"/>
  <c r="L18" i="12"/>
  <c r="J19" i="12"/>
  <c r="L19" i="12"/>
  <c r="J20" i="12"/>
  <c r="L20" i="12"/>
  <c r="J21" i="12"/>
  <c r="L21" i="12"/>
  <c r="J22" i="12"/>
  <c r="L22" i="12"/>
  <c r="J23" i="12"/>
  <c r="L23" i="12"/>
  <c r="J24" i="12"/>
  <c r="L24" i="12"/>
  <c r="J25" i="12"/>
  <c r="L25" i="12"/>
  <c r="J26" i="12"/>
  <c r="L26" i="12"/>
  <c r="J27" i="12"/>
  <c r="L27" i="12"/>
  <c r="J28" i="12"/>
  <c r="L28" i="12"/>
  <c r="J29" i="12"/>
  <c r="L29" i="12"/>
  <c r="J30" i="12"/>
  <c r="L30" i="12"/>
  <c r="J31" i="12"/>
  <c r="L31" i="12"/>
  <c r="J32" i="12"/>
  <c r="L32" i="12"/>
  <c r="J33" i="12"/>
  <c r="L33" i="12"/>
  <c r="J34" i="12"/>
  <c r="L34" i="12"/>
  <c r="J35" i="12"/>
  <c r="L35" i="12"/>
  <c r="J36" i="12"/>
  <c r="L36" i="12"/>
  <c r="J37" i="12"/>
  <c r="L37" i="12"/>
  <c r="J38" i="12"/>
  <c r="L38" i="12"/>
  <c r="J39" i="12"/>
  <c r="L39" i="12"/>
  <c r="J40" i="12"/>
  <c r="L40" i="12"/>
  <c r="J41" i="12"/>
  <c r="L41" i="12"/>
  <c r="J42" i="12"/>
  <c r="L42" i="12"/>
  <c r="J43" i="12"/>
  <c r="L43" i="12"/>
  <c r="J44" i="12"/>
  <c r="L44" i="12"/>
  <c r="J45" i="12"/>
  <c r="L45" i="12"/>
  <c r="J46" i="12"/>
  <c r="L46" i="12"/>
  <c r="J47" i="12"/>
  <c r="L47" i="12"/>
  <c r="J48" i="12"/>
  <c r="L48" i="12"/>
  <c r="J49" i="12"/>
  <c r="L49" i="12"/>
  <c r="J50" i="12"/>
  <c r="L50" i="12"/>
  <c r="J51" i="12"/>
  <c r="L51" i="12"/>
  <c r="J52" i="12"/>
  <c r="L52" i="12"/>
  <c r="J53" i="12"/>
  <c r="L53" i="12"/>
  <c r="J54" i="12"/>
  <c r="L54" i="12"/>
  <c r="J55" i="12"/>
  <c r="L55" i="12"/>
  <c r="J56" i="12"/>
  <c r="L56" i="12"/>
  <c r="J57" i="12"/>
  <c r="L57" i="12"/>
  <c r="J58" i="12"/>
  <c r="L58" i="12"/>
  <c r="J59" i="12"/>
  <c r="L59" i="12"/>
  <c r="J60" i="12"/>
  <c r="L60" i="12"/>
  <c r="J61" i="12"/>
  <c r="L61" i="12"/>
  <c r="J62" i="12"/>
  <c r="L62" i="12"/>
  <c r="J63" i="12"/>
  <c r="L63" i="12"/>
  <c r="J64" i="12"/>
  <c r="L64" i="12"/>
  <c r="J65" i="12"/>
  <c r="L65" i="12"/>
  <c r="J66" i="12"/>
  <c r="L66" i="12"/>
  <c r="J67" i="12"/>
  <c r="L67" i="12"/>
  <c r="J68" i="12"/>
  <c r="L68" i="12"/>
  <c r="J69" i="12"/>
  <c r="L69" i="12"/>
  <c r="J70" i="12"/>
  <c r="L70" i="12"/>
  <c r="J71" i="12"/>
  <c r="L71" i="12"/>
  <c r="J72" i="12"/>
  <c r="L72" i="12"/>
  <c r="J73" i="12"/>
  <c r="L73" i="12"/>
  <c r="J74" i="12"/>
  <c r="L74" i="12"/>
  <c r="J75" i="12"/>
  <c r="L75" i="12"/>
  <c r="J76" i="12"/>
  <c r="L76" i="12"/>
  <c r="J77" i="12"/>
  <c r="L77" i="12"/>
  <c r="J78" i="12"/>
  <c r="L78" i="12"/>
  <c r="J79" i="12"/>
  <c r="L79" i="12"/>
  <c r="J80" i="12"/>
  <c r="L80" i="12"/>
  <c r="J81" i="12"/>
  <c r="L81" i="12"/>
  <c r="J82" i="12"/>
  <c r="L82" i="12"/>
  <c r="J83" i="12"/>
  <c r="L83" i="12"/>
  <c r="J84" i="12"/>
  <c r="L84" i="12"/>
  <c r="J85" i="12"/>
  <c r="L85" i="12"/>
  <c r="J86" i="12"/>
  <c r="L86" i="12"/>
  <c r="J87" i="12"/>
  <c r="L87" i="12"/>
  <c r="J88" i="12"/>
  <c r="L88" i="12"/>
  <c r="J89" i="12"/>
  <c r="L89" i="12"/>
  <c r="J90" i="12"/>
  <c r="L90" i="12"/>
  <c r="J91" i="12"/>
  <c r="L91" i="12"/>
  <c r="J92" i="12"/>
  <c r="L92" i="12"/>
  <c r="J93" i="12"/>
  <c r="L93" i="12"/>
  <c r="J94" i="12"/>
  <c r="L94" i="12"/>
  <c r="J95" i="12"/>
  <c r="L95" i="12"/>
  <c r="J96" i="12"/>
  <c r="L96" i="12"/>
  <c r="J97" i="12"/>
  <c r="L97" i="12"/>
  <c r="J98" i="12"/>
  <c r="L98" i="12"/>
  <c r="J99" i="12"/>
  <c r="L99" i="12"/>
  <c r="J100" i="12"/>
  <c r="L100" i="12"/>
  <c r="J101" i="12"/>
  <c r="L101" i="12"/>
  <c r="J102" i="12"/>
  <c r="L102" i="12"/>
  <c r="J103" i="12"/>
  <c r="L103" i="12"/>
  <c r="J104" i="12"/>
  <c r="L104" i="12"/>
  <c r="J105" i="12"/>
  <c r="L105" i="12"/>
  <c r="J106" i="12"/>
  <c r="L106" i="12"/>
  <c r="J107" i="12"/>
  <c r="L107" i="12"/>
  <c r="J108" i="12"/>
  <c r="L108" i="12"/>
  <c r="J109" i="12"/>
  <c r="L109" i="12"/>
  <c r="J110" i="12"/>
  <c r="L110" i="12"/>
  <c r="J111" i="12"/>
  <c r="L111" i="12"/>
  <c r="J112" i="12"/>
  <c r="L112" i="12"/>
  <c r="J113" i="12"/>
  <c r="L113" i="12"/>
  <c r="J114" i="12"/>
  <c r="L114" i="12"/>
  <c r="J115" i="12"/>
  <c r="L115" i="12"/>
  <c r="J116" i="12"/>
  <c r="L116" i="12"/>
  <c r="J117" i="12"/>
  <c r="L117" i="12"/>
  <c r="J118" i="12"/>
  <c r="L118" i="12"/>
  <c r="J119" i="12"/>
  <c r="L119" i="12"/>
  <c r="J120" i="12"/>
  <c r="L120" i="12"/>
  <c r="J121" i="12"/>
  <c r="L121" i="12"/>
  <c r="J122" i="12"/>
  <c r="L122" i="12"/>
  <c r="J123" i="12"/>
  <c r="L123" i="12"/>
  <c r="J124" i="12"/>
  <c r="L124" i="12"/>
  <c r="J125" i="12"/>
  <c r="L125" i="12"/>
  <c r="J126" i="12"/>
  <c r="L126" i="12"/>
  <c r="J127" i="12"/>
  <c r="L127" i="12"/>
  <c r="J128" i="12"/>
  <c r="L128" i="12"/>
  <c r="J129" i="12"/>
  <c r="L129" i="12"/>
  <c r="J130" i="12"/>
  <c r="L130" i="12"/>
  <c r="J131" i="12"/>
  <c r="L131" i="12"/>
  <c r="J132" i="12"/>
  <c r="L132" i="12"/>
  <c r="J133" i="12"/>
  <c r="L133" i="12"/>
  <c r="J134" i="12"/>
  <c r="L134" i="12"/>
  <c r="J135" i="12"/>
  <c r="L135" i="12"/>
  <c r="J136" i="12"/>
  <c r="L136" i="12"/>
  <c r="J137" i="12"/>
  <c r="L137" i="12"/>
  <c r="J138" i="12"/>
  <c r="L138" i="12"/>
  <c r="J139" i="12"/>
  <c r="L139" i="12"/>
  <c r="J140" i="12"/>
  <c r="L140" i="12"/>
  <c r="J141" i="12"/>
  <c r="L141" i="12"/>
  <c r="J142" i="12"/>
  <c r="L142" i="12"/>
  <c r="J143" i="12"/>
  <c r="L143" i="12"/>
  <c r="J144" i="12"/>
  <c r="L144" i="12"/>
  <c r="J145" i="12"/>
  <c r="L145" i="12"/>
  <c r="J146" i="12"/>
  <c r="L146" i="12"/>
  <c r="J147" i="12"/>
  <c r="L147" i="12"/>
  <c r="J148" i="12"/>
  <c r="L148" i="12"/>
  <c r="J149" i="12"/>
  <c r="L149" i="12"/>
  <c r="J150" i="12"/>
  <c r="L150" i="12"/>
  <c r="J151" i="12"/>
  <c r="L151" i="12"/>
  <c r="J152" i="12"/>
  <c r="L152" i="12"/>
  <c r="J153" i="12"/>
  <c r="L153" i="12"/>
  <c r="J154" i="12"/>
  <c r="L154" i="12"/>
  <c r="J155" i="12"/>
  <c r="L155" i="12"/>
  <c r="J156" i="12"/>
  <c r="L156" i="12"/>
  <c r="J157" i="12"/>
  <c r="L157" i="12"/>
  <c r="J158" i="12"/>
  <c r="L158" i="12"/>
  <c r="J159" i="12"/>
  <c r="L159" i="12"/>
  <c r="J160" i="12"/>
  <c r="L160" i="12"/>
  <c r="J161" i="12"/>
  <c r="L161" i="12"/>
  <c r="J162" i="12"/>
  <c r="L162" i="12"/>
  <c r="J163" i="12"/>
  <c r="L163" i="12"/>
  <c r="J164" i="12"/>
  <c r="L164" i="12"/>
  <c r="J165" i="12"/>
  <c r="L165" i="12"/>
  <c r="J166" i="12"/>
  <c r="L166" i="12"/>
  <c r="J167" i="12"/>
  <c r="L167" i="12"/>
  <c r="J168" i="12"/>
  <c r="L168" i="12"/>
  <c r="J169" i="12"/>
  <c r="L169" i="12"/>
  <c r="J170" i="12"/>
  <c r="L170" i="12"/>
  <c r="J171" i="12"/>
  <c r="L171" i="12"/>
  <c r="J172" i="12"/>
  <c r="L172" i="12"/>
  <c r="J173" i="12"/>
  <c r="L173" i="12"/>
  <c r="J174" i="12"/>
  <c r="L174" i="12"/>
  <c r="J175" i="12"/>
  <c r="L175" i="12"/>
  <c r="J176" i="12"/>
  <c r="L176" i="12"/>
  <c r="J177" i="12"/>
  <c r="L177" i="12"/>
  <c r="J178" i="12"/>
  <c r="L178" i="12"/>
  <c r="J179" i="12"/>
  <c r="L179" i="12"/>
  <c r="J180" i="12"/>
  <c r="L180" i="12"/>
  <c r="J181" i="12"/>
  <c r="L181" i="12"/>
  <c r="J182" i="12"/>
  <c r="L182" i="12"/>
  <c r="J183" i="12"/>
  <c r="L183" i="12"/>
  <c r="J184" i="12"/>
  <c r="L184" i="12"/>
  <c r="J185" i="12"/>
  <c r="L185" i="12"/>
  <c r="J186" i="12"/>
  <c r="L186" i="12"/>
  <c r="J187" i="12"/>
  <c r="L187" i="12"/>
  <c r="J188" i="12"/>
  <c r="L188" i="12"/>
  <c r="J189" i="12"/>
  <c r="L189" i="12"/>
  <c r="J190" i="12"/>
  <c r="L190" i="12"/>
  <c r="J191" i="12"/>
  <c r="L191" i="12"/>
  <c r="J192" i="12"/>
  <c r="L192" i="12"/>
  <c r="J193" i="12"/>
  <c r="L193" i="12"/>
  <c r="J194" i="12"/>
  <c r="L194" i="12"/>
  <c r="J195" i="12"/>
  <c r="L195" i="12"/>
  <c r="J196" i="12"/>
  <c r="L196" i="12"/>
  <c r="J197" i="12"/>
  <c r="L197" i="12"/>
  <c r="J198" i="12"/>
  <c r="L198" i="12"/>
  <c r="J199" i="12"/>
  <c r="L199" i="12"/>
  <c r="J200" i="12"/>
  <c r="L200" i="12"/>
  <c r="J201" i="12"/>
  <c r="L201" i="12"/>
  <c r="J202" i="12"/>
  <c r="L202" i="12"/>
  <c r="J203" i="12"/>
  <c r="L203" i="12"/>
  <c r="J204" i="12"/>
  <c r="L204" i="12"/>
  <c r="J205" i="12"/>
  <c r="L205" i="12"/>
  <c r="J206" i="12"/>
  <c r="L206" i="12"/>
  <c r="J207" i="12"/>
  <c r="L207" i="12"/>
  <c r="J208" i="12"/>
  <c r="L208" i="12"/>
  <c r="J209" i="12"/>
  <c r="L209" i="12"/>
  <c r="J210" i="12"/>
  <c r="L210" i="12"/>
  <c r="J211" i="12"/>
  <c r="L211" i="12"/>
  <c r="J212" i="12"/>
  <c r="L212" i="12"/>
  <c r="J213" i="12"/>
  <c r="L213" i="12"/>
  <c r="J214" i="12"/>
  <c r="L214" i="12"/>
  <c r="J215" i="12"/>
  <c r="L215" i="12"/>
  <c r="J216" i="12"/>
  <c r="L216" i="12"/>
  <c r="J217" i="12"/>
  <c r="L217" i="12"/>
  <c r="J218" i="12"/>
  <c r="L218" i="12"/>
  <c r="J219" i="12"/>
  <c r="L219" i="12"/>
  <c r="J220" i="12"/>
  <c r="L220" i="12"/>
  <c r="J221" i="12"/>
  <c r="L221" i="12"/>
  <c r="J222" i="12"/>
  <c r="L222" i="12"/>
  <c r="J223" i="12"/>
  <c r="L223" i="12"/>
  <c r="J224" i="12"/>
  <c r="L224" i="12"/>
  <c r="J225" i="12"/>
  <c r="L225" i="12"/>
  <c r="J226" i="12"/>
  <c r="L226" i="12"/>
  <c r="J227" i="12"/>
  <c r="L227" i="12"/>
  <c r="J228" i="12"/>
  <c r="L228" i="12"/>
  <c r="J229" i="12"/>
  <c r="L229" i="12"/>
  <c r="J230" i="12"/>
  <c r="L230" i="12"/>
  <c r="J231" i="12"/>
  <c r="L231" i="12"/>
  <c r="J232" i="12"/>
  <c r="L232" i="12"/>
  <c r="J233" i="12"/>
  <c r="L233" i="12"/>
  <c r="J234" i="12"/>
  <c r="L234" i="12"/>
  <c r="J235" i="12"/>
  <c r="L235" i="12"/>
  <c r="J236" i="12"/>
  <c r="L236" i="12"/>
  <c r="J237" i="12"/>
  <c r="L237" i="12"/>
  <c r="J238" i="12"/>
  <c r="L238" i="12"/>
  <c r="J239" i="12"/>
  <c r="L239" i="12"/>
  <c r="J240" i="12"/>
  <c r="L240" i="12"/>
  <c r="J241" i="12"/>
  <c r="L241" i="12"/>
  <c r="J242" i="12"/>
  <c r="L242" i="12"/>
  <c r="J243" i="12"/>
  <c r="L243" i="12"/>
  <c r="J244" i="12"/>
  <c r="L244" i="12"/>
  <c r="J245" i="12"/>
  <c r="L245" i="12"/>
  <c r="J246" i="12"/>
  <c r="L246" i="12"/>
  <c r="J247" i="12"/>
  <c r="L247" i="12"/>
  <c r="J248" i="12"/>
  <c r="L248" i="12"/>
  <c r="J249" i="12"/>
  <c r="L249" i="12"/>
  <c r="J250" i="12"/>
  <c r="L250" i="12"/>
  <c r="J251" i="12"/>
  <c r="L251" i="12"/>
  <c r="J252" i="12"/>
  <c r="L252" i="12"/>
  <c r="J253" i="12"/>
  <c r="L253" i="12"/>
  <c r="J254" i="12"/>
  <c r="L254" i="12"/>
  <c r="J255" i="12"/>
  <c r="L255" i="12"/>
  <c r="J256" i="12"/>
  <c r="L256" i="12"/>
  <c r="J257" i="12"/>
  <c r="L257" i="12"/>
  <c r="J258" i="12"/>
  <c r="L258" i="12"/>
  <c r="J259" i="12"/>
  <c r="L259" i="12"/>
  <c r="J260" i="12"/>
  <c r="L260" i="12"/>
  <c r="J261" i="12"/>
  <c r="L261" i="12"/>
  <c r="J262" i="12"/>
  <c r="L262" i="12"/>
  <c r="J263" i="12"/>
  <c r="L263" i="12"/>
  <c r="J264" i="12"/>
  <c r="L264" i="12"/>
  <c r="J265" i="12"/>
  <c r="L265" i="12"/>
  <c r="J266" i="12"/>
  <c r="L266" i="12"/>
  <c r="J267" i="12"/>
  <c r="L267" i="12"/>
  <c r="J268" i="12"/>
  <c r="L268" i="12"/>
  <c r="J269" i="12"/>
  <c r="L269" i="12"/>
  <c r="J270" i="12"/>
  <c r="L270" i="12"/>
  <c r="J271" i="12"/>
  <c r="L271" i="12"/>
  <c r="J272" i="12"/>
  <c r="L272" i="12"/>
  <c r="J273" i="12"/>
  <c r="L273" i="12"/>
  <c r="J274" i="12"/>
  <c r="L274" i="12"/>
  <c r="J275" i="12"/>
  <c r="L275" i="12"/>
  <c r="J276" i="12"/>
  <c r="L276" i="12"/>
  <c r="J277" i="12"/>
  <c r="L277" i="12"/>
  <c r="J278" i="12"/>
  <c r="L278" i="12"/>
  <c r="J279" i="12"/>
  <c r="L279" i="12"/>
  <c r="J280" i="12"/>
  <c r="L280" i="12"/>
  <c r="J281" i="12"/>
  <c r="L281" i="12"/>
  <c r="J282" i="12"/>
  <c r="L282" i="12"/>
  <c r="J283" i="12"/>
  <c r="L283" i="12"/>
  <c r="J284" i="12"/>
  <c r="L284" i="12"/>
  <c r="J285" i="12"/>
  <c r="L285" i="12"/>
  <c r="J286" i="12"/>
  <c r="L286" i="12"/>
  <c r="J287" i="12"/>
  <c r="L287" i="12"/>
  <c r="J288" i="12"/>
  <c r="L288" i="12"/>
  <c r="J289" i="12"/>
  <c r="L289" i="12"/>
  <c r="J290" i="12"/>
  <c r="L290" i="12"/>
  <c r="J291" i="12"/>
  <c r="L291" i="12"/>
  <c r="J292" i="12"/>
  <c r="L292" i="12"/>
  <c r="J293" i="12"/>
  <c r="L293" i="12"/>
  <c r="J294" i="12"/>
  <c r="L294" i="12"/>
  <c r="J295" i="12"/>
  <c r="L295" i="12"/>
  <c r="J296" i="12"/>
  <c r="L296" i="12"/>
  <c r="J297" i="12"/>
  <c r="L297" i="12"/>
  <c r="J298" i="12"/>
  <c r="L298" i="12"/>
  <c r="J299" i="12"/>
  <c r="L299" i="12"/>
  <c r="J300" i="12"/>
  <c r="L300" i="12"/>
  <c r="J301" i="12"/>
  <c r="L301" i="12"/>
  <c r="J302" i="12"/>
  <c r="L302" i="12"/>
  <c r="J303" i="12"/>
  <c r="L303" i="12"/>
  <c r="J304" i="12"/>
  <c r="L304" i="12"/>
  <c r="J305" i="12"/>
  <c r="L305" i="12"/>
  <c r="J306" i="12"/>
  <c r="L306" i="12"/>
  <c r="J307" i="12"/>
  <c r="L307" i="12"/>
  <c r="J308" i="12"/>
  <c r="L308" i="12"/>
  <c r="J309" i="12"/>
  <c r="L309" i="12"/>
  <c r="J310" i="12"/>
  <c r="L310" i="12"/>
  <c r="J311" i="12"/>
  <c r="L311" i="12"/>
  <c r="J312" i="12"/>
  <c r="L312" i="12"/>
  <c r="J313" i="12"/>
  <c r="L313" i="12"/>
  <c r="J314" i="12"/>
  <c r="L314" i="12"/>
  <c r="J315" i="12"/>
  <c r="L315" i="12"/>
  <c r="J316" i="12"/>
  <c r="L316" i="12"/>
  <c r="J317" i="12"/>
  <c r="L317" i="12"/>
  <c r="J318" i="12"/>
  <c r="L318" i="12"/>
  <c r="J319" i="12"/>
  <c r="L319" i="12"/>
  <c r="J320" i="12"/>
  <c r="L320" i="12"/>
  <c r="J321" i="12"/>
  <c r="L321" i="12"/>
  <c r="J322" i="12"/>
  <c r="L322" i="12"/>
  <c r="J323" i="12"/>
  <c r="L323" i="12"/>
  <c r="J324" i="12"/>
  <c r="L324" i="12"/>
  <c r="J325" i="12"/>
  <c r="L325" i="12"/>
  <c r="J326" i="12"/>
  <c r="L326" i="12"/>
  <c r="J327" i="12"/>
  <c r="L327" i="12"/>
  <c r="J328" i="12"/>
  <c r="L328" i="12"/>
  <c r="J329" i="12"/>
  <c r="L329" i="12"/>
  <c r="J330" i="12"/>
  <c r="L330" i="12"/>
  <c r="J331" i="12"/>
  <c r="L331" i="12"/>
  <c r="J332" i="12"/>
  <c r="L332" i="12"/>
  <c r="J333" i="12"/>
  <c r="L333" i="12"/>
  <c r="J334" i="12"/>
  <c r="L334" i="12"/>
  <c r="J335" i="12"/>
  <c r="L335" i="12"/>
  <c r="J336" i="12"/>
  <c r="L336" i="12"/>
  <c r="J337" i="12"/>
  <c r="L337" i="12"/>
  <c r="J338" i="12"/>
  <c r="L338" i="12"/>
  <c r="J339" i="12"/>
  <c r="L339" i="12"/>
  <c r="J340" i="12"/>
  <c r="L340" i="12"/>
  <c r="J341" i="12"/>
  <c r="L341" i="12"/>
  <c r="J342" i="12"/>
  <c r="L342" i="12"/>
  <c r="J343" i="12"/>
  <c r="L343" i="12"/>
  <c r="J344" i="12"/>
  <c r="L344" i="12"/>
  <c r="J345" i="12"/>
  <c r="L345" i="12"/>
  <c r="J346" i="12"/>
  <c r="L346" i="12"/>
  <c r="J347" i="12"/>
  <c r="L347" i="12"/>
  <c r="J348" i="12"/>
  <c r="L348" i="12"/>
  <c r="J349" i="12"/>
  <c r="L349" i="12"/>
  <c r="J350" i="12"/>
  <c r="L350" i="12"/>
  <c r="J351" i="12"/>
  <c r="L351" i="12"/>
  <c r="J352" i="12"/>
  <c r="L352" i="12"/>
  <c r="J353" i="12"/>
  <c r="L353" i="12"/>
  <c r="J354" i="12"/>
  <c r="L354" i="12"/>
  <c r="J355" i="12"/>
  <c r="L355" i="12"/>
  <c r="J356" i="12"/>
  <c r="L356" i="12"/>
  <c r="J357" i="12"/>
  <c r="L357" i="12"/>
  <c r="J358" i="12"/>
  <c r="L358" i="12"/>
  <c r="J359" i="12"/>
  <c r="L359" i="12"/>
  <c r="J360" i="12"/>
  <c r="L360" i="12"/>
  <c r="J361" i="12"/>
  <c r="L361" i="12"/>
  <c r="J362" i="12"/>
  <c r="L362" i="12"/>
  <c r="J363" i="12"/>
  <c r="L363" i="12"/>
  <c r="J364" i="12"/>
  <c r="L364" i="12"/>
  <c r="J365" i="12"/>
  <c r="L365" i="12"/>
  <c r="J366" i="12"/>
  <c r="L366" i="12"/>
  <c r="J367" i="12"/>
  <c r="L367" i="12"/>
  <c r="J368" i="12"/>
  <c r="L368" i="12"/>
  <c r="J369" i="12"/>
  <c r="L369" i="12"/>
  <c r="J370" i="12"/>
  <c r="L370" i="12"/>
  <c r="J371" i="12"/>
  <c r="L371" i="12"/>
  <c r="J372" i="12"/>
  <c r="L372" i="12"/>
  <c r="J373" i="12"/>
  <c r="L373" i="12"/>
  <c r="J374" i="12"/>
  <c r="L374" i="12"/>
  <c r="J375" i="12"/>
  <c r="L375" i="12"/>
  <c r="J376" i="12"/>
  <c r="L376" i="12"/>
  <c r="J377" i="12"/>
  <c r="L377" i="12"/>
  <c r="J378" i="12"/>
  <c r="L378" i="12"/>
  <c r="J379" i="12"/>
  <c r="L379" i="12"/>
  <c r="J380" i="12"/>
  <c r="L380" i="12"/>
  <c r="J381" i="12"/>
  <c r="L381" i="12"/>
  <c r="J382" i="12"/>
  <c r="L382" i="12"/>
  <c r="J383" i="12"/>
  <c r="L383" i="12"/>
  <c r="J384" i="12"/>
  <c r="L384" i="12"/>
  <c r="J385" i="12"/>
  <c r="L385" i="12"/>
  <c r="J386" i="12"/>
  <c r="L386" i="12"/>
  <c r="J387" i="12"/>
  <c r="L387" i="12"/>
  <c r="J388" i="12"/>
  <c r="L388" i="12"/>
  <c r="J389" i="12"/>
  <c r="L389" i="12"/>
  <c r="J390" i="12"/>
  <c r="L390" i="12"/>
  <c r="J391" i="12"/>
  <c r="L391" i="12"/>
  <c r="J392" i="12"/>
  <c r="L392" i="12"/>
  <c r="J393" i="12"/>
  <c r="L393" i="12"/>
  <c r="J394" i="12"/>
  <c r="L394" i="12"/>
  <c r="J395" i="12"/>
  <c r="L395" i="12"/>
  <c r="J396" i="12"/>
  <c r="L396" i="12"/>
  <c r="J397" i="12"/>
  <c r="L397" i="12"/>
  <c r="J398" i="12"/>
  <c r="L398" i="12"/>
  <c r="J399" i="12"/>
  <c r="L399" i="12"/>
  <c r="J400" i="12"/>
  <c r="L400" i="12"/>
  <c r="J401" i="12"/>
  <c r="L401" i="12"/>
  <c r="J402" i="12"/>
  <c r="L402" i="12"/>
  <c r="J403" i="12"/>
  <c r="L403" i="12"/>
  <c r="J404" i="12"/>
  <c r="L404" i="12"/>
  <c r="J405" i="12"/>
  <c r="L405" i="12"/>
  <c r="J406" i="12"/>
  <c r="L406" i="12"/>
  <c r="J407" i="12"/>
  <c r="L407" i="12"/>
  <c r="J408" i="12"/>
  <c r="L408" i="12"/>
  <c r="J409" i="12"/>
  <c r="L409" i="12"/>
  <c r="J410" i="12"/>
  <c r="L410" i="12"/>
  <c r="J411" i="12"/>
  <c r="L411" i="12"/>
  <c r="J412" i="12"/>
  <c r="L412" i="12"/>
  <c r="J413" i="12"/>
  <c r="L413" i="12"/>
  <c r="J414" i="12"/>
  <c r="L414" i="12"/>
  <c r="J415" i="12"/>
  <c r="L415" i="12"/>
  <c r="J416" i="12"/>
  <c r="L416" i="12"/>
  <c r="J417" i="12"/>
  <c r="L417" i="12"/>
  <c r="J418" i="12"/>
  <c r="L418" i="12"/>
  <c r="J419" i="12"/>
  <c r="L419" i="12"/>
  <c r="J420" i="12"/>
  <c r="L420" i="12"/>
  <c r="J421" i="12"/>
  <c r="L421" i="12"/>
  <c r="J422" i="12"/>
  <c r="L422" i="12"/>
  <c r="J423" i="12"/>
  <c r="L423" i="12"/>
  <c r="J424" i="12"/>
  <c r="L424" i="12"/>
  <c r="J425" i="12"/>
  <c r="L425" i="12"/>
  <c r="J426" i="12"/>
  <c r="L426" i="12"/>
  <c r="J427" i="12"/>
  <c r="L427" i="12"/>
  <c r="J428" i="12"/>
  <c r="L428" i="12"/>
  <c r="J429" i="12"/>
  <c r="L429" i="12"/>
  <c r="J430" i="12"/>
  <c r="L430" i="12"/>
  <c r="J431" i="12"/>
  <c r="L431" i="12"/>
  <c r="J432" i="12"/>
  <c r="L432" i="12"/>
  <c r="J433" i="12"/>
  <c r="L433" i="12"/>
  <c r="J434" i="12"/>
  <c r="L434" i="12"/>
  <c r="J435" i="12"/>
  <c r="L435" i="12"/>
  <c r="J436" i="12"/>
  <c r="L436" i="12"/>
  <c r="J437" i="12"/>
  <c r="L437" i="12"/>
  <c r="J438" i="12"/>
  <c r="L438" i="12"/>
  <c r="J439" i="12"/>
  <c r="L439" i="12"/>
  <c r="J440" i="12"/>
  <c r="L440" i="12"/>
  <c r="J441" i="12"/>
  <c r="L441" i="12"/>
  <c r="J442" i="12"/>
  <c r="L442" i="12"/>
  <c r="J443" i="12"/>
  <c r="L443" i="12"/>
  <c r="J444" i="12"/>
  <c r="L444" i="12"/>
  <c r="J445" i="12"/>
  <c r="L445" i="12"/>
  <c r="J446" i="12"/>
  <c r="L446" i="12"/>
  <c r="J447" i="12"/>
  <c r="L447" i="12"/>
  <c r="J448" i="12"/>
  <c r="L448" i="12"/>
  <c r="J449" i="12"/>
  <c r="L449" i="12"/>
  <c r="J450" i="12"/>
  <c r="L450" i="12"/>
  <c r="J451" i="12"/>
  <c r="L451" i="12"/>
  <c r="J452" i="12"/>
  <c r="L452" i="12"/>
  <c r="J453" i="12"/>
  <c r="L453" i="12"/>
  <c r="J454" i="12"/>
  <c r="L454" i="12"/>
  <c r="J455" i="12"/>
  <c r="L455" i="12"/>
  <c r="J456" i="12"/>
  <c r="L456" i="12"/>
  <c r="J457" i="12"/>
  <c r="L457" i="12"/>
  <c r="J458" i="12"/>
  <c r="L458" i="12"/>
  <c r="J459" i="12"/>
  <c r="L459" i="12"/>
  <c r="J460" i="12"/>
  <c r="L460" i="12"/>
  <c r="J461" i="12"/>
  <c r="L461" i="12"/>
  <c r="J462" i="12"/>
  <c r="L462" i="12"/>
  <c r="J463" i="12"/>
  <c r="L463" i="12"/>
  <c r="J464" i="12"/>
  <c r="L464" i="12"/>
  <c r="J465" i="12"/>
  <c r="L465" i="12"/>
  <c r="J466" i="12"/>
  <c r="L466" i="12"/>
  <c r="J467" i="12"/>
  <c r="L467" i="12"/>
  <c r="J468" i="12"/>
  <c r="L468" i="12"/>
  <c r="J469" i="12"/>
  <c r="L469" i="12"/>
  <c r="J470" i="12"/>
  <c r="L470" i="12"/>
  <c r="J471" i="12"/>
  <c r="L471" i="12"/>
  <c r="J472" i="12"/>
  <c r="L472" i="12"/>
  <c r="J473" i="12"/>
  <c r="L473" i="12"/>
  <c r="J474" i="12"/>
  <c r="L474" i="12"/>
  <c r="J475" i="12"/>
  <c r="L475" i="12"/>
  <c r="J476" i="12"/>
  <c r="L476" i="12"/>
  <c r="J477" i="12"/>
  <c r="L477" i="12"/>
  <c r="J478" i="12"/>
  <c r="L478" i="12"/>
  <c r="J479" i="12"/>
  <c r="L479" i="12"/>
  <c r="J480" i="12"/>
  <c r="L480" i="12"/>
  <c r="J481" i="12"/>
  <c r="L481" i="12"/>
  <c r="J482" i="12"/>
  <c r="L482" i="12"/>
  <c r="J483" i="12"/>
  <c r="L483" i="12"/>
  <c r="J484" i="12"/>
  <c r="L484" i="12"/>
  <c r="J485" i="12"/>
  <c r="L485" i="12"/>
  <c r="J486" i="12"/>
  <c r="L486" i="12"/>
  <c r="J487" i="12"/>
  <c r="L487" i="12"/>
  <c r="J488" i="12"/>
  <c r="L488" i="12"/>
  <c r="J489" i="12"/>
  <c r="L489" i="12"/>
  <c r="J490" i="12"/>
  <c r="L490" i="12"/>
  <c r="J491" i="12"/>
  <c r="L491" i="12"/>
  <c r="J492" i="12"/>
  <c r="L492" i="12"/>
  <c r="J493" i="12"/>
  <c r="L493" i="12"/>
  <c r="J494" i="12"/>
  <c r="L494" i="12"/>
  <c r="J495" i="12"/>
  <c r="L495" i="12"/>
  <c r="J496" i="12"/>
  <c r="L496" i="12"/>
  <c r="J497" i="12"/>
  <c r="L497" i="12"/>
  <c r="J498" i="12"/>
  <c r="L498" i="12"/>
  <c r="J499" i="12"/>
  <c r="L499" i="12"/>
  <c r="J500" i="12"/>
  <c r="L500" i="12"/>
  <c r="J501" i="12"/>
  <c r="L501" i="12"/>
  <c r="J502" i="12"/>
  <c r="L502" i="12"/>
  <c r="J503" i="12"/>
  <c r="L503" i="12"/>
  <c r="J504" i="12"/>
  <c r="L504" i="12"/>
  <c r="J505" i="12"/>
  <c r="L505" i="12"/>
  <c r="J506" i="12"/>
  <c r="L506" i="12"/>
  <c r="J507" i="12"/>
  <c r="L507" i="12"/>
  <c r="J508" i="12"/>
  <c r="L508" i="12"/>
  <c r="J509" i="12"/>
  <c r="L509" i="12"/>
  <c r="J510" i="12"/>
  <c r="L510" i="12"/>
  <c r="J511" i="12"/>
  <c r="L511" i="12"/>
  <c r="J512" i="12"/>
  <c r="L512" i="12"/>
  <c r="J513" i="12"/>
  <c r="L513" i="12"/>
  <c r="J514" i="12"/>
  <c r="L514" i="12"/>
  <c r="J515" i="12"/>
  <c r="L515" i="12"/>
  <c r="J516" i="12"/>
  <c r="L516" i="12"/>
  <c r="J517" i="12"/>
  <c r="L517" i="12"/>
  <c r="J518" i="12"/>
  <c r="L518" i="12"/>
  <c r="J519" i="12"/>
  <c r="L519" i="12"/>
  <c r="J520" i="12"/>
  <c r="L520" i="12"/>
  <c r="J521" i="12"/>
  <c r="L521" i="12"/>
  <c r="J522" i="12"/>
  <c r="L522" i="12"/>
  <c r="J523" i="12"/>
  <c r="L523" i="12"/>
  <c r="J524" i="12"/>
  <c r="L524" i="12"/>
  <c r="J525" i="12"/>
  <c r="L525" i="12"/>
  <c r="J526" i="12"/>
  <c r="L526" i="12"/>
  <c r="J527" i="12"/>
  <c r="L527" i="12"/>
  <c r="J528" i="12"/>
  <c r="L528" i="12"/>
  <c r="J529" i="12"/>
  <c r="L529" i="12"/>
  <c r="J530" i="12"/>
  <c r="L530" i="12"/>
  <c r="J531" i="12"/>
  <c r="L531" i="12"/>
  <c r="J532" i="12"/>
  <c r="L532" i="12"/>
  <c r="J533" i="12"/>
  <c r="L533" i="12"/>
  <c r="J534" i="12"/>
  <c r="L534" i="12"/>
  <c r="J535" i="12"/>
  <c r="L535" i="12"/>
  <c r="J536" i="12"/>
  <c r="L536" i="12"/>
  <c r="J537" i="12"/>
  <c r="L537" i="12"/>
  <c r="J538" i="12"/>
  <c r="L538" i="12"/>
  <c r="J539" i="12"/>
  <c r="L539" i="12"/>
  <c r="J540" i="12"/>
  <c r="L540" i="12"/>
  <c r="J541" i="12"/>
  <c r="L541" i="12"/>
  <c r="J542" i="12"/>
  <c r="L542" i="12"/>
  <c r="J543" i="12"/>
  <c r="L543" i="12"/>
  <c r="J544" i="12"/>
  <c r="L544" i="12"/>
  <c r="J545" i="12"/>
  <c r="L545" i="12"/>
  <c r="J546" i="12"/>
  <c r="L546" i="12"/>
  <c r="J547" i="12"/>
  <c r="L547" i="12"/>
  <c r="J548" i="12"/>
  <c r="L548" i="12"/>
  <c r="J549" i="12"/>
  <c r="L549" i="12"/>
  <c r="J550" i="12"/>
  <c r="L550" i="12"/>
  <c r="J551" i="12"/>
  <c r="L551" i="12"/>
  <c r="J552" i="12"/>
  <c r="L552" i="12"/>
  <c r="J553" i="12"/>
  <c r="L553" i="12"/>
  <c r="J554" i="12"/>
  <c r="L554" i="12"/>
  <c r="J555" i="12"/>
  <c r="L555" i="12"/>
  <c r="J556" i="12"/>
  <c r="L556" i="12"/>
  <c r="J557" i="12"/>
  <c r="L557" i="12"/>
  <c r="J558" i="12"/>
  <c r="L558" i="12"/>
  <c r="J559" i="12"/>
  <c r="L559" i="12"/>
  <c r="J560" i="12"/>
  <c r="L560" i="12"/>
  <c r="J561" i="12"/>
  <c r="L561" i="12"/>
  <c r="J562" i="12"/>
  <c r="L562" i="12"/>
  <c r="J563" i="12"/>
  <c r="L563" i="12"/>
  <c r="J564" i="12"/>
  <c r="L564" i="12"/>
  <c r="J565" i="12"/>
  <c r="L565" i="12"/>
  <c r="J566" i="12"/>
  <c r="L566" i="12"/>
  <c r="J567" i="12"/>
  <c r="L567" i="12"/>
  <c r="J568" i="12"/>
  <c r="L568" i="12"/>
  <c r="J569" i="12"/>
  <c r="L569" i="12"/>
  <c r="J570" i="12"/>
  <c r="L570" i="12"/>
  <c r="J571" i="12"/>
  <c r="L571" i="12"/>
  <c r="J572" i="12"/>
  <c r="L572" i="12"/>
  <c r="J573" i="12"/>
  <c r="L573" i="12"/>
  <c r="J574" i="12"/>
  <c r="L574" i="12"/>
  <c r="J575" i="12"/>
  <c r="L575" i="12"/>
  <c r="J576" i="12"/>
  <c r="L576" i="12"/>
  <c r="J577" i="12"/>
  <c r="L577" i="12"/>
  <c r="J578" i="12"/>
  <c r="L578" i="12"/>
  <c r="J579" i="12"/>
  <c r="L579" i="12"/>
  <c r="J580" i="12"/>
  <c r="L580" i="12"/>
  <c r="J581" i="12"/>
  <c r="L581" i="12"/>
  <c r="J582" i="12"/>
  <c r="L582" i="12"/>
  <c r="J583" i="12"/>
  <c r="L583" i="12"/>
  <c r="J584" i="12"/>
  <c r="L584" i="12"/>
  <c r="J585" i="12"/>
  <c r="L585" i="12"/>
  <c r="J586" i="12"/>
  <c r="L586" i="12"/>
  <c r="J587" i="12"/>
  <c r="L587" i="12"/>
  <c r="J588" i="12"/>
  <c r="L588" i="12"/>
  <c r="J589" i="12"/>
  <c r="L589" i="12"/>
  <c r="J590" i="12"/>
  <c r="L590" i="12"/>
  <c r="J591" i="12"/>
  <c r="L591" i="12"/>
  <c r="J592" i="12"/>
  <c r="L592" i="12"/>
  <c r="J593" i="12"/>
  <c r="L593" i="12"/>
  <c r="J594" i="12"/>
  <c r="L594" i="12"/>
  <c r="J595" i="12"/>
  <c r="L595" i="12"/>
  <c r="J596" i="12"/>
  <c r="L596" i="12"/>
  <c r="J597" i="12"/>
  <c r="L597" i="12"/>
  <c r="J598" i="12"/>
  <c r="L598" i="12"/>
  <c r="J599" i="12"/>
  <c r="L599" i="12"/>
  <c r="J600" i="12"/>
  <c r="L600" i="12"/>
  <c r="J601" i="12"/>
  <c r="L601" i="12"/>
  <c r="J602" i="12"/>
  <c r="L602" i="12"/>
  <c r="J603" i="12"/>
  <c r="L603" i="12"/>
  <c r="J604" i="12"/>
  <c r="L604" i="12"/>
  <c r="J605" i="12"/>
  <c r="L605" i="12"/>
  <c r="J606" i="12"/>
  <c r="L606" i="12"/>
  <c r="J607" i="12"/>
  <c r="L607" i="12"/>
  <c r="J608" i="12"/>
  <c r="L608" i="12"/>
  <c r="J609" i="12"/>
  <c r="L609" i="12"/>
  <c r="J610" i="12"/>
  <c r="L610" i="12"/>
  <c r="J611" i="12"/>
  <c r="L611" i="12"/>
  <c r="J612" i="12"/>
  <c r="L612" i="12"/>
  <c r="J613" i="12"/>
  <c r="L613" i="12"/>
  <c r="J614" i="12"/>
  <c r="L614" i="12"/>
  <c r="J615" i="12"/>
  <c r="L615" i="12"/>
  <c r="J616" i="12"/>
  <c r="L616" i="12"/>
  <c r="J617" i="12"/>
  <c r="L617" i="12"/>
  <c r="J618" i="12"/>
  <c r="L618" i="12"/>
  <c r="J619" i="12"/>
  <c r="L619" i="12"/>
  <c r="J620" i="12"/>
  <c r="L620" i="12"/>
  <c r="J621" i="12"/>
  <c r="L621" i="12"/>
  <c r="J622" i="12"/>
  <c r="L622" i="12"/>
  <c r="J623" i="12"/>
  <c r="L623" i="12"/>
  <c r="J624" i="12"/>
  <c r="L624" i="12"/>
  <c r="J625" i="12"/>
  <c r="L625" i="12"/>
  <c r="J626" i="12"/>
  <c r="L626" i="12"/>
  <c r="J627" i="12"/>
  <c r="L627" i="12"/>
  <c r="J628" i="12"/>
  <c r="L628" i="12"/>
  <c r="J629" i="12"/>
  <c r="L629" i="12"/>
  <c r="J630" i="12"/>
  <c r="L630" i="12"/>
  <c r="J631" i="12"/>
  <c r="L631" i="12"/>
  <c r="J632" i="12"/>
  <c r="L632" i="12"/>
  <c r="J633" i="12"/>
  <c r="L633" i="12"/>
  <c r="M634" i="12" a="1"/>
  <c r="M634" i="12"/>
  <c r="N634" i="12"/>
  <c r="M633" i="12" a="1"/>
  <c r="M633" i="12"/>
  <c r="N633" i="12"/>
  <c r="M632" i="12" a="1"/>
  <c r="M632" i="12"/>
  <c r="N632" i="12"/>
  <c r="M631" i="12" a="1"/>
  <c r="M631" i="12"/>
  <c r="N631" i="12"/>
  <c r="M630" i="12" a="1"/>
  <c r="M630" i="12"/>
  <c r="N630" i="12"/>
  <c r="M629" i="12" a="1"/>
  <c r="M629" i="12"/>
  <c r="N629" i="12"/>
  <c r="M628" i="12" a="1"/>
  <c r="M628" i="12"/>
  <c r="N628" i="12"/>
  <c r="M627" i="12" a="1"/>
  <c r="M627" i="12"/>
  <c r="N627" i="12"/>
  <c r="M626" i="12" a="1"/>
  <c r="M626" i="12"/>
  <c r="N626" i="12"/>
  <c r="M625" i="12" a="1"/>
  <c r="M625" i="12"/>
  <c r="N625" i="12"/>
  <c r="M624" i="12" a="1"/>
  <c r="M624" i="12"/>
  <c r="N624" i="12"/>
  <c r="M623" i="12" a="1"/>
  <c r="M623" i="12"/>
  <c r="N623" i="12"/>
  <c r="M622" i="12" a="1"/>
  <c r="M622" i="12"/>
  <c r="N622" i="12"/>
  <c r="M621" i="12" a="1"/>
  <c r="M621" i="12"/>
  <c r="N621" i="12"/>
  <c r="M620" i="12" a="1"/>
  <c r="M620" i="12"/>
  <c r="N620" i="12"/>
  <c r="M619" i="12" a="1"/>
  <c r="M619" i="12"/>
  <c r="N619" i="12"/>
  <c r="M618" i="12" a="1"/>
  <c r="M618" i="12"/>
  <c r="N618" i="12"/>
  <c r="M617" i="12" a="1"/>
  <c r="M617" i="12"/>
  <c r="N617" i="12"/>
  <c r="M616" i="12" a="1"/>
  <c r="M616" i="12"/>
  <c r="N616" i="12"/>
  <c r="M615" i="12" a="1"/>
  <c r="M615" i="12"/>
  <c r="N615" i="12"/>
  <c r="M614" i="12" a="1"/>
  <c r="M614" i="12"/>
  <c r="N614" i="12"/>
  <c r="M613" i="12" a="1"/>
  <c r="M613" i="12"/>
  <c r="N613" i="12"/>
  <c r="M612" i="12" a="1"/>
  <c r="M612" i="12"/>
  <c r="N612" i="12"/>
  <c r="M611" i="12" a="1"/>
  <c r="M611" i="12"/>
  <c r="N611" i="12"/>
  <c r="M610" i="12" a="1"/>
  <c r="M610" i="12"/>
  <c r="N610" i="12"/>
  <c r="M609" i="12" a="1"/>
  <c r="M609" i="12"/>
  <c r="N609" i="12"/>
  <c r="M608" i="12" a="1"/>
  <c r="M608" i="12"/>
  <c r="N608" i="12"/>
  <c r="M607" i="12" a="1"/>
  <c r="M607" i="12"/>
  <c r="N607" i="12"/>
  <c r="M606" i="12" a="1"/>
  <c r="M606" i="12"/>
  <c r="N606" i="12"/>
  <c r="M605" i="12" a="1"/>
  <c r="M605" i="12"/>
  <c r="N605" i="12"/>
  <c r="M604" i="12" a="1"/>
  <c r="M604" i="12"/>
  <c r="N604" i="12"/>
  <c r="M603" i="12" a="1"/>
  <c r="M603" i="12"/>
  <c r="N603" i="12"/>
  <c r="M602" i="12" a="1"/>
  <c r="M602" i="12"/>
  <c r="N602" i="12"/>
  <c r="M601" i="12" a="1"/>
  <c r="M601" i="12"/>
  <c r="N601" i="12"/>
  <c r="M600" i="12" a="1"/>
  <c r="M600" i="12"/>
  <c r="N600" i="12"/>
  <c r="M599" i="12" a="1"/>
  <c r="M599" i="12"/>
  <c r="N599" i="12"/>
  <c r="M598" i="12" a="1"/>
  <c r="M598" i="12"/>
  <c r="N598" i="12"/>
  <c r="M597" i="12" a="1"/>
  <c r="M597" i="12"/>
  <c r="N597" i="12"/>
  <c r="M596" i="12" a="1"/>
  <c r="M596" i="12"/>
  <c r="N596" i="12"/>
  <c r="M595" i="12" a="1"/>
  <c r="M595" i="12"/>
  <c r="N595" i="12"/>
  <c r="M594" i="12" a="1"/>
  <c r="M594" i="12"/>
  <c r="N594" i="12"/>
  <c r="M593" i="12" a="1"/>
  <c r="M593" i="12"/>
  <c r="N593" i="12"/>
  <c r="M592" i="12" a="1"/>
  <c r="M592" i="12"/>
  <c r="N592" i="12"/>
  <c r="M591" i="12" a="1"/>
  <c r="M591" i="12"/>
  <c r="N591" i="12"/>
  <c r="M590" i="12" a="1"/>
  <c r="M590" i="12"/>
  <c r="N590" i="12"/>
  <c r="M589" i="12" a="1"/>
  <c r="M589" i="12"/>
  <c r="N589" i="12"/>
  <c r="M588" i="12" a="1"/>
  <c r="M588" i="12"/>
  <c r="N588" i="12"/>
  <c r="M587" i="12" a="1"/>
  <c r="M587" i="12"/>
  <c r="N587" i="12"/>
  <c r="M586" i="12" a="1"/>
  <c r="M586" i="12"/>
  <c r="N586" i="12"/>
  <c r="M585" i="12" a="1"/>
  <c r="M585" i="12"/>
  <c r="N585" i="12"/>
  <c r="M584" i="12" a="1"/>
  <c r="M584" i="12"/>
  <c r="N584" i="12"/>
  <c r="M583" i="12" a="1"/>
  <c r="M583" i="12"/>
  <c r="N583" i="12"/>
  <c r="M582" i="12" a="1"/>
  <c r="M582" i="12"/>
  <c r="N582" i="12"/>
  <c r="M581" i="12" a="1"/>
  <c r="M581" i="12"/>
  <c r="N581" i="12"/>
  <c r="M580" i="12" a="1"/>
  <c r="M580" i="12"/>
  <c r="N580" i="12"/>
  <c r="M579" i="12" a="1"/>
  <c r="M579" i="12"/>
  <c r="N579" i="12"/>
  <c r="M578" i="12" a="1"/>
  <c r="M578" i="12"/>
  <c r="N578" i="12"/>
  <c r="M577" i="12" a="1"/>
  <c r="M577" i="12"/>
  <c r="N577" i="12"/>
  <c r="M576" i="12" a="1"/>
  <c r="M576" i="12"/>
  <c r="N576" i="12"/>
  <c r="M575" i="12" a="1"/>
  <c r="M575" i="12"/>
  <c r="N575" i="12"/>
  <c r="M574" i="12" a="1"/>
  <c r="M574" i="12"/>
  <c r="N574" i="12"/>
  <c r="M573" i="12" a="1"/>
  <c r="M573" i="12"/>
  <c r="N573" i="12"/>
  <c r="M572" i="12" a="1"/>
  <c r="M572" i="12"/>
  <c r="N572" i="12"/>
  <c r="M571" i="12" a="1"/>
  <c r="M571" i="12"/>
  <c r="N571" i="12"/>
  <c r="M570" i="12" a="1"/>
  <c r="M570" i="12"/>
  <c r="N570" i="12"/>
  <c r="M569" i="12" a="1"/>
  <c r="M569" i="12"/>
  <c r="N569" i="12"/>
  <c r="M568" i="12" a="1"/>
  <c r="M568" i="12"/>
  <c r="N568" i="12"/>
  <c r="M567" i="12" a="1"/>
  <c r="M567" i="12"/>
  <c r="N567" i="12"/>
  <c r="M566" i="12" a="1"/>
  <c r="M566" i="12"/>
  <c r="N566" i="12"/>
  <c r="M565" i="12" a="1"/>
  <c r="M565" i="12"/>
  <c r="N565" i="12"/>
  <c r="M564" i="12" a="1"/>
  <c r="M564" i="12"/>
  <c r="N564" i="12"/>
  <c r="M563" i="12" a="1"/>
  <c r="M563" i="12"/>
  <c r="N563" i="12"/>
  <c r="M562" i="12" a="1"/>
  <c r="M562" i="12"/>
  <c r="N562" i="12"/>
  <c r="M561" i="12" a="1"/>
  <c r="M561" i="12"/>
  <c r="N561" i="12"/>
  <c r="M560" i="12" a="1"/>
  <c r="M560" i="12"/>
  <c r="N560" i="12"/>
  <c r="M559" i="12" a="1"/>
  <c r="M559" i="12"/>
  <c r="N559" i="12"/>
  <c r="M558" i="12" a="1"/>
  <c r="M558" i="12"/>
  <c r="N558" i="12"/>
  <c r="M557" i="12" a="1"/>
  <c r="M557" i="12"/>
  <c r="N557" i="12"/>
  <c r="M556" i="12" a="1"/>
  <c r="M556" i="12"/>
  <c r="N556" i="12"/>
  <c r="M555" i="12" a="1"/>
  <c r="M555" i="12"/>
  <c r="N555" i="12"/>
  <c r="M554" i="12" a="1"/>
  <c r="M554" i="12"/>
  <c r="N554" i="12"/>
  <c r="M553" i="12" a="1"/>
  <c r="M553" i="12"/>
  <c r="N553" i="12"/>
  <c r="M552" i="12" a="1"/>
  <c r="M552" i="12"/>
  <c r="N552" i="12"/>
  <c r="M551" i="12" a="1"/>
  <c r="M551" i="12"/>
  <c r="N551" i="12"/>
  <c r="M550" i="12" a="1"/>
  <c r="M550" i="12"/>
  <c r="N550" i="12"/>
  <c r="M549" i="12" a="1"/>
  <c r="M549" i="12"/>
  <c r="N549" i="12"/>
  <c r="M548" i="12" a="1"/>
  <c r="M548" i="12"/>
  <c r="N548" i="12"/>
  <c r="M547" i="12" a="1"/>
  <c r="M547" i="12"/>
  <c r="N547" i="12"/>
  <c r="M546" i="12" a="1"/>
  <c r="M546" i="12"/>
  <c r="N546" i="12"/>
  <c r="M545" i="12" a="1"/>
  <c r="M545" i="12"/>
  <c r="N545" i="12"/>
  <c r="M544" i="12" a="1"/>
  <c r="M544" i="12"/>
  <c r="N544" i="12"/>
  <c r="M543" i="12" a="1"/>
  <c r="M543" i="12"/>
  <c r="N543" i="12"/>
  <c r="M542" i="12" a="1"/>
  <c r="M542" i="12"/>
  <c r="N542" i="12"/>
  <c r="M541" i="12" a="1"/>
  <c r="M541" i="12"/>
  <c r="N541" i="12"/>
  <c r="M540" i="12" a="1"/>
  <c r="M540" i="12"/>
  <c r="N540" i="12"/>
  <c r="M539" i="12" a="1"/>
  <c r="M539" i="12"/>
  <c r="N539" i="12"/>
  <c r="M538" i="12" a="1"/>
  <c r="M538" i="12"/>
  <c r="N538" i="12"/>
  <c r="M537" i="12" a="1"/>
  <c r="M537" i="12"/>
  <c r="N537" i="12"/>
  <c r="M536" i="12" a="1"/>
  <c r="M536" i="12"/>
  <c r="N536" i="12"/>
  <c r="M535" i="12" a="1"/>
  <c r="M535" i="12"/>
  <c r="N535" i="12"/>
  <c r="M534" i="12" a="1"/>
  <c r="M534" i="12"/>
  <c r="N534" i="12"/>
  <c r="M533" i="12" a="1"/>
  <c r="M533" i="12"/>
  <c r="N533" i="12"/>
  <c r="M532" i="12" a="1"/>
  <c r="M532" i="12"/>
  <c r="N532" i="12"/>
  <c r="M531" i="12" a="1"/>
  <c r="M531" i="12"/>
  <c r="N531" i="12"/>
  <c r="M530" i="12" a="1"/>
  <c r="M530" i="12"/>
  <c r="N530" i="12"/>
  <c r="M529" i="12" a="1"/>
  <c r="M529" i="12"/>
  <c r="N529" i="12"/>
  <c r="M528" i="12" a="1"/>
  <c r="M528" i="12"/>
  <c r="N528" i="12"/>
  <c r="M527" i="12" a="1"/>
  <c r="M527" i="12"/>
  <c r="N527" i="12"/>
  <c r="M526" i="12" a="1"/>
  <c r="M526" i="12"/>
  <c r="N526" i="12"/>
  <c r="M525" i="12" a="1"/>
  <c r="M525" i="12"/>
  <c r="N525" i="12"/>
  <c r="M524" i="12" a="1"/>
  <c r="M524" i="12"/>
  <c r="N524" i="12"/>
  <c r="M523" i="12" a="1"/>
  <c r="M523" i="12"/>
  <c r="N523" i="12"/>
  <c r="M522" i="12" a="1"/>
  <c r="M522" i="12"/>
  <c r="N522" i="12"/>
  <c r="M521" i="12" a="1"/>
  <c r="M521" i="12"/>
  <c r="N521" i="12"/>
  <c r="M520" i="12" a="1"/>
  <c r="M520" i="12"/>
  <c r="N520" i="12"/>
  <c r="M519" i="12" a="1"/>
  <c r="M519" i="12"/>
  <c r="N519" i="12"/>
  <c r="M518" i="12" a="1"/>
  <c r="M518" i="12"/>
  <c r="N518" i="12"/>
  <c r="M517" i="12" a="1"/>
  <c r="M517" i="12"/>
  <c r="N517" i="12"/>
  <c r="M516" i="12" a="1"/>
  <c r="M516" i="12"/>
  <c r="N516" i="12"/>
  <c r="M515" i="12" a="1"/>
  <c r="M515" i="12"/>
  <c r="N515" i="12"/>
  <c r="M514" i="12" a="1"/>
  <c r="M514" i="12"/>
  <c r="N514" i="12"/>
  <c r="M513" i="12" a="1"/>
  <c r="M513" i="12"/>
  <c r="N513" i="12"/>
  <c r="M512" i="12" a="1"/>
  <c r="M512" i="12"/>
  <c r="N512" i="12"/>
  <c r="M511" i="12" a="1"/>
  <c r="M511" i="12"/>
  <c r="N511" i="12"/>
  <c r="M510" i="12" a="1"/>
  <c r="M510" i="12"/>
  <c r="N510" i="12"/>
  <c r="M509" i="12" a="1"/>
  <c r="M509" i="12"/>
  <c r="N509" i="12"/>
  <c r="M508" i="12" a="1"/>
  <c r="M508" i="12"/>
  <c r="N508" i="12"/>
  <c r="M507" i="12" a="1"/>
  <c r="M507" i="12"/>
  <c r="N507" i="12"/>
  <c r="M506" i="12" a="1"/>
  <c r="M506" i="12"/>
  <c r="N506" i="12"/>
  <c r="M505" i="12" a="1"/>
  <c r="M505" i="12"/>
  <c r="N505" i="12"/>
  <c r="M504" i="12" a="1"/>
  <c r="M504" i="12"/>
  <c r="N504" i="12"/>
  <c r="M503" i="12" a="1"/>
  <c r="M503" i="12"/>
  <c r="N503" i="12"/>
  <c r="M502" i="12" a="1"/>
  <c r="M502" i="12"/>
  <c r="N502" i="12"/>
  <c r="M501" i="12" a="1"/>
  <c r="M501" i="12"/>
  <c r="N501" i="12"/>
  <c r="M500" i="12" a="1"/>
  <c r="M500" i="12"/>
  <c r="N500" i="12"/>
  <c r="M499" i="12" a="1"/>
  <c r="M499" i="12"/>
  <c r="N499" i="12"/>
  <c r="M498" i="12" a="1"/>
  <c r="M498" i="12"/>
  <c r="N498" i="12"/>
  <c r="M497" i="12" a="1"/>
  <c r="M497" i="12"/>
  <c r="N497" i="12"/>
  <c r="M496" i="12" a="1"/>
  <c r="M496" i="12"/>
  <c r="N496" i="12"/>
  <c r="M495" i="12" a="1"/>
  <c r="M495" i="12"/>
  <c r="N495" i="12"/>
  <c r="M494" i="12" a="1"/>
  <c r="M494" i="12"/>
  <c r="N494" i="12"/>
  <c r="M493" i="12" a="1"/>
  <c r="M493" i="12"/>
  <c r="N493" i="12"/>
  <c r="M492" i="12" a="1"/>
  <c r="M492" i="12"/>
  <c r="N492" i="12"/>
  <c r="M491" i="12" a="1"/>
  <c r="M491" i="12"/>
  <c r="N491" i="12"/>
  <c r="M490" i="12" a="1"/>
  <c r="M490" i="12"/>
  <c r="N490" i="12"/>
  <c r="M489" i="12" a="1"/>
  <c r="M489" i="12"/>
  <c r="N489" i="12"/>
  <c r="M488" i="12" a="1"/>
  <c r="M488" i="12"/>
  <c r="N488" i="12"/>
  <c r="M487" i="12" a="1"/>
  <c r="M487" i="12"/>
  <c r="N487" i="12"/>
  <c r="M486" i="12" a="1"/>
  <c r="M486" i="12"/>
  <c r="N486" i="12"/>
  <c r="M485" i="12" a="1"/>
  <c r="M485" i="12"/>
  <c r="N485" i="12"/>
  <c r="M484" i="12" a="1"/>
  <c r="M484" i="12"/>
  <c r="N484" i="12"/>
  <c r="M483" i="12" a="1"/>
  <c r="M483" i="12"/>
  <c r="N483" i="12"/>
  <c r="M482" i="12" a="1"/>
  <c r="M482" i="12"/>
  <c r="N482" i="12"/>
  <c r="M481" i="12" a="1"/>
  <c r="M481" i="12"/>
  <c r="N481" i="12"/>
  <c r="M480" i="12" a="1"/>
  <c r="M480" i="12"/>
  <c r="N480" i="12"/>
  <c r="M479" i="12" a="1"/>
  <c r="M479" i="12"/>
  <c r="N479" i="12"/>
  <c r="M478" i="12" a="1"/>
  <c r="M478" i="12"/>
  <c r="N478" i="12"/>
  <c r="M477" i="12" a="1"/>
  <c r="M477" i="12"/>
  <c r="N477" i="12"/>
  <c r="M476" i="12" a="1"/>
  <c r="M476" i="12"/>
  <c r="N476" i="12"/>
  <c r="M475" i="12" a="1"/>
  <c r="M475" i="12"/>
  <c r="N475" i="12"/>
  <c r="M474" i="12" a="1"/>
  <c r="M474" i="12"/>
  <c r="N474" i="12"/>
  <c r="M473" i="12" a="1"/>
  <c r="M473" i="12"/>
  <c r="N473" i="12"/>
  <c r="M472" i="12" a="1"/>
  <c r="M472" i="12"/>
  <c r="N472" i="12"/>
  <c r="M471" i="12" a="1"/>
  <c r="M471" i="12"/>
  <c r="N471" i="12"/>
  <c r="M470" i="12" a="1"/>
  <c r="M470" i="12"/>
  <c r="N470" i="12"/>
  <c r="M469" i="12" a="1"/>
  <c r="M469" i="12"/>
  <c r="N469" i="12"/>
  <c r="M468" i="12" a="1"/>
  <c r="M468" i="12"/>
  <c r="N468" i="12"/>
  <c r="M467" i="12" a="1"/>
  <c r="M467" i="12"/>
  <c r="N467" i="12"/>
  <c r="M466" i="12" a="1"/>
  <c r="M466" i="12"/>
  <c r="N466" i="12"/>
  <c r="M465" i="12" a="1"/>
  <c r="M465" i="12"/>
  <c r="N465" i="12"/>
  <c r="M464" i="12" a="1"/>
  <c r="M464" i="12"/>
  <c r="N464" i="12"/>
  <c r="M463" i="12" a="1"/>
  <c r="M463" i="12"/>
  <c r="N463" i="12"/>
  <c r="M462" i="12" a="1"/>
  <c r="M462" i="12"/>
  <c r="N462" i="12"/>
  <c r="M461" i="12" a="1"/>
  <c r="M461" i="12"/>
  <c r="N461" i="12"/>
  <c r="M460" i="12" a="1"/>
  <c r="M460" i="12"/>
  <c r="N460" i="12"/>
  <c r="M459" i="12" a="1"/>
  <c r="M459" i="12"/>
  <c r="N459" i="12"/>
  <c r="M458" i="12" a="1"/>
  <c r="M458" i="12"/>
  <c r="N458" i="12"/>
  <c r="M457" i="12" a="1"/>
  <c r="M457" i="12"/>
  <c r="N457" i="12"/>
  <c r="M456" i="12" a="1"/>
  <c r="M456" i="12"/>
  <c r="N456" i="12"/>
  <c r="M455" i="12" a="1"/>
  <c r="M455" i="12"/>
  <c r="N455" i="12"/>
  <c r="M454" i="12" a="1"/>
  <c r="M454" i="12"/>
  <c r="N454" i="12"/>
  <c r="M453" i="12" a="1"/>
  <c r="M453" i="12"/>
  <c r="N453" i="12"/>
  <c r="M452" i="12" a="1"/>
  <c r="M452" i="12"/>
  <c r="N452" i="12"/>
  <c r="M451" i="12" a="1"/>
  <c r="M451" i="12"/>
  <c r="N451" i="12"/>
  <c r="M450" i="12" a="1"/>
  <c r="M450" i="12"/>
  <c r="N450" i="12"/>
  <c r="M449" i="12" a="1"/>
  <c r="M449" i="12"/>
  <c r="N449" i="12"/>
  <c r="M448" i="12" a="1"/>
  <c r="M448" i="12"/>
  <c r="N448" i="12"/>
  <c r="M447" i="12" a="1"/>
  <c r="M447" i="12"/>
  <c r="N447" i="12"/>
  <c r="M446" i="12" a="1"/>
  <c r="M446" i="12"/>
  <c r="N446" i="12"/>
  <c r="M445" i="12" a="1"/>
  <c r="M445" i="12"/>
  <c r="N445" i="12"/>
  <c r="M444" i="12" a="1"/>
  <c r="M444" i="12"/>
  <c r="N444" i="12"/>
  <c r="M443" i="12" a="1"/>
  <c r="M443" i="12"/>
  <c r="N443" i="12"/>
  <c r="M442" i="12" a="1"/>
  <c r="M442" i="12"/>
  <c r="N442" i="12"/>
  <c r="M441" i="12" a="1"/>
  <c r="M441" i="12"/>
  <c r="N441" i="12"/>
  <c r="M440" i="12" a="1"/>
  <c r="M440" i="12"/>
  <c r="N440" i="12"/>
  <c r="M439" i="12" a="1"/>
  <c r="M439" i="12"/>
  <c r="N439" i="12"/>
  <c r="M438" i="12" a="1"/>
  <c r="M438" i="12"/>
  <c r="N438" i="12"/>
  <c r="M437" i="12" a="1"/>
  <c r="M437" i="12"/>
  <c r="N437" i="12"/>
  <c r="M436" i="12" a="1"/>
  <c r="M436" i="12"/>
  <c r="N436" i="12"/>
  <c r="M435" i="12" a="1"/>
  <c r="M435" i="12"/>
  <c r="N435" i="12"/>
  <c r="M434" i="12" a="1"/>
  <c r="M434" i="12"/>
  <c r="N434" i="12"/>
  <c r="M433" i="12" a="1"/>
  <c r="M433" i="12"/>
  <c r="N433" i="12"/>
  <c r="M432" i="12" a="1"/>
  <c r="M432" i="12"/>
  <c r="N432" i="12"/>
  <c r="M431" i="12" a="1"/>
  <c r="M431" i="12"/>
  <c r="N431" i="12"/>
  <c r="M430" i="12" a="1"/>
  <c r="M430" i="12"/>
  <c r="N430" i="12"/>
  <c r="M429" i="12" a="1"/>
  <c r="M429" i="12"/>
  <c r="N429" i="12"/>
  <c r="M428" i="12" a="1"/>
  <c r="M428" i="12"/>
  <c r="N428" i="12"/>
  <c r="M427" i="12" a="1"/>
  <c r="M427" i="12"/>
  <c r="N427" i="12"/>
  <c r="M426" i="12" a="1"/>
  <c r="M426" i="12"/>
  <c r="N426" i="12"/>
  <c r="M425" i="12" a="1"/>
  <c r="M425" i="12"/>
  <c r="N425" i="12"/>
  <c r="M424" i="12" a="1"/>
  <c r="M424" i="12"/>
  <c r="N424" i="12"/>
  <c r="M423" i="12" a="1"/>
  <c r="M423" i="12"/>
  <c r="N423" i="12"/>
  <c r="M422" i="12" a="1"/>
  <c r="M422" i="12"/>
  <c r="N422" i="12"/>
  <c r="M421" i="12" a="1"/>
  <c r="M421" i="12"/>
  <c r="N421" i="12"/>
  <c r="M420" i="12" a="1"/>
  <c r="M420" i="12"/>
  <c r="N420" i="12"/>
  <c r="M419" i="12" a="1"/>
  <c r="M419" i="12"/>
  <c r="N419" i="12"/>
  <c r="M418" i="12" a="1"/>
  <c r="M418" i="12"/>
  <c r="N418" i="12"/>
  <c r="M417" i="12" a="1"/>
  <c r="M417" i="12"/>
  <c r="N417" i="12"/>
  <c r="M416" i="12" a="1"/>
  <c r="M416" i="12"/>
  <c r="N416" i="12"/>
  <c r="M415" i="12" a="1"/>
  <c r="M415" i="12"/>
  <c r="N415" i="12"/>
  <c r="M414" i="12" a="1"/>
  <c r="M414" i="12"/>
  <c r="N414" i="12"/>
  <c r="M413" i="12" a="1"/>
  <c r="M413" i="12"/>
  <c r="N413" i="12"/>
  <c r="M412" i="12" a="1"/>
  <c r="M412" i="12"/>
  <c r="N412" i="12"/>
  <c r="M411" i="12" a="1"/>
  <c r="M411" i="12"/>
  <c r="N411" i="12"/>
  <c r="M410" i="12" a="1"/>
  <c r="M410" i="12"/>
  <c r="N410" i="12"/>
  <c r="M409" i="12" a="1"/>
  <c r="M409" i="12"/>
  <c r="N409" i="12"/>
  <c r="M408" i="12" a="1"/>
  <c r="M408" i="12"/>
  <c r="N408" i="12"/>
  <c r="M407" i="12" a="1"/>
  <c r="M407" i="12"/>
  <c r="N407" i="12"/>
  <c r="M406" i="12" a="1"/>
  <c r="M406" i="12"/>
  <c r="N406" i="12"/>
  <c r="M405" i="12" a="1"/>
  <c r="M405" i="12"/>
  <c r="N405" i="12"/>
  <c r="M404" i="12" a="1"/>
  <c r="M404" i="12"/>
  <c r="N404" i="12"/>
  <c r="M403" i="12" a="1"/>
  <c r="M403" i="12"/>
  <c r="N403" i="12"/>
  <c r="M402" i="12" a="1"/>
  <c r="M402" i="12"/>
  <c r="N402" i="12"/>
  <c r="M401" i="12" a="1"/>
  <c r="M401" i="12"/>
  <c r="N401" i="12"/>
  <c r="M400" i="12" a="1"/>
  <c r="M400" i="12"/>
  <c r="N400" i="12"/>
  <c r="M399" i="12" a="1"/>
  <c r="M399" i="12"/>
  <c r="N399" i="12"/>
  <c r="M398" i="12" a="1"/>
  <c r="M398" i="12"/>
  <c r="N398" i="12"/>
  <c r="M397" i="12" a="1"/>
  <c r="M397" i="12"/>
  <c r="N397" i="12"/>
  <c r="M396" i="12" a="1"/>
  <c r="M396" i="12"/>
  <c r="N396" i="12"/>
  <c r="M395" i="12" a="1"/>
  <c r="M395" i="12"/>
  <c r="N395" i="12"/>
  <c r="M394" i="12" a="1"/>
  <c r="M394" i="12"/>
  <c r="N394" i="12"/>
  <c r="M393" i="12" a="1"/>
  <c r="M393" i="12"/>
  <c r="N393" i="12"/>
  <c r="M392" i="12" a="1"/>
  <c r="M392" i="12"/>
  <c r="N392" i="12"/>
  <c r="M391" i="12" a="1"/>
  <c r="M391" i="12"/>
  <c r="N391" i="12"/>
  <c r="M390" i="12" a="1"/>
  <c r="M390" i="12"/>
  <c r="N390" i="12"/>
  <c r="M389" i="12" a="1"/>
  <c r="M389" i="12"/>
  <c r="N389" i="12"/>
  <c r="M388" i="12" a="1"/>
  <c r="M388" i="12"/>
  <c r="N388" i="12"/>
  <c r="M387" i="12" a="1"/>
  <c r="M387" i="12"/>
  <c r="N387" i="12"/>
  <c r="M386" i="12" a="1"/>
  <c r="M386" i="12"/>
  <c r="N386" i="12"/>
  <c r="M385" i="12" a="1"/>
  <c r="M385" i="12"/>
  <c r="N385" i="12"/>
  <c r="M384" i="12" a="1"/>
  <c r="M384" i="12"/>
  <c r="N384" i="12"/>
  <c r="M383" i="12" a="1"/>
  <c r="M383" i="12"/>
  <c r="N383" i="12"/>
  <c r="M382" i="12" a="1"/>
  <c r="M382" i="12"/>
  <c r="N382" i="12"/>
  <c r="M381" i="12" a="1"/>
  <c r="M381" i="12"/>
  <c r="N381" i="12"/>
  <c r="M380" i="12" a="1"/>
  <c r="M380" i="12"/>
  <c r="N380" i="12"/>
  <c r="M379" i="12" a="1"/>
  <c r="M379" i="12"/>
  <c r="N379" i="12"/>
  <c r="M378" i="12" a="1"/>
  <c r="M378" i="12"/>
  <c r="N378" i="12"/>
  <c r="M377" i="12" a="1"/>
  <c r="M377" i="12"/>
  <c r="N377" i="12"/>
  <c r="M376" i="12" a="1"/>
  <c r="M376" i="12"/>
  <c r="N376" i="12"/>
  <c r="M375" i="12" a="1"/>
  <c r="M375" i="12"/>
  <c r="N375" i="12"/>
  <c r="M374" i="12" a="1"/>
  <c r="M374" i="12"/>
  <c r="N374" i="12"/>
  <c r="M373" i="12" a="1"/>
  <c r="M373" i="12"/>
  <c r="N373" i="12"/>
  <c r="M372" i="12" a="1"/>
  <c r="M372" i="12"/>
  <c r="N372" i="12"/>
  <c r="M371" i="12" a="1"/>
  <c r="M371" i="12"/>
  <c r="N371" i="12"/>
  <c r="M370" i="12" a="1"/>
  <c r="M370" i="12"/>
  <c r="N370" i="12"/>
  <c r="M369" i="12" a="1"/>
  <c r="M369" i="12"/>
  <c r="N369" i="12"/>
  <c r="M368" i="12" a="1"/>
  <c r="M368" i="12"/>
  <c r="N368" i="12"/>
  <c r="M367" i="12" a="1"/>
  <c r="M367" i="12"/>
  <c r="N367" i="12"/>
  <c r="M366" i="12" a="1"/>
  <c r="M366" i="12"/>
  <c r="N366" i="12"/>
  <c r="M365" i="12" a="1"/>
  <c r="M365" i="12"/>
  <c r="N365" i="12"/>
  <c r="M364" i="12" a="1"/>
  <c r="M364" i="12"/>
  <c r="N364" i="12"/>
  <c r="M363" i="12" a="1"/>
  <c r="M363" i="12"/>
  <c r="N363" i="12"/>
  <c r="M362" i="12" a="1"/>
  <c r="M362" i="12"/>
  <c r="N362" i="12"/>
  <c r="M361" i="12" a="1"/>
  <c r="M361" i="12"/>
  <c r="N361" i="12"/>
  <c r="M360" i="12" a="1"/>
  <c r="M360" i="12"/>
  <c r="N360" i="12"/>
  <c r="M359" i="12" a="1"/>
  <c r="M359" i="12"/>
  <c r="N359" i="12"/>
  <c r="M358" i="12" a="1"/>
  <c r="M358" i="12"/>
  <c r="N358" i="12"/>
  <c r="M357" i="12" a="1"/>
  <c r="M357" i="12"/>
  <c r="N357" i="12"/>
  <c r="M356" i="12" a="1"/>
  <c r="M356" i="12"/>
  <c r="N356" i="12"/>
  <c r="M355" i="12" a="1"/>
  <c r="M355" i="12"/>
  <c r="N355" i="12"/>
  <c r="M354" i="12" a="1"/>
  <c r="M354" i="12"/>
  <c r="N354" i="12"/>
  <c r="M353" i="12" a="1"/>
  <c r="M353" i="12"/>
  <c r="N353" i="12"/>
  <c r="M352" i="12" a="1"/>
  <c r="M352" i="12"/>
  <c r="N352" i="12"/>
  <c r="M351" i="12" a="1"/>
  <c r="M351" i="12"/>
  <c r="N351" i="12"/>
  <c r="M350" i="12" a="1"/>
  <c r="M350" i="12"/>
  <c r="N350" i="12"/>
  <c r="M349" i="12" a="1"/>
  <c r="M349" i="12"/>
  <c r="N349" i="12"/>
  <c r="M348" i="12" a="1"/>
  <c r="M348" i="12"/>
  <c r="N348" i="12"/>
  <c r="M347" i="12" a="1"/>
  <c r="M347" i="12"/>
  <c r="N347" i="12"/>
  <c r="M346" i="12" a="1"/>
  <c r="M346" i="12"/>
  <c r="N346" i="12"/>
  <c r="M345" i="12" a="1"/>
  <c r="M345" i="12"/>
  <c r="N345" i="12"/>
  <c r="M344" i="12" a="1"/>
  <c r="M344" i="12"/>
  <c r="N344" i="12"/>
  <c r="M343" i="12" a="1"/>
  <c r="M343" i="12"/>
  <c r="N343" i="12"/>
  <c r="M342" i="12" a="1"/>
  <c r="M342" i="12"/>
  <c r="N342" i="12"/>
  <c r="M341" i="12" a="1"/>
  <c r="M341" i="12"/>
  <c r="N341" i="12"/>
  <c r="M340" i="12" a="1"/>
  <c r="M340" i="12"/>
  <c r="N340" i="12"/>
  <c r="M339" i="12" a="1"/>
  <c r="M339" i="12"/>
  <c r="N339" i="12"/>
  <c r="M338" i="12" a="1"/>
  <c r="M338" i="12"/>
  <c r="N338" i="12"/>
  <c r="M337" i="12" a="1"/>
  <c r="M337" i="12"/>
  <c r="N337" i="12"/>
  <c r="M336" i="12" a="1"/>
  <c r="M336" i="12"/>
  <c r="N336" i="12"/>
  <c r="M335" i="12" a="1"/>
  <c r="M335" i="12"/>
  <c r="N335" i="12"/>
  <c r="M334" i="12" a="1"/>
  <c r="M334" i="12"/>
  <c r="N334" i="12"/>
  <c r="M333" i="12" a="1"/>
  <c r="M333" i="12"/>
  <c r="N333" i="12"/>
  <c r="M332" i="12" a="1"/>
  <c r="M332" i="12"/>
  <c r="N332" i="12"/>
  <c r="M331" i="12" a="1"/>
  <c r="M331" i="12"/>
  <c r="N331" i="12"/>
  <c r="M330" i="12" a="1"/>
  <c r="M330" i="12"/>
  <c r="N330" i="12"/>
  <c r="M329" i="12" a="1"/>
  <c r="M329" i="12"/>
  <c r="N329" i="12"/>
  <c r="M328" i="12" a="1"/>
  <c r="M328" i="12"/>
  <c r="N328" i="12"/>
  <c r="M327" i="12" a="1"/>
  <c r="M327" i="12"/>
  <c r="N327" i="12"/>
  <c r="M326" i="12" a="1"/>
  <c r="M326" i="12"/>
  <c r="N326" i="12"/>
  <c r="M325" i="12" a="1"/>
  <c r="M325" i="12"/>
  <c r="N325" i="12"/>
  <c r="M324" i="12" a="1"/>
  <c r="M324" i="12"/>
  <c r="N324" i="12"/>
  <c r="M323" i="12" a="1"/>
  <c r="M323" i="12"/>
  <c r="N323" i="12"/>
  <c r="M322" i="12" a="1"/>
  <c r="M322" i="12"/>
  <c r="N322" i="12"/>
  <c r="M321" i="12" a="1"/>
  <c r="M321" i="12"/>
  <c r="N321" i="12"/>
  <c r="M320" i="12" a="1"/>
  <c r="M320" i="12"/>
  <c r="N320" i="12"/>
  <c r="M319" i="12" a="1"/>
  <c r="M319" i="12"/>
  <c r="N319" i="12"/>
  <c r="M318" i="12" a="1"/>
  <c r="M318" i="12"/>
  <c r="N318" i="12"/>
  <c r="M317" i="12" a="1"/>
  <c r="M317" i="12"/>
  <c r="N317" i="12"/>
  <c r="M316" i="12" a="1"/>
  <c r="M316" i="12"/>
  <c r="N316" i="12"/>
  <c r="M315" i="12" a="1"/>
  <c r="M315" i="12"/>
  <c r="N315" i="12"/>
  <c r="M314" i="12" a="1"/>
  <c r="M314" i="12"/>
  <c r="N314" i="12"/>
  <c r="M313" i="12" a="1"/>
  <c r="M313" i="12"/>
  <c r="N313" i="12"/>
  <c r="M312" i="12" a="1"/>
  <c r="M312" i="12"/>
  <c r="N312" i="12"/>
  <c r="M311" i="12" a="1"/>
  <c r="M311" i="12"/>
  <c r="N311" i="12"/>
  <c r="M310" i="12" a="1"/>
  <c r="M310" i="12"/>
  <c r="N310" i="12"/>
  <c r="M309" i="12" a="1"/>
  <c r="M309" i="12"/>
  <c r="N309" i="12"/>
  <c r="M308" i="12" a="1"/>
  <c r="M308" i="12"/>
  <c r="N308" i="12"/>
  <c r="M307" i="12" a="1"/>
  <c r="M307" i="12"/>
  <c r="N307" i="12"/>
  <c r="M306" i="12" a="1"/>
  <c r="M306" i="12"/>
  <c r="N306" i="12"/>
  <c r="M305" i="12" a="1"/>
  <c r="M305" i="12"/>
  <c r="N305" i="12"/>
  <c r="M304" i="12" a="1"/>
  <c r="M304" i="12"/>
  <c r="N304" i="12"/>
  <c r="M303" i="12" a="1"/>
  <c r="M303" i="12"/>
  <c r="N303" i="12"/>
  <c r="M302" i="12" a="1"/>
  <c r="M302" i="12"/>
  <c r="N302" i="12"/>
  <c r="M301" i="12" a="1"/>
  <c r="M301" i="12"/>
  <c r="N301" i="12"/>
  <c r="M300" i="12" a="1"/>
  <c r="M300" i="12"/>
  <c r="N300" i="12"/>
  <c r="M299" i="12" a="1"/>
  <c r="M299" i="12"/>
  <c r="N299" i="12"/>
  <c r="M298" i="12" a="1"/>
  <c r="M298" i="12"/>
  <c r="N298" i="12"/>
  <c r="M297" i="12" a="1"/>
  <c r="M297" i="12"/>
  <c r="N297" i="12"/>
  <c r="M296" i="12" a="1"/>
  <c r="M296" i="12"/>
  <c r="N296" i="12"/>
  <c r="M295" i="12" a="1"/>
  <c r="M295" i="12"/>
  <c r="N295" i="12"/>
  <c r="M294" i="12" a="1"/>
  <c r="M294" i="12"/>
  <c r="N294" i="12"/>
  <c r="M293" i="12" a="1"/>
  <c r="M293" i="12"/>
  <c r="N293" i="12"/>
  <c r="M292" i="12" a="1"/>
  <c r="M292" i="12"/>
  <c r="N292" i="12"/>
  <c r="M291" i="12" a="1"/>
  <c r="M291" i="12"/>
  <c r="N291" i="12"/>
  <c r="M290" i="12" a="1"/>
  <c r="M290" i="12"/>
  <c r="N290" i="12"/>
  <c r="M289" i="12" a="1"/>
  <c r="M289" i="12"/>
  <c r="N289" i="12"/>
  <c r="M288" i="12" a="1"/>
  <c r="M288" i="12"/>
  <c r="N288" i="12"/>
  <c r="M287" i="12" a="1"/>
  <c r="M287" i="12"/>
  <c r="N287" i="12"/>
  <c r="M286" i="12" a="1"/>
  <c r="M286" i="12"/>
  <c r="N286" i="12"/>
  <c r="M285" i="12" a="1"/>
  <c r="M285" i="12"/>
  <c r="N285" i="12"/>
  <c r="M284" i="12" a="1"/>
  <c r="M284" i="12"/>
  <c r="N284" i="12"/>
  <c r="M283" i="12" a="1"/>
  <c r="M283" i="12"/>
  <c r="N283" i="12"/>
  <c r="M282" i="12" a="1"/>
  <c r="M282" i="12"/>
  <c r="N282" i="12"/>
  <c r="M281" i="12" a="1"/>
  <c r="M281" i="12"/>
  <c r="N281" i="12"/>
  <c r="M280" i="12" a="1"/>
  <c r="M280" i="12"/>
  <c r="N280" i="12"/>
  <c r="M279" i="12" a="1"/>
  <c r="M279" i="12"/>
  <c r="N279" i="12"/>
  <c r="M278" i="12" a="1"/>
  <c r="M278" i="12"/>
  <c r="N278" i="12"/>
  <c r="M277" i="12" a="1"/>
  <c r="M277" i="12"/>
  <c r="N277" i="12"/>
  <c r="M276" i="12" a="1"/>
  <c r="M276" i="12"/>
  <c r="N276" i="12"/>
  <c r="M275" i="12" a="1"/>
  <c r="M275" i="12"/>
  <c r="N275" i="12"/>
  <c r="M274" i="12" a="1"/>
  <c r="M274" i="12"/>
  <c r="N274" i="12"/>
  <c r="M273" i="12" a="1"/>
  <c r="M273" i="12"/>
  <c r="N273" i="12"/>
  <c r="M272" i="12" a="1"/>
  <c r="M272" i="12"/>
  <c r="N272" i="12"/>
  <c r="M271" i="12" a="1"/>
  <c r="M271" i="12"/>
  <c r="N271" i="12"/>
  <c r="M270" i="12" a="1"/>
  <c r="M270" i="12"/>
  <c r="N270" i="12"/>
  <c r="M269" i="12" a="1"/>
  <c r="M269" i="12"/>
  <c r="N269" i="12"/>
  <c r="M268" i="12" a="1"/>
  <c r="M268" i="12"/>
  <c r="N268" i="12"/>
  <c r="M267" i="12" a="1"/>
  <c r="M267" i="12"/>
  <c r="N267" i="12"/>
  <c r="M266" i="12" a="1"/>
  <c r="M266" i="12"/>
  <c r="N266" i="12"/>
  <c r="M265" i="12" a="1"/>
  <c r="M265" i="12"/>
  <c r="N265" i="12"/>
  <c r="M264" i="12" a="1"/>
  <c r="M264" i="12"/>
  <c r="N264" i="12"/>
  <c r="M263" i="12" a="1"/>
  <c r="M263" i="12"/>
  <c r="N263" i="12"/>
  <c r="M262" i="12" a="1"/>
  <c r="M262" i="12"/>
  <c r="N262" i="12"/>
  <c r="M261" i="12" a="1"/>
  <c r="M261" i="12"/>
  <c r="N261" i="12"/>
  <c r="M260" i="12" a="1"/>
  <c r="M260" i="12"/>
  <c r="N260" i="12"/>
  <c r="M259" i="12" a="1"/>
  <c r="M259" i="12"/>
  <c r="N259" i="12"/>
  <c r="M258" i="12" a="1"/>
  <c r="M258" i="12"/>
  <c r="N258" i="12"/>
  <c r="M257" i="12" a="1"/>
  <c r="M257" i="12"/>
  <c r="N257" i="12"/>
  <c r="M256" i="12" a="1"/>
  <c r="M256" i="12"/>
  <c r="N256" i="12"/>
  <c r="M255" i="12" a="1"/>
  <c r="M255" i="12"/>
  <c r="N255" i="12"/>
  <c r="M254" i="12" a="1"/>
  <c r="M254" i="12"/>
  <c r="N254" i="12"/>
  <c r="M253" i="12" a="1"/>
  <c r="M253" i="12"/>
  <c r="N253" i="12"/>
  <c r="M252" i="12" a="1"/>
  <c r="M252" i="12"/>
  <c r="N252" i="12"/>
  <c r="M251" i="12" a="1"/>
  <c r="M251" i="12"/>
  <c r="N251" i="12"/>
  <c r="M250" i="12" a="1"/>
  <c r="M250" i="12"/>
  <c r="N250" i="12"/>
  <c r="M249" i="12" a="1"/>
  <c r="M249" i="12"/>
  <c r="N249" i="12"/>
  <c r="M248" i="12" a="1"/>
  <c r="M248" i="12"/>
  <c r="N248" i="12"/>
  <c r="M247" i="12" a="1"/>
  <c r="M247" i="12"/>
  <c r="N247" i="12"/>
  <c r="M246" i="12" a="1"/>
  <c r="M246" i="12"/>
  <c r="N246" i="12"/>
  <c r="M245" i="12" a="1"/>
  <c r="M245" i="12"/>
  <c r="N245" i="12"/>
  <c r="M244" i="12" a="1"/>
  <c r="M244" i="12"/>
  <c r="N244" i="12"/>
  <c r="M243" i="12" a="1"/>
  <c r="M243" i="12"/>
  <c r="N243" i="12"/>
  <c r="M242" i="12" a="1"/>
  <c r="M242" i="12"/>
  <c r="N242" i="12"/>
  <c r="M241" i="12" a="1"/>
  <c r="M241" i="12"/>
  <c r="N241" i="12"/>
  <c r="M240" i="12" a="1"/>
  <c r="M240" i="12"/>
  <c r="N240" i="12"/>
  <c r="M239" i="12" a="1"/>
  <c r="M239" i="12"/>
  <c r="N239" i="12"/>
  <c r="M238" i="12" a="1"/>
  <c r="M238" i="12"/>
  <c r="N238" i="12"/>
  <c r="M237" i="12" a="1"/>
  <c r="M237" i="12"/>
  <c r="N237" i="12"/>
  <c r="M236" i="12" a="1"/>
  <c r="M236" i="12"/>
  <c r="N236" i="12"/>
  <c r="M235" i="12" a="1"/>
  <c r="M235" i="12"/>
  <c r="N235" i="12"/>
  <c r="M234" i="12" a="1"/>
  <c r="M234" i="12"/>
  <c r="N234" i="12"/>
  <c r="M233" i="12" a="1"/>
  <c r="M233" i="12"/>
  <c r="N233" i="12"/>
  <c r="M232" i="12" a="1"/>
  <c r="M232" i="12"/>
  <c r="N232" i="12"/>
  <c r="M231" i="12" a="1"/>
  <c r="M231" i="12"/>
  <c r="N231" i="12"/>
  <c r="M230" i="12" a="1"/>
  <c r="M230" i="12"/>
  <c r="N230" i="12"/>
  <c r="M229" i="12" a="1"/>
  <c r="M229" i="12"/>
  <c r="N229" i="12"/>
  <c r="M228" i="12" a="1"/>
  <c r="M228" i="12"/>
  <c r="N228" i="12"/>
  <c r="M227" i="12" a="1"/>
  <c r="M227" i="12"/>
  <c r="N227" i="12"/>
  <c r="M226" i="12" a="1"/>
  <c r="M226" i="12"/>
  <c r="N226" i="12"/>
  <c r="M225" i="12" a="1"/>
  <c r="M225" i="12"/>
  <c r="N225" i="12"/>
  <c r="M224" i="12" a="1"/>
  <c r="M224" i="12"/>
  <c r="N224" i="12"/>
  <c r="M223" i="12" a="1"/>
  <c r="M223" i="12"/>
  <c r="N223" i="12"/>
  <c r="M222" i="12" a="1"/>
  <c r="M222" i="12"/>
  <c r="N222" i="12"/>
  <c r="M221" i="12" a="1"/>
  <c r="M221" i="12"/>
  <c r="N221" i="12"/>
  <c r="M220" i="12" a="1"/>
  <c r="M220" i="12"/>
  <c r="N220" i="12"/>
  <c r="M219" i="12" a="1"/>
  <c r="M219" i="12"/>
  <c r="N219" i="12"/>
  <c r="M218" i="12" a="1"/>
  <c r="M218" i="12"/>
  <c r="N218" i="12"/>
  <c r="M217" i="12" a="1"/>
  <c r="M217" i="12"/>
  <c r="N217" i="12"/>
  <c r="M216" i="12" a="1"/>
  <c r="M216" i="12"/>
  <c r="N216" i="12"/>
  <c r="M215" i="12" a="1"/>
  <c r="M215" i="12"/>
  <c r="N215" i="12"/>
  <c r="M214" i="12" a="1"/>
  <c r="M214" i="12"/>
  <c r="N214" i="12"/>
  <c r="M213" i="12" a="1"/>
  <c r="M213" i="12"/>
  <c r="N213" i="12"/>
  <c r="M212" i="12" a="1"/>
  <c r="M212" i="12"/>
  <c r="N212" i="12"/>
  <c r="M211" i="12" a="1"/>
  <c r="M211" i="12"/>
  <c r="N211" i="12"/>
  <c r="M210" i="12" a="1"/>
  <c r="M210" i="12"/>
  <c r="N210" i="12"/>
  <c r="M209" i="12" a="1"/>
  <c r="M209" i="12"/>
  <c r="N209" i="12"/>
  <c r="M208" i="12" a="1"/>
  <c r="M208" i="12"/>
  <c r="N208" i="12"/>
  <c r="M207" i="12" a="1"/>
  <c r="M207" i="12"/>
  <c r="N207" i="12"/>
  <c r="M206" i="12" a="1"/>
  <c r="M206" i="12"/>
  <c r="N206" i="12"/>
  <c r="M205" i="12" a="1"/>
  <c r="M205" i="12"/>
  <c r="N205" i="12"/>
  <c r="M204" i="12" a="1"/>
  <c r="M204" i="12"/>
  <c r="N204" i="12"/>
  <c r="M203" i="12" a="1"/>
  <c r="M203" i="12"/>
  <c r="N203" i="12"/>
  <c r="M202" i="12" a="1"/>
  <c r="M202" i="12"/>
  <c r="N202" i="12"/>
  <c r="M201" i="12" a="1"/>
  <c r="M201" i="12"/>
  <c r="N201" i="12"/>
  <c r="M200" i="12" a="1"/>
  <c r="M200" i="12"/>
  <c r="N200" i="12"/>
  <c r="M199" i="12" a="1"/>
  <c r="M199" i="12"/>
  <c r="N199" i="12"/>
  <c r="M198" i="12" a="1"/>
  <c r="M198" i="12"/>
  <c r="N198" i="12"/>
  <c r="M197" i="12" a="1"/>
  <c r="M197" i="12"/>
  <c r="N197" i="12"/>
  <c r="M196" i="12" a="1"/>
  <c r="M196" i="12"/>
  <c r="N196" i="12"/>
  <c r="M195" i="12" a="1"/>
  <c r="M195" i="12"/>
  <c r="N195" i="12"/>
  <c r="M194" i="12" a="1"/>
  <c r="M194" i="12"/>
  <c r="N194" i="12"/>
  <c r="M193" i="12" a="1"/>
  <c r="M193" i="12"/>
  <c r="N193" i="12"/>
  <c r="M192" i="12" a="1"/>
  <c r="M192" i="12"/>
  <c r="N192" i="12"/>
  <c r="M191" i="12" a="1"/>
  <c r="M191" i="12"/>
  <c r="N191" i="12"/>
  <c r="M190" i="12" a="1"/>
  <c r="M190" i="12"/>
  <c r="N190" i="12"/>
  <c r="M189" i="12" a="1"/>
  <c r="M189" i="12"/>
  <c r="N189" i="12"/>
  <c r="M188" i="12" a="1"/>
  <c r="M188" i="12"/>
  <c r="N188" i="12"/>
  <c r="M187" i="12" a="1"/>
  <c r="M187" i="12"/>
  <c r="N187" i="12"/>
  <c r="M186" i="12" a="1"/>
  <c r="M186" i="12"/>
  <c r="N186" i="12"/>
  <c r="M185" i="12" a="1"/>
  <c r="M185" i="12"/>
  <c r="N185" i="12"/>
  <c r="M184" i="12" a="1"/>
  <c r="M184" i="12"/>
  <c r="N184" i="12"/>
  <c r="M183" i="12" a="1"/>
  <c r="M183" i="12"/>
  <c r="N183" i="12"/>
  <c r="M182" i="12" a="1"/>
  <c r="M182" i="12"/>
  <c r="N182" i="12"/>
  <c r="M181" i="12" a="1"/>
  <c r="M181" i="12"/>
  <c r="N181" i="12"/>
  <c r="M180" i="12" a="1"/>
  <c r="M180" i="12"/>
  <c r="N180" i="12"/>
  <c r="M179" i="12" a="1"/>
  <c r="M179" i="12"/>
  <c r="N179" i="12"/>
  <c r="M178" i="12" a="1"/>
  <c r="M178" i="12"/>
  <c r="N178" i="12"/>
  <c r="M177" i="12" a="1"/>
  <c r="M177" i="12"/>
  <c r="N177" i="12"/>
  <c r="M176" i="12" a="1"/>
  <c r="M176" i="12"/>
  <c r="N176" i="12"/>
  <c r="M175" i="12" a="1"/>
  <c r="M175" i="12"/>
  <c r="N175" i="12"/>
  <c r="M174" i="12" a="1"/>
  <c r="M174" i="12"/>
  <c r="N174" i="12"/>
  <c r="M173" i="12" a="1"/>
  <c r="M173" i="12"/>
  <c r="N173" i="12"/>
  <c r="M172" i="12" a="1"/>
  <c r="M172" i="12"/>
  <c r="N172" i="12"/>
  <c r="M171" i="12" a="1"/>
  <c r="M171" i="12"/>
  <c r="N171" i="12"/>
  <c r="M170" i="12" a="1"/>
  <c r="M170" i="12"/>
  <c r="N170" i="12"/>
  <c r="M169" i="12" a="1"/>
  <c r="M169" i="12"/>
  <c r="N169" i="12"/>
  <c r="M168" i="12" a="1"/>
  <c r="M168" i="12"/>
  <c r="N168" i="12"/>
  <c r="M167" i="12" a="1"/>
  <c r="M167" i="12"/>
  <c r="N167" i="12"/>
  <c r="M166" i="12" a="1"/>
  <c r="M166" i="12"/>
  <c r="N166" i="12"/>
  <c r="M165" i="12" a="1"/>
  <c r="M165" i="12"/>
  <c r="N165" i="12"/>
  <c r="M164" i="12" a="1"/>
  <c r="M164" i="12"/>
  <c r="N164" i="12"/>
  <c r="M163" i="12" a="1"/>
  <c r="M163" i="12"/>
  <c r="N163" i="12"/>
  <c r="M162" i="12" a="1"/>
  <c r="M162" i="12"/>
  <c r="N162" i="12"/>
  <c r="M161" i="12" a="1"/>
  <c r="M161" i="12"/>
  <c r="N161" i="12"/>
  <c r="M160" i="12" a="1"/>
  <c r="M160" i="12"/>
  <c r="N160" i="12"/>
  <c r="M159" i="12" a="1"/>
  <c r="M159" i="12"/>
  <c r="N159" i="12"/>
  <c r="M158" i="12" a="1"/>
  <c r="M158" i="12"/>
  <c r="N158" i="12"/>
  <c r="M157" i="12" a="1"/>
  <c r="M157" i="12"/>
  <c r="N157" i="12"/>
  <c r="M156" i="12" a="1"/>
  <c r="M156" i="12"/>
  <c r="N156" i="12"/>
  <c r="M155" i="12" a="1"/>
  <c r="M155" i="12"/>
  <c r="N155" i="12"/>
  <c r="M154" i="12" a="1"/>
  <c r="M154" i="12"/>
  <c r="N154" i="12"/>
  <c r="M153" i="12" a="1"/>
  <c r="M153" i="12"/>
  <c r="N153" i="12"/>
  <c r="M152" i="12" a="1"/>
  <c r="M152" i="12"/>
  <c r="N152" i="12"/>
  <c r="M151" i="12" a="1"/>
  <c r="M151" i="12"/>
  <c r="N151" i="12"/>
  <c r="M150" i="12" a="1"/>
  <c r="M150" i="12"/>
  <c r="N150" i="12"/>
  <c r="M149" i="12" a="1"/>
  <c r="M149" i="12"/>
  <c r="N149" i="12"/>
  <c r="M148" i="12" a="1"/>
  <c r="M148" i="12"/>
  <c r="N148" i="12"/>
  <c r="M147" i="12" a="1"/>
  <c r="M147" i="12"/>
  <c r="N147" i="12"/>
  <c r="M146" i="12" a="1"/>
  <c r="M146" i="12"/>
  <c r="N146" i="12"/>
  <c r="M145" i="12" a="1"/>
  <c r="M145" i="12"/>
  <c r="N145" i="12"/>
  <c r="M144" i="12" a="1"/>
  <c r="M144" i="12"/>
  <c r="N144" i="12"/>
  <c r="M143" i="12" a="1"/>
  <c r="M143" i="12"/>
  <c r="N143" i="12"/>
  <c r="M142" i="12" a="1"/>
  <c r="M142" i="12"/>
  <c r="N142" i="12"/>
  <c r="M141" i="12" a="1"/>
  <c r="M141" i="12"/>
  <c r="N141" i="12"/>
  <c r="M140" i="12" a="1"/>
  <c r="M140" i="12"/>
  <c r="N140" i="12"/>
  <c r="M139" i="12" a="1"/>
  <c r="M139" i="12"/>
  <c r="N139" i="12"/>
  <c r="M138" i="12" a="1"/>
  <c r="M138" i="12"/>
  <c r="N138" i="12"/>
  <c r="M137" i="12" a="1"/>
  <c r="M137" i="12"/>
  <c r="N137" i="12"/>
  <c r="M136" i="12" a="1"/>
  <c r="M136" i="12"/>
  <c r="N136" i="12"/>
  <c r="M135" i="12" a="1"/>
  <c r="M135" i="12"/>
  <c r="N135" i="12"/>
  <c r="M134" i="12" a="1"/>
  <c r="M134" i="12"/>
  <c r="N134" i="12"/>
  <c r="M133" i="12" a="1"/>
  <c r="M133" i="12"/>
  <c r="N133" i="12"/>
  <c r="M132" i="12" a="1"/>
  <c r="M132" i="12"/>
  <c r="N132" i="12"/>
  <c r="M131" i="12" a="1"/>
  <c r="M131" i="12"/>
  <c r="N131" i="12"/>
  <c r="M130" i="12" a="1"/>
  <c r="M130" i="12"/>
  <c r="N130" i="12"/>
  <c r="M129" i="12" a="1"/>
  <c r="M129" i="12"/>
  <c r="N129" i="12"/>
  <c r="M128" i="12" a="1"/>
  <c r="M128" i="12"/>
  <c r="N128" i="12"/>
  <c r="M127" i="12" a="1"/>
  <c r="M127" i="12"/>
  <c r="N127" i="12"/>
  <c r="M126" i="12" a="1"/>
  <c r="M126" i="12"/>
  <c r="N126" i="12"/>
  <c r="M125" i="12" a="1"/>
  <c r="M125" i="12"/>
  <c r="N125" i="12"/>
  <c r="M124" i="12" a="1"/>
  <c r="M124" i="12"/>
  <c r="N124" i="12"/>
  <c r="M123" i="12" a="1"/>
  <c r="M123" i="12"/>
  <c r="N123" i="12"/>
  <c r="M122" i="12" a="1"/>
  <c r="M122" i="12"/>
  <c r="N122" i="12"/>
  <c r="M121" i="12" a="1"/>
  <c r="M121" i="12"/>
  <c r="N121" i="12"/>
  <c r="M120" i="12" a="1"/>
  <c r="M120" i="12"/>
  <c r="N120" i="12"/>
  <c r="M119" i="12" a="1"/>
  <c r="M119" i="12"/>
  <c r="N119" i="12"/>
  <c r="M118" i="12" a="1"/>
  <c r="M118" i="12"/>
  <c r="N118" i="12"/>
  <c r="M117" i="12" a="1"/>
  <c r="M117" i="12"/>
  <c r="N117" i="12"/>
  <c r="M116" i="12" a="1"/>
  <c r="M116" i="12"/>
  <c r="N116" i="12"/>
  <c r="M115" i="12" a="1"/>
  <c r="M115" i="12"/>
  <c r="N115" i="12"/>
  <c r="M114" i="12" a="1"/>
  <c r="M114" i="12"/>
  <c r="N114" i="12"/>
  <c r="M113" i="12" a="1"/>
  <c r="M113" i="12"/>
  <c r="N113" i="12"/>
  <c r="M112" i="12" a="1"/>
  <c r="M112" i="12"/>
  <c r="N112" i="12"/>
  <c r="M111" i="12" a="1"/>
  <c r="M111" i="12"/>
  <c r="N111" i="12"/>
  <c r="M110" i="12" a="1"/>
  <c r="M110" i="12"/>
  <c r="N110" i="12"/>
  <c r="M109" i="12" a="1"/>
  <c r="M109" i="12"/>
  <c r="N109" i="12"/>
  <c r="M108" i="12" a="1"/>
  <c r="M108" i="12"/>
  <c r="N108" i="12"/>
  <c r="M107" i="12" a="1"/>
  <c r="M107" i="12"/>
  <c r="N107" i="12"/>
  <c r="M106" i="12" a="1"/>
  <c r="M106" i="12"/>
  <c r="N106" i="12"/>
  <c r="M105" i="12" a="1"/>
  <c r="M105" i="12"/>
  <c r="N105" i="12"/>
  <c r="M104" i="12" a="1"/>
  <c r="M104" i="12"/>
  <c r="N104" i="12"/>
  <c r="M103" i="12" a="1"/>
  <c r="M103" i="12"/>
  <c r="N103" i="12"/>
  <c r="M102" i="12" a="1"/>
  <c r="M102" i="12"/>
  <c r="N102" i="12"/>
  <c r="M101" i="12" a="1"/>
  <c r="M101" i="12"/>
  <c r="N101" i="12"/>
  <c r="M100" i="12" a="1"/>
  <c r="M100" i="12"/>
  <c r="N100" i="12"/>
  <c r="M99" i="12" a="1"/>
  <c r="M99" i="12"/>
  <c r="N99" i="12"/>
  <c r="M98" i="12" a="1"/>
  <c r="M98" i="12"/>
  <c r="N98" i="12"/>
  <c r="M97" i="12" a="1"/>
  <c r="M97" i="12"/>
  <c r="N97" i="12"/>
  <c r="M96" i="12" a="1"/>
  <c r="M96" i="12"/>
  <c r="N96" i="12"/>
  <c r="M95" i="12" a="1"/>
  <c r="M95" i="12"/>
  <c r="N95" i="12"/>
  <c r="M94" i="12" a="1"/>
  <c r="M94" i="12"/>
  <c r="N94" i="12"/>
  <c r="M93" i="12" a="1"/>
  <c r="M93" i="12"/>
  <c r="N93" i="12"/>
  <c r="M92" i="12" a="1"/>
  <c r="M92" i="12"/>
  <c r="N92" i="12"/>
  <c r="M91" i="12" a="1"/>
  <c r="M91" i="12"/>
  <c r="N91" i="12"/>
  <c r="M90" i="12" a="1"/>
  <c r="M90" i="12"/>
  <c r="N90" i="12"/>
  <c r="M89" i="12" a="1"/>
  <c r="M89" i="12"/>
  <c r="N89" i="12"/>
  <c r="M88" i="12" a="1"/>
  <c r="M88" i="12"/>
  <c r="N88" i="12"/>
  <c r="M87" i="12" a="1"/>
  <c r="M87" i="12"/>
  <c r="N87" i="12"/>
  <c r="M86" i="12" a="1"/>
  <c r="M86" i="12"/>
  <c r="N86" i="12"/>
  <c r="M85" i="12" a="1"/>
  <c r="M85" i="12"/>
  <c r="N85" i="12"/>
  <c r="M84" i="12" a="1"/>
  <c r="M84" i="12"/>
  <c r="N84" i="12"/>
  <c r="M83" i="12" a="1"/>
  <c r="M83" i="12"/>
  <c r="N83" i="12"/>
  <c r="M82" i="12" a="1"/>
  <c r="M82" i="12"/>
  <c r="N82" i="12"/>
  <c r="M81" i="12" a="1"/>
  <c r="M81" i="12"/>
  <c r="N81" i="12"/>
  <c r="M80" i="12" a="1"/>
  <c r="M80" i="12"/>
  <c r="N80" i="12"/>
  <c r="M79" i="12" a="1"/>
  <c r="M79" i="12"/>
  <c r="N79" i="12"/>
  <c r="M78" i="12" a="1"/>
  <c r="M78" i="12"/>
  <c r="N78" i="12"/>
  <c r="M77" i="12" a="1"/>
  <c r="M77" i="12"/>
  <c r="N77" i="12"/>
  <c r="M76" i="12" a="1"/>
  <c r="M76" i="12"/>
  <c r="N76" i="12"/>
  <c r="M75" i="12" a="1"/>
  <c r="M75" i="12"/>
  <c r="N75" i="12"/>
  <c r="M74" i="12" a="1"/>
  <c r="M74" i="12"/>
  <c r="N74" i="12"/>
  <c r="M73" i="12" a="1"/>
  <c r="M73" i="12"/>
  <c r="N73" i="12"/>
  <c r="M72" i="12" a="1"/>
  <c r="M72" i="12"/>
  <c r="N72" i="12"/>
  <c r="M71" i="12" a="1"/>
  <c r="M71" i="12"/>
  <c r="N71" i="12"/>
  <c r="M70" i="12" a="1"/>
  <c r="M70" i="12"/>
  <c r="N70" i="12"/>
  <c r="M69" i="12" a="1"/>
  <c r="M69" i="12"/>
  <c r="N69" i="12"/>
  <c r="M68" i="12" a="1"/>
  <c r="M68" i="12"/>
  <c r="N68" i="12"/>
  <c r="M67" i="12" a="1"/>
  <c r="M67" i="12"/>
  <c r="N67" i="12"/>
  <c r="M66" i="12" a="1"/>
  <c r="M66" i="12"/>
  <c r="N66" i="12"/>
  <c r="M65" i="12" a="1"/>
  <c r="M65" i="12"/>
  <c r="N65" i="12"/>
  <c r="M64" i="12" a="1"/>
  <c r="M64" i="12"/>
  <c r="N64" i="12"/>
  <c r="M63" i="12" a="1"/>
  <c r="M63" i="12"/>
  <c r="N63" i="12"/>
  <c r="M62" i="12" a="1"/>
  <c r="M62" i="12"/>
  <c r="N62" i="12"/>
  <c r="M61" i="12" a="1"/>
  <c r="M61" i="12"/>
  <c r="N61" i="12"/>
  <c r="M60" i="12" a="1"/>
  <c r="M60" i="12"/>
  <c r="N60" i="12"/>
  <c r="M59" i="12" a="1"/>
  <c r="M59" i="12"/>
  <c r="N59" i="12"/>
  <c r="M58" i="12" a="1"/>
  <c r="M58" i="12"/>
  <c r="N58" i="12"/>
  <c r="M57" i="12" a="1"/>
  <c r="M57" i="12"/>
  <c r="N57" i="12"/>
  <c r="M56" i="12" a="1"/>
  <c r="M56" i="12"/>
  <c r="N56" i="12"/>
  <c r="M55" i="12" a="1"/>
  <c r="M55" i="12"/>
  <c r="N55" i="12"/>
  <c r="M54" i="12" a="1"/>
  <c r="M54" i="12"/>
  <c r="N54" i="12"/>
  <c r="M53" i="12" a="1"/>
  <c r="M53" i="12"/>
  <c r="N53" i="12"/>
  <c r="M52" i="12" a="1"/>
  <c r="M52" i="12"/>
  <c r="N52" i="12"/>
  <c r="M51" i="12" a="1"/>
  <c r="M51" i="12"/>
  <c r="N51" i="12"/>
  <c r="M50" i="12" a="1"/>
  <c r="M50" i="12"/>
  <c r="N50" i="12"/>
  <c r="M49" i="12" a="1"/>
  <c r="M49" i="12"/>
  <c r="N49" i="12"/>
  <c r="M48" i="12" a="1"/>
  <c r="M48" i="12"/>
  <c r="N48" i="12"/>
  <c r="M47" i="12" a="1"/>
  <c r="M47" i="12"/>
  <c r="N47" i="12"/>
  <c r="M46" i="12" a="1"/>
  <c r="M46" i="12"/>
  <c r="N46" i="12"/>
  <c r="M45" i="12" a="1"/>
  <c r="M45" i="12"/>
  <c r="N45" i="12"/>
  <c r="M44" i="12" a="1"/>
  <c r="M44" i="12"/>
  <c r="N44" i="12"/>
  <c r="M43" i="12" a="1"/>
  <c r="M43" i="12"/>
  <c r="N43" i="12"/>
  <c r="M42" i="12" a="1"/>
  <c r="M42" i="12"/>
  <c r="N42" i="12"/>
  <c r="M41" i="12" a="1"/>
  <c r="M41" i="12"/>
  <c r="N41" i="12"/>
  <c r="M40" i="12" a="1"/>
  <c r="M40" i="12"/>
  <c r="N40" i="12"/>
  <c r="M39" i="12" a="1"/>
  <c r="M39" i="12"/>
  <c r="N39" i="12"/>
  <c r="M38" i="12" a="1"/>
  <c r="M38" i="12"/>
  <c r="N38" i="12"/>
  <c r="M37" i="12" a="1"/>
  <c r="M37" i="12"/>
  <c r="N37" i="12"/>
  <c r="M36" i="12" a="1"/>
  <c r="M36" i="12"/>
  <c r="N36" i="12"/>
  <c r="M35" i="12" a="1"/>
  <c r="M35" i="12"/>
  <c r="N35" i="12"/>
  <c r="M34" i="12" a="1"/>
  <c r="M34" i="12"/>
  <c r="N34" i="12"/>
  <c r="M33" i="12" a="1"/>
  <c r="M33" i="12"/>
  <c r="N33" i="12"/>
  <c r="M32" i="12" a="1"/>
  <c r="M32" i="12"/>
  <c r="N32" i="12"/>
  <c r="M31" i="12" a="1"/>
  <c r="M31" i="12"/>
  <c r="N31" i="12"/>
  <c r="M30" i="12" a="1"/>
  <c r="M30" i="12"/>
  <c r="N30" i="12"/>
  <c r="M29" i="12" a="1"/>
  <c r="M29" i="12"/>
  <c r="N29" i="12"/>
  <c r="M28" i="12" a="1"/>
  <c r="M28" i="12"/>
  <c r="N28" i="12"/>
  <c r="M27" i="12" a="1"/>
  <c r="M27" i="12"/>
  <c r="N27" i="12"/>
  <c r="M26" i="12" a="1"/>
  <c r="M26" i="12"/>
  <c r="N26" i="12"/>
  <c r="M25" i="12" a="1"/>
  <c r="M25" i="12"/>
  <c r="N25" i="12"/>
  <c r="M24" i="12" a="1"/>
  <c r="M24" i="12"/>
  <c r="N24" i="12"/>
  <c r="M23" i="12" a="1"/>
  <c r="M23" i="12"/>
  <c r="N23" i="12"/>
  <c r="M22" i="12" a="1"/>
  <c r="M22" i="12"/>
  <c r="N22" i="12"/>
  <c r="M21" i="12" a="1"/>
  <c r="M21" i="12"/>
  <c r="N21" i="12"/>
  <c r="M20" i="12" a="1"/>
  <c r="M20" i="12"/>
  <c r="N20" i="12"/>
  <c r="M19" i="12" a="1"/>
  <c r="M19" i="12"/>
  <c r="N19" i="12"/>
  <c r="M18" i="12" a="1"/>
  <c r="M18" i="12"/>
  <c r="N18" i="12"/>
  <c r="M17" i="12" a="1"/>
  <c r="M17" i="12"/>
  <c r="N17" i="12"/>
  <c r="M16" i="12" a="1"/>
  <c r="M16" i="12"/>
  <c r="N16" i="12"/>
  <c r="M15" i="12" a="1"/>
  <c r="M15" i="12"/>
  <c r="N15" i="12"/>
  <c r="M14" i="12" a="1"/>
  <c r="M14" i="12"/>
  <c r="N14" i="12"/>
  <c r="M13" i="12" a="1"/>
  <c r="M13" i="12"/>
  <c r="N13" i="12"/>
  <c r="M12" i="12" a="1"/>
  <c r="M12" i="12"/>
  <c r="N12" i="12"/>
  <c r="M11" i="12" a="1"/>
  <c r="M11" i="12"/>
  <c r="N11"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tc={F15B1197-9199-400B-A607-1E77AE5278E4}</author>
    <author>tc={CDB5B1C2-5DA5-4AE9-88EB-483065178396}</author>
    <author>tc={50C2D57A-BC3F-4CFB-887E-09B0C921831E}</author>
    <author>tc={9631DC17-30B1-4EF3-8CD2-E23149361ED3}</author>
  </authors>
  <commentList>
    <comment ref="F92" authorId="0" shapeId="0" xr:uid="{F15B1197-9199-400B-A607-1E77AE5278E4}">
      <text>
        <t>[Threaded comment]
Your version of Excel allows you to read this threaded comment; however, any edits to it will get removed if the file is opened in a newer version of Excel. Learn more: https://go.microsoft.com/fwlink/?linkid=870924
Comment:
    Note that we could not access the microdata so the same coverage was assumed for both age groups
Reply:
    We reworked the coverage since the high coverages reported by the UNICEF Survey 2022 for children 6-59 contradicted what was highlighted in interviews with MOH and UNICEF CO, where concern was raised for children 24-59. According to the key informants, these children usually are not reached by facilities, and coverage tends to be low for them. We do not see that reflected in the survey estimates shared. Note there is a DHS from 2023 but has not been released yet.</t>
      </text>
    </comment>
    <comment ref="Y166" authorId="1" shapeId="0" xr:uid="{CDB5B1C2-5DA5-4AE9-88EB-483065178396}">
      <text>
        <t>[Threaded comment]
Your version of Excel allows you to read this threaded comment; however, any edits to it will get removed if the file is opened in a newer version of Excel. Learn more: https://go.microsoft.com/fwlink/?linkid=870924
Comment:
    For the provinces with double service deliver (i.e., provicnes where HKI is active), we assumed that not all children are reached by campaing. This is based on the latest coverage data from HKI campaigns and based on the modus operandi of these campaigns modality where childrne are checked their vaccination card. We assumed that children with a vaccination card and that received the DPT3 received the intervetnion in the facility</t>
      </text>
    </comment>
    <comment ref="J167" authorId="2" shapeId="0" xr:uid="{50C2D57A-BC3F-4CFB-887E-09B0C921831E}">
      <text>
        <t xml:space="preserve">[Threaded comment]
Your version of Excel allows you to read this threaded comment; however, any edits to it will get removed if the file is opened in a newer version of Excel. Learn more: https://go.microsoft.com/fwlink/?linkid=870924
Comment:
    Equalling the coverage of 24-59 months to that of 6-23 months in the provinces where HKI is active. The rational is that there is no evidence to support that coverage in VAS through facilities for children between 23-59 months would be higher than for children 6-23 months. In fact, the KII reflected that the coverage of facility-VAS in children between 23-59 months may be even lower but we don't know how much lower. </t>
      </text>
    </comment>
    <comment ref="AE167" authorId="3" shapeId="0" xr:uid="{9631DC17-30B1-4EF3-8CD2-E23149361ED3}">
      <text>
        <t xml:space="preserve">[Threaded comment]
Your version of Excel allows you to read this threaded comment; however, any edits to it will get removed if the file is opened in a newer version of Excel. Learn more: https://go.microsoft.com/fwlink/?linkid=870924
Comment:
    Equalling the coverage of 24-59 months to that of 6-23 months in the provinces where HKI is active. The rational is that there is no evidence to support that coverage in VAS through facilities for children between 23-59 months would be higher than for children 6-23 months. In fact, the KII reflected that the coverage of facility-VAS in children between 23-59 months may be even lower but we don't know how much lower.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<sst xmlns="http://schemas.openxmlformats.org/spreadsheetml/2006/main" count="798" uniqueCount="269">
  <si>
    <t>DRC Total Children</t>
  </si>
  <si>
    <t>6-59 months old</t>
  </si>
  <si>
    <t>Children</t>
  </si>
  <si>
    <t>6-23 months old</t>
  </si>
  <si>
    <t>24-59 months old</t>
  </si>
  <si>
    <t>(2024 Population Estimate,</t>
  </si>
  <si>
    <t>based on WB data)</t>
  </si>
  <si>
    <t>Distance Probit Coefficient</t>
  </si>
  <si>
    <t>(% based on DHS Survey)</t>
  </si>
  <si>
    <t>Average Cluster Distance to Nearest Facility (km)</t>
  </si>
  <si>
    <t>Region</t>
  </si>
  <si>
    <t>Average Distance (km)</t>
  </si>
  <si>
    <t>of receiving Vitamin A</t>
  </si>
  <si>
    <t>Province</t>
  </si>
  <si>
    <t>Total Population, 2019</t>
  </si>
  <si>
    <t>Estimated Children per Province, 2019 (14.5% of total population)</t>
  </si>
  <si>
    <t>Estimated Children per Province, 2024 (average 3.2% annual increase)</t>
  </si>
  <si>
    <t>Region_id</t>
  </si>
  <si>
    <t>Percentage of children 6-59 months old in each region (DHS Survey sample)</t>
  </si>
  <si>
    <t>Estimated Children per Region</t>
  </si>
  <si>
    <t>Kwango</t>
  </si>
  <si>
    <t>Bandundu</t>
  </si>
  <si>
    <t>Region 2 (Bandundu)</t>
  </si>
  <si>
    <t>Kwilu</t>
  </si>
  <si>
    <t>Mai-Ndombe</t>
  </si>
  <si>
    <t>Kongo-Central</t>
  </si>
  <si>
    <t>Bas-Congo</t>
  </si>
  <si>
    <t>Region 3 (Bas_Congo)</t>
  </si>
  <si>
    <t>Équateur</t>
  </si>
  <si>
    <t>Region 4 (Equateur)</t>
  </si>
  <si>
    <t>Mongala</t>
  </si>
  <si>
    <t>Nord-Ubangi</t>
  </si>
  <si>
    <t>Sud-Ubangi</t>
  </si>
  <si>
    <t>Tshuapa</t>
  </si>
  <si>
    <t>Kasaï</t>
  </si>
  <si>
    <t>Kasaï-Occidental</t>
  </si>
  <si>
    <t>Region 5 (Kasai_Occidental)</t>
  </si>
  <si>
    <t>Kasaï-Central</t>
  </si>
  <si>
    <t>Kasaï-Oriental</t>
  </si>
  <si>
    <t>Region 6 (Kasai_Oriental)</t>
  </si>
  <si>
    <t>Lomami</t>
  </si>
  <si>
    <t>Sankuru</t>
  </si>
  <si>
    <t>Haut-Katanga</t>
  </si>
  <si>
    <t>Katanga</t>
  </si>
  <si>
    <t>Region 7 (Katanga)</t>
  </si>
  <si>
    <t>Haut-Lomami</t>
  </si>
  <si>
    <t>Lualaba</t>
  </si>
  <si>
    <t>Tanganyika</t>
  </si>
  <si>
    <t>Kinshasa</t>
  </si>
  <si>
    <t>Region 1 (Kinshasa)</t>
  </si>
  <si>
    <t>Maniema</t>
  </si>
  <si>
    <t>Region 8 (Maniema)</t>
  </si>
  <si>
    <t>Nord-Kivu</t>
  </si>
  <si>
    <t>North Kivu</t>
  </si>
  <si>
    <t>Region 9 (Nord_Kivu)</t>
  </si>
  <si>
    <t>Bas-Uele</t>
  </si>
  <si>
    <t>Orientale</t>
  </si>
  <si>
    <t>Region 10 (Orientale)</t>
  </si>
  <si>
    <t>Haut-Uele</t>
  </si>
  <si>
    <t>Ituri</t>
  </si>
  <si>
    <t>Tshopo</t>
  </si>
  <si>
    <t>Sud-Kivu</t>
  </si>
  <si>
    <t>South Kivu</t>
  </si>
  <si>
    <t>Region 11 (Sud_Kivu)</t>
  </si>
  <si>
    <t>Average Annual Growth (%)</t>
  </si>
  <si>
    <t>Source: The World Bank</t>
  </si>
  <si>
    <t>2019-2024 (%)</t>
  </si>
  <si>
    <t>Province_id</t>
  </si>
  <si>
    <t>Share of Children per Province, 2024</t>
  </si>
  <si>
    <t>Etiquetas de fila</t>
  </si>
  <si>
    <t>Share of Children</t>
  </si>
  <si>
    <t>DRC Total</t>
  </si>
  <si>
    <t>0-23 months old</t>
  </si>
  <si>
    <t>(Random assumption for testing, distance in DRC goes from 2-113)</t>
  </si>
  <si>
    <t>(DRC Probit Model result)</t>
  </si>
  <si>
    <t>Estimates by age group</t>
  </si>
  <si>
    <t>Facility based</t>
  </si>
  <si>
    <t>Campaign</t>
  </si>
  <si>
    <t>24-59 months</t>
  </si>
  <si>
    <t>Total</t>
  </si>
  <si>
    <t>Cost per child covered</t>
  </si>
  <si>
    <t>Intervention Type</t>
  </si>
  <si>
    <t>VAS Coverage</t>
  </si>
  <si>
    <t>Children Covered</t>
  </si>
  <si>
    <t>Total Cost Facility-Based</t>
  </si>
  <si>
    <t>Total Cost Campaign-Based</t>
  </si>
  <si>
    <t>Distance Adjusted VAS Coverage</t>
  </si>
  <si>
    <t>Distance Adjusted Children Covered</t>
  </si>
  <si>
    <t>Input province number</t>
  </si>
  <si>
    <t>Unit Cost Facility-Based</t>
  </si>
  <si>
    <t>Unit Cost Campaign-Based</t>
  </si>
  <si>
    <t>(Probit Model results, DHS data)</t>
  </si>
  <si>
    <t>14.5% of total population</t>
  </si>
  <si>
    <t>Share from total DRC Children</t>
  </si>
  <si>
    <t>Probability decrease</t>
  </si>
  <si>
    <t>distance and supplies effect only affect facility-based</t>
  </si>
  <si>
    <t>divide population in &lt;20km vs &gt;20km and then apply the distance coef</t>
  </si>
  <si>
    <t>&gt; 20km to nearest facility</t>
  </si>
  <si>
    <t>&lt; 20km to nearest facility</t>
  </si>
  <si>
    <t>Share of Children living &lt;20km from nearest facility</t>
  </si>
  <si>
    <t>Share of Children living &gt;20km from nearest facility</t>
  </si>
  <si>
    <t>Children &lt;20km from nearest facility</t>
  </si>
  <si>
    <t>Children &gt;20km from nearest facility</t>
  </si>
  <si>
    <t xml:space="preserve">&lt;20km Average Distance (km) </t>
  </si>
  <si>
    <t xml:space="preserve">&gt;20km Average Distance (km) </t>
  </si>
  <si>
    <t>Facility-Based</t>
  </si>
  <si>
    <t>Campaign-Based</t>
  </si>
  <si>
    <t>Total Cost</t>
  </si>
  <si>
    <t>Per child cost</t>
  </si>
  <si>
    <t>children covered by campaing.</t>
  </si>
  <si>
    <t>if all coverage is provided by facilities.</t>
  </si>
  <si>
    <t>Scenario</t>
  </si>
  <si>
    <t>Stockout Frecuency</t>
  </si>
  <si>
    <t>Supplies / Children Covered Ratio</t>
  </si>
  <si>
    <t>Total 6-59m children covered</t>
  </si>
  <si>
    <t>Total 6-23m children covered</t>
  </si>
  <si>
    <t>Total 24-59m children covered</t>
  </si>
  <si>
    <t>VAS Coverage (%):</t>
  </si>
  <si>
    <t>*</t>
  </si>
  <si>
    <t>children living &gt;20km away from facilities,</t>
  </si>
  <si>
    <t>which represents the</t>
  </si>
  <si>
    <t>of total children, so considerations</t>
  </si>
  <si>
    <t>regarding long-term policy (demographic dynamics, health insfrastructure, human resources) may be of interest.</t>
  </si>
  <si>
    <t>From DHS Survey</t>
  </si>
  <si>
    <t>6-23m children covered by facilities, &lt; 20km</t>
  </si>
  <si>
    <t>6-23m children covered by facilities, &gt; 20km</t>
  </si>
  <si>
    <t>24-59m children covered by facilities, &lt; 20km</t>
  </si>
  <si>
    <t>24-59m children covered by facilities, &gt; 20km</t>
  </si>
  <si>
    <t>24-59m children covered by campaign</t>
  </si>
  <si>
    <t>6-23m children covered by campaign</t>
  </si>
  <si>
    <t>VAS Coverage (Adj; %):</t>
  </si>
  <si>
    <t>children</t>
  </si>
  <si>
    <t>can be covered in facilities by available Vit A supplies.</t>
  </si>
  <si>
    <t>extra Vit A supplies</t>
  </si>
  <si>
    <t>to achive estimated coverage only with facilities.</t>
  </si>
  <si>
    <t>6-23m children , &lt; 20km, considering supplies</t>
  </si>
  <si>
    <t>6-23m children , &gt; 20km, considering supplies</t>
  </si>
  <si>
    <t>24-59m children , &lt; 20km, considering supplies</t>
  </si>
  <si>
    <t>24-59m children , &gt; 20km, considering supplies</t>
  </si>
  <si>
    <t>if getting the 100% necessary supplies,</t>
  </si>
  <si>
    <t>and total cost would be</t>
  </si>
  <si>
    <t>.</t>
  </si>
  <si>
    <t>6-23 months</t>
  </si>
  <si>
    <t>Facility-Based Share</t>
  </si>
  <si>
    <t>Campaing-Based Share</t>
  </si>
  <si>
    <t>id</t>
  </si>
  <si>
    <t>Supplies_id</t>
  </si>
  <si>
    <t>Supplies_status</t>
  </si>
  <si>
    <t>Supplies Status</t>
  </si>
  <si>
    <t>In fact,</t>
  </si>
  <si>
    <t>Children NOT Covered</t>
  </si>
  <si>
    <t>(DHS Survey)</t>
  </si>
  <si>
    <t>VAS coverage</t>
  </si>
  <si>
    <t>6 to 23</t>
  </si>
  <si>
    <t>Kongo Central</t>
  </si>
  <si>
    <t>Kasai Oriental</t>
  </si>
  <si>
    <t>Kasai</t>
  </si>
  <si>
    <t>Bas Uele</t>
  </si>
  <si>
    <t>Equateur</t>
  </si>
  <si>
    <t>Haut Katanga</t>
  </si>
  <si>
    <t>Haut Lomami</t>
  </si>
  <si>
    <t>Haut Uele</t>
  </si>
  <si>
    <t>Kasai central</t>
  </si>
  <si>
    <t>Mai Ndombe</t>
  </si>
  <si>
    <t>Nord Kivu</t>
  </si>
  <si>
    <t>Nord Ubangi</t>
  </si>
  <si>
    <t>Sud Kivu</t>
  </si>
  <si>
    <t>Sud Ubangi</t>
  </si>
  <si>
    <t>24 to 59</t>
  </si>
  <si>
    <t>6 to 11</t>
  </si>
  <si>
    <t>12 to 23</t>
  </si>
  <si>
    <t>6-23 share</t>
  </si>
  <si>
    <t>24-59 share</t>
  </si>
  <si>
    <t>Not covered</t>
  </si>
  <si>
    <t>We know from KII that coverage of &gt;2 is low in provinces that do facility-based delivery</t>
  </si>
  <si>
    <t>Stock scenario</t>
  </si>
  <si>
    <t>6-23m</t>
  </si>
  <si>
    <t>24-59m</t>
  </si>
  <si>
    <t>UNICEF 2022 Survey</t>
  </si>
  <si>
    <t>DHS 2014-15</t>
  </si>
  <si>
    <t>Average coverage (UNICEF &amp; DHS)</t>
  </si>
  <si>
    <t>Consultations adjustments</t>
  </si>
  <si>
    <t>24-59m_adjusted</t>
  </si>
  <si>
    <t>6-23m_adjusted</t>
  </si>
  <si>
    <t>Facility</t>
  </si>
  <si>
    <t>Service delivery</t>
  </si>
  <si>
    <t>Intensive routine (campaign - HKI)</t>
  </si>
  <si>
    <t>Routine/facility - UNICEF</t>
  </si>
  <si>
    <t>Code</t>
  </si>
  <si>
    <t>Distribution across service delivery modality</t>
  </si>
  <si>
    <t>coverage in facility</t>
  </si>
  <si>
    <t>coverage in campaign</t>
  </si>
  <si>
    <t>Verif cell&gt;&gt;</t>
  </si>
  <si>
    <t>Number 6-23 months</t>
  </si>
  <si>
    <t>Number 24-59 months</t>
  </si>
  <si>
    <t>Coverage adjusted by distance</t>
  </si>
  <si>
    <t>Impact of distance on coverage for facility-based delivery</t>
  </si>
  <si>
    <t>Near</t>
  </si>
  <si>
    <t>Away</t>
  </si>
  <si>
    <t>RR for VAS (VAS_near/VAS_average)</t>
  </si>
  <si>
    <t>RR for VAS (VAS_away/VAS_average)</t>
  </si>
  <si>
    <t>Stock coverage (% pop in need for 1 dose)</t>
  </si>
  <si>
    <t>Average DRC coverage (6-59 months)</t>
  </si>
  <si>
    <t>Stock cvge</t>
  </si>
  <si>
    <t>Correlation stock and coverage for facility-based provinces</t>
  </si>
  <si>
    <t>Correlation stock and coverage for campaign provinces</t>
  </si>
  <si>
    <t>Weak and not stat. significant correlation</t>
  </si>
  <si>
    <t>Moderate to strong and stat. significant correlation</t>
  </si>
  <si>
    <r>
      <t xml:space="preserve">Observed </t>
    </r>
    <r>
      <rPr>
        <sz val="8"/>
        <rFont val="Calibri"/>
        <family val="2"/>
        <scheme val="minor"/>
      </rPr>
      <t>▼</t>
    </r>
  </si>
  <si>
    <t>6-59 months</t>
  </si>
  <si>
    <t>Coverage rates</t>
  </si>
  <si>
    <t>6-59 months adjusted</t>
  </si>
  <si>
    <t>Correlation stock availability and VAS coverage rates</t>
  </si>
  <si>
    <t>Provinces: facility delivery only</t>
  </si>
  <si>
    <t>Provinces: campaign (and facility) delivery</t>
  </si>
  <si>
    <t>Away is = or more than 20 km from a facility</t>
  </si>
  <si>
    <t>average distance to facility</t>
  </si>
  <si>
    <t>Share of pop away from facility</t>
  </si>
  <si>
    <t>&gt;20 km: Distance to facility</t>
  </si>
  <si>
    <t>percentage points increase in coverage for every 1 percentage point increase in supply</t>
  </si>
  <si>
    <t>If facility delivery for 24-59 months</t>
  </si>
  <si>
    <t>Affected by supply level and distance to facility</t>
  </si>
  <si>
    <t>Note: There seem to be regional/provincial effects that influence the coverage</t>
  </si>
  <si>
    <t>It becomes difficult to explain the association between stock, and other specific regional factors, with coverage without real-time or consistent data for the same period for all variables</t>
  </si>
  <si>
    <t>Province ID</t>
  </si>
  <si>
    <t xml:space="preserve"> Vitamin A with respect to average</t>
  </si>
  <si>
    <t>Probability increase of receiving</t>
  </si>
  <si>
    <t>Probability decrease of receiving</t>
  </si>
  <si>
    <t>6-23 Near Facility</t>
  </si>
  <si>
    <t>6-23 Near Campaign</t>
  </si>
  <si>
    <t>6-23 Away Facility</t>
  </si>
  <si>
    <t>6-23 Away Campaign</t>
  </si>
  <si>
    <t>24-59 Near Facility</t>
  </si>
  <si>
    <t>24-59 Near Campaign</t>
  </si>
  <si>
    <t>24-59 Away Facility</t>
  </si>
  <si>
    <t>24-59 Away Campaign</t>
  </si>
  <si>
    <t>Based on Province, Distance and Age</t>
  </si>
  <si>
    <t>Number of Children Covered by Facilities</t>
  </si>
  <si>
    <t>Probability of VAS coverage</t>
  </si>
  <si>
    <t>Accounting for Stock</t>
  </si>
  <si>
    <t>Costs per child</t>
  </si>
  <si>
    <t>Available Vit A Supplies Amount in this Geography</t>
  </si>
  <si>
    <t>Additional supplies costs</t>
  </si>
  <si>
    <t>Children 6-23</t>
  </si>
  <si>
    <t>Children 24-59</t>
  </si>
  <si>
    <t>Total cost</t>
  </si>
  <si>
    <t>Total Cov</t>
  </si>
  <si>
    <t>Total children</t>
  </si>
  <si>
    <t>Geographic region</t>
  </si>
  <si>
    <t>Costs</t>
  </si>
  <si>
    <t>Cost per percentage coverage</t>
  </si>
  <si>
    <t>Frontier</t>
  </si>
  <si>
    <t>Scenarios in the frontier</t>
  </si>
  <si>
    <t>Frontier1</t>
  </si>
  <si>
    <t>Coverage &gt;70%</t>
  </si>
  <si>
    <t>Remember to sort by 'Total Coverage' and 'Cost per Coverage P.P.'</t>
  </si>
  <si>
    <t>Cost per Coverage P.P.</t>
  </si>
  <si>
    <t>Total Coverage</t>
  </si>
  <si>
    <t>You are looking at estimates for</t>
  </si>
  <si>
    <t>id Scenarios</t>
  </si>
  <si>
    <t>Scenarios maximizing coverage at the lowest cost</t>
  </si>
  <si>
    <t>Coverage Probability</t>
  </si>
  <si>
    <t>For checking other provinces, change the 'Province' in the Decision Tree and check the All_Possible_Scenarios_Tab</t>
  </si>
  <si>
    <t>Observed 2023 Vit A Supplies (DHIS2 Vitamine A data-based)</t>
  </si>
  <si>
    <t>Optimistic Vit A Supplies Amount (Equals population in need)</t>
  </si>
  <si>
    <t>Less Optimistic Vit A Supplies Amount (only reaches 50% of population in need)</t>
  </si>
  <si>
    <t>Pesimistic Vit A Supplies Amount (reaches 20% of population in need)</t>
  </si>
  <si>
    <t>Recommended Scenarios</t>
  </si>
  <si>
    <t>Target population for 1 year - assumes 2 cohorts of children 6-11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</si>
</sst>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0.0000000"/>
    <numFmt numFmtId="165" formatCode="0.0"/>
    <numFmt numFmtId="166" formatCode="0.0%"/>
    <numFmt numFmtId="167" formatCode="&quot;$&quot;\ #,##0.00"/>
    <numFmt numFmtId="169" formatCode="0.0000"/>
    <numFmt numFmtId="170" formatCode="&quot;$&quot;\ #,##0.0000"/>
    <numFmt numFmtId="171" formatCode="_-* #,##0_-;\-* #,##0_-;_-* &quot;-&quot;??_-;_-@_-"/>
    <numFmt numFmtId="172" formatCode="_-* #,##0.000_-;\-* #,##0.000_-;_-* &quot;-&quot;??_-;_-@_-"/>
  </numFmts>
  <fonts count="33"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1"/>
      <name val="Calibri"/>
      <family val="2"/>
      <scheme val="minor"/>
    </font>
    <font>
      <sz val="11"/>
      <name val="Calibri"/>
      <family val="2"/>
      <scheme val="minor"/>
    </font>
    <font>
      <i/>
      <sz val="11"/>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sz val="10"/>
      <name val="Calibri "/>
    </font>
    <font>
      <i/>
      <sz val="11"/>
      <color theme="0"/>
      <name val="Calibri"/>
      <family val="2"/>
      <scheme val="minor"/>
    </font>
    <font>
      <sz val="11"/>
      <color theme="0"/>
      <name val="Calibri"/>
      <family val="2"/>
      <scheme val="minor"/>
    </font>
    <font>
      <b/>
      <i/>
      <u/>
      <sz val="16"/>
      <color theme="1"/>
      <name val="Calibri"/>
      <family val="2"/>
      <scheme val="minor"/>
    </font>
    <font>
      <b/>
      <sz val="10"/>
      <color theme="1"/>
      <name val="Calibri "/>
    </font>
    <font>
      <b/>
      <sz val="10"/>
      <color theme="0"/>
      <name val="Calibri "/>
    </font>
    <font>
      <b/>
      <i/>
      <sz val="11"/>
      <color theme="5" tint="-0.499984740745262"/>
      <name val="Calibri"/>
      <family val="2"/>
      <scheme val="minor"/>
    </font>
    <font>
      <b/>
      <i/>
      <sz val="11"/>
      <color theme="9" tint="-0.499984740745262"/>
      <name val="Calibri"/>
      <family val="2"/>
      <scheme val="minor"/>
    </font>
    <font>
      <i/>
      <sz val="8"/>
      <color theme="1"/>
      <name val="Calibri"/>
      <family val="2"/>
      <scheme val="minor"/>
    </font>
    <font>
      <sz val="11"/>
      <color theme="1"/>
      <name val="Calibri"/>
      <family val="2"/>
      <scheme val="minor"/>
    </font>
    <font>
      <sz val="8"/>
      <name val="Calibri"/>
      <family val="2"/>
      <scheme val="minor"/>
    </font>
    <font>
      <sz val="9"/>
      <name val="Calibri"/>
      <family val="2"/>
      <scheme val="minor"/>
    </font>
    <font>
      <b/>
      <i/>
      <sz val="11"/>
      <color theme="9"/>
      <name val="Calibri"/>
      <family val="2"/>
      <scheme val="minor"/>
    </font>
    <font>
      <b/>
      <i/>
      <sz val="11"/>
      <color theme="5"/>
      <name val="Calibri"/>
      <family val="2"/>
      <scheme val="minor"/>
    </font>
    <font>
      <b/>
      <sz val="11"/>
      <color theme="9" tint="-0.499984740745262"/>
      <name val="Calibri"/>
      <family val="2"/>
      <scheme val="minor"/>
    </font>
    <font>
      <b/>
      <sz val="11"/>
      <color rgb="FFFF0000"/>
      <name val="Calibri"/>
      <family val="2"/>
      <scheme val="minor"/>
    </font>
    <font>
      <b/>
      <sz val="11"/>
      <color rgb="FFC00000"/>
      <name val="Calibri"/>
      <family val="2"/>
      <scheme val="minor"/>
    </font>
    <font>
      <i/>
      <sz val="11"/>
      <color theme="2" tint="-0.249977111117893"/>
      <name val="Calibri"/>
      <family val="2"/>
      <scheme val="minor"/>
    </font>
    <font>
      <u/>
      <sz val="11"/>
      <color theme="1"/>
      <name val="Calibri"/>
      <family val="2"/>
      <scheme val="minor"/>
    </font>
    <font>
      <b/>
      <i/>
      <u/>
      <sz val="11"/>
      <color theme="2" tint="-0.249977111117893"/>
      <name val="Calibri"/>
      <family val="2"/>
      <scheme val="minor"/>
    </font>
    <font>
      <u/>
      <sz val="11"/>
      <color theme="10"/>
      <name val="Calibri"/>
      <family val="2"/>
      <scheme val="minor"/>
    </font>
    <font>
      <sz val="11"/>
      <color theme="2" tint="-0.499984740745262"/>
      <name val="Calibri"/>
      <family val="2"/>
      <scheme val="minor"/>
    </font>
    <font>
      <sz val="14"/>
      <color rgb="FF7C7C7C"/>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4" tint="0.79998168889431442"/>
        <bgColor theme="4"/>
      </patternFill>
    </fill>
    <fill>
      <patternFill patternType="solid">
        <fgColor rgb="FFFFFF00"/>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rgb="FFFFC5C5"/>
        <bgColor indexed="64"/>
      </patternFill>
    </fill>
    <fill>
      <patternFill patternType="solid">
        <fgColor theme="5" tint="0.79998168889431442"/>
        <bgColor indexed="64"/>
      </patternFill>
    </fill>
    <fill>
      <patternFill patternType="solid">
        <fgColor rgb="FFEAF3FA"/>
        <bgColor indexed="64"/>
      </patternFill>
    </fill>
    <fill>
      <patternFill patternType="solid">
        <fgColor theme="4" tint="-0.499984740745262"/>
        <bgColor indexed="64"/>
      </patternFill>
    </fill>
    <fill>
      <patternFill patternType="solid">
        <fgColor rgb="FFC00000"/>
        <bgColor indexed="64"/>
      </patternFill>
    </fill>
    <fill>
      <patternFill patternType="solid">
        <fgColor theme="4" tint="-0.249977111117893"/>
        <bgColor indexed="64"/>
      </patternFill>
    </fill>
    <fill>
      <patternFill patternType="solid">
        <fgColor rgb="FFEAF3FA"/>
        <bgColor theme="4"/>
      </patternFill>
    </fill>
    <fill>
      <patternFill patternType="solid">
        <fgColor theme="5" tint="0.79998168889431442"/>
        <bgColor theme="4"/>
      </patternFill>
    </fill>
    <fill>
      <patternFill patternType="solid">
        <fgColor rgb="FFFFFF7D"/>
        <bgColor indexed="64"/>
      </patternFill>
    </fill>
    <fill>
      <patternFill patternType="solid">
        <fgColor theme="7" tint="0.79998168889431442"/>
        <bgColor indexed="64"/>
      </patternFill>
    </fill>
    <fill>
      <patternFill patternType="solid">
        <fgColor theme="2"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double">
        <color theme="0" tint="-0.34998626667073579"/>
      </left>
      <right/>
      <top style="double">
        <color theme="0" tint="-0.34998626667073579"/>
      </top>
      <bottom/>
      <diagonal/>
    </border>
    <border>
      <left/>
      <right/>
      <top style="double">
        <color theme="0" tint="-0.34998626667073579"/>
      </top>
      <bottom/>
      <diagonal/>
    </border>
    <border>
      <left/>
      <right style="double">
        <color theme="0" tint="-0.34998626667073579"/>
      </right>
      <top style="double">
        <color theme="0" tint="-0.34998626667073579"/>
      </top>
      <bottom/>
      <diagonal/>
    </border>
    <border>
      <left style="double">
        <color theme="0" tint="-0.34998626667073579"/>
      </left>
      <right/>
      <top/>
      <bottom/>
      <diagonal/>
    </border>
    <border>
      <left/>
      <right style="double">
        <color theme="0" tint="-0.34998626667073579"/>
      </right>
      <top/>
      <bottom/>
      <diagonal/>
    </border>
    <border>
      <left style="double">
        <color theme="0" tint="-0.34998626667073579"/>
      </left>
      <right/>
      <top/>
      <bottom style="double">
        <color theme="0" tint="-0.34998626667073579"/>
      </bottom>
      <diagonal/>
    </border>
    <border>
      <left/>
      <right/>
      <top/>
      <bottom style="double">
        <color theme="0" tint="-0.34998626667073579"/>
      </bottom>
      <diagonal/>
    </border>
    <border>
      <left/>
      <right style="double">
        <color theme="0" tint="-0.34998626667073579"/>
      </right>
      <top/>
      <bottom style="double">
        <color theme="0" tint="-0.34998626667073579"/>
      </bottom>
      <diagonal/>
    </border>
  </borders>
  <cellStyleXfs count="4">
    <xf numFmtId="0" fontId="0" fillId="0" borderId="0"/>
    <xf numFmtId="43" fontId="19" fillId="0" borderId="0" applyFont="0" applyFill="0" applyBorder="0" applyAlignment="0" applyProtection="0"/>
    <xf numFmtId="9" fontId="19" fillId="0" borderId="0" applyFont="0" applyFill="0" applyBorder="0" applyAlignment="0" applyProtection="0"/>
    <xf numFmtId="0" fontId="30" fillId="0" borderId="0" applyNumberFormat="0" applyFill="0" applyBorder="0" applyAlignment="0" applyProtection="0"/>
  </cellStyleXfs>
  <cellXfs count="323">
    <xf numFmtId="0" fontId="0" fillId="0" borderId="0" xfId="0"/>
    <xf numFmtId="0" fontId="0" fillId="2" borderId="0" xfId="0" applyFill="1"/>
    <xf numFmtId="0" fontId="3" fillId="2" borderId="0" xfId="0" applyFont="1" applyFill="1"/>
    <xf numFmtId="0" fontId="0" fillId="2" borderId="0" xfId="0" applyFill="1" applyAlignment="1">
      <alignment horizontal="center" vertical="center"/>
    </xf>
    <xf numFmtId="0" fontId="3" fillId="2" borderId="0" xfId="0" applyFont="1" applyFill="1" applyAlignment="1">
      <alignment horizontal="center" vertical="center"/>
    </xf>
    <xf numFmtId="0" fontId="0" fillId="2" borderId="1" xfId="0" applyFill="1" applyBorder="1"/>
    <xf numFmtId="0" fontId="2" fillId="2" borderId="1" xfId="0" applyFont="1" applyFill="1" applyBorder="1"/>
    <xf numFmtId="3" fontId="1" fillId="0" borderId="3" xfId="0" applyNumberFormat="1" applyFont="1" applyBorder="1" applyAlignment="1">
      <alignment horizontal="center" vertical="center"/>
    </xf>
    <xf numFmtId="3" fontId="1" fillId="0" borderId="4" xfId="0"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3" fontId="2" fillId="3" borderId="1" xfId="0" applyNumberFormat="1" applyFont="1" applyFill="1" applyBorder="1" applyAlignment="1">
      <alignment horizontal="center" vertical="center"/>
    </xf>
    <xf numFmtId="0" fontId="4" fillId="3" borderId="1" xfId="0" applyFont="1" applyFill="1" applyBorder="1" applyAlignment="1">
      <alignment horizontal="center" vertical="center" wrapText="1"/>
    </xf>
    <xf numFmtId="0" fontId="5" fillId="0" borderId="0" xfId="0" applyFont="1"/>
    <xf numFmtId="3" fontId="5" fillId="0" borderId="1" xfId="0" applyNumberFormat="1" applyFont="1" applyBorder="1"/>
    <xf numFmtId="3" fontId="5" fillId="0" borderId="1" xfId="0" applyNumberFormat="1" applyFont="1" applyBorder="1" applyAlignment="1">
      <alignment vertical="center" wrapText="1"/>
    </xf>
    <xf numFmtId="0" fontId="5" fillId="0" borderId="1" xfId="0" applyFont="1" applyBorder="1"/>
    <xf numFmtId="0" fontId="5" fillId="0" borderId="1" xfId="0" applyFont="1" applyBorder="1" applyAlignment="1">
      <alignment horizontal="left" vertical="center" wrapText="1"/>
    </xf>
    <xf numFmtId="10" fontId="5" fillId="0" borderId="1" xfId="0" applyNumberFormat="1" applyFont="1" applyBorder="1" applyAlignment="1">
      <alignment horizontal="right" vertical="center" wrapText="1"/>
    </xf>
    <xf numFmtId="3" fontId="5" fillId="0" borderId="1" xfId="0" applyNumberFormat="1" applyFont="1" applyBorder="1" applyAlignment="1">
      <alignment horizontal="right" vertical="center"/>
    </xf>
    <xf numFmtId="10" fontId="4" fillId="0" borderId="4" xfId="0" applyNumberFormat="1" applyFont="1" applyBorder="1"/>
    <xf numFmtId="3" fontId="5" fillId="0" borderId="0" xfId="0" applyNumberFormat="1" applyFont="1"/>
    <xf numFmtId="0" fontId="4" fillId="0" borderId="0" xfId="0" applyFont="1" applyAlignment="1">
      <alignment horizontal="center" vertical="center" wrapText="1"/>
    </xf>
    <xf numFmtId="0" fontId="5" fillId="0" borderId="0" xfId="0" applyFont="1" applyAlignment="1">
      <alignment vertical="center" wrapText="1"/>
    </xf>
    <xf numFmtId="0" fontId="6" fillId="0" borderId="0" xfId="0" applyFont="1" applyAlignment="1">
      <alignment horizontal="right"/>
    </xf>
    <xf numFmtId="0" fontId="6" fillId="0" borderId="0" xfId="0" applyFont="1"/>
    <xf numFmtId="0" fontId="5" fillId="0" borderId="0" xfId="0" applyFont="1" applyAlignment="1">
      <alignment horizontal="right"/>
    </xf>
    <xf numFmtId="164" fontId="5" fillId="0" borderId="0" xfId="0" applyNumberFormat="1" applyFont="1"/>
    <xf numFmtId="10" fontId="5" fillId="0" borderId="0" xfId="0" applyNumberFormat="1" applyFont="1" applyAlignment="1">
      <alignment vertical="center" wrapText="1"/>
    </xf>
    <xf numFmtId="0" fontId="1" fillId="0" borderId="9" xfId="0" applyFont="1" applyBorder="1" applyAlignment="1">
      <alignment horizontal="center" vertical="center" wrapText="1"/>
    </xf>
    <xf numFmtId="0" fontId="1" fillId="4" borderId="6" xfId="0" applyFont="1" applyFill="1" applyBorder="1" applyAlignment="1">
      <alignment horizontal="center" vertical="center" wrapText="1"/>
    </xf>
    <xf numFmtId="3" fontId="5" fillId="5" borderId="1" xfId="0" applyNumberFormat="1" applyFont="1" applyFill="1" applyBorder="1" applyAlignment="1">
      <alignment vertical="center" wrapText="1"/>
    </xf>
    <xf numFmtId="0" fontId="2" fillId="2" borderId="10" xfId="0" applyFont="1" applyFill="1" applyBorder="1"/>
    <xf numFmtId="0" fontId="0" fillId="2" borderId="10" xfId="0" applyFill="1" applyBorder="1"/>
    <xf numFmtId="0" fontId="0" fillId="0" borderId="1" xfId="0" pivotButton="1" applyBorder="1"/>
    <xf numFmtId="0" fontId="0" fillId="0" borderId="1" xfId="0" applyBorder="1"/>
    <xf numFmtId="3" fontId="0" fillId="0" borderId="1" xfId="0" applyNumberFormat="1" applyBorder="1" applyAlignment="1">
      <alignment horizontal="left"/>
    </xf>
    <xf numFmtId="10" fontId="0" fillId="0" borderId="1" xfId="0" applyNumberFormat="1" applyBorder="1"/>
    <xf numFmtId="3" fontId="0" fillId="0" borderId="1" xfId="0" applyNumberFormat="1" applyBorder="1"/>
    <xf numFmtId="3" fontId="4" fillId="0" borderId="1" xfId="0" applyNumberFormat="1" applyFont="1" applyBorder="1" applyAlignment="1">
      <alignment vertical="center" wrapText="1"/>
    </xf>
    <xf numFmtId="0" fontId="5" fillId="6" borderId="1" xfId="0" applyFont="1" applyFill="1" applyBorder="1"/>
    <xf numFmtId="0" fontId="5" fillId="2" borderId="1" xfId="0" applyFont="1" applyFill="1" applyBorder="1"/>
    <xf numFmtId="3" fontId="5" fillId="6" borderId="1" xfId="0" applyNumberFormat="1" applyFont="1" applyFill="1" applyBorder="1"/>
    <xf numFmtId="0" fontId="4" fillId="6" borderId="1" xfId="0" applyFont="1" applyFill="1" applyBorder="1"/>
    <xf numFmtId="3" fontId="4" fillId="7" borderId="1" xfId="0" applyNumberFormat="1" applyFont="1" applyFill="1" applyBorder="1" applyAlignment="1">
      <alignment horizontal="center" vertical="center"/>
    </xf>
    <xf numFmtId="3" fontId="2" fillId="0" borderId="1" xfId="0" applyNumberFormat="1" applyFont="1" applyBorder="1" applyAlignment="1">
      <alignment horizontal="left"/>
    </xf>
    <xf numFmtId="3" fontId="2" fillId="0" borderId="1" xfId="0" applyNumberFormat="1" applyFont="1" applyBorder="1"/>
    <xf numFmtId="10" fontId="2" fillId="0" borderId="1" xfId="0" applyNumberFormat="1" applyFont="1" applyBorder="1"/>
    <xf numFmtId="1" fontId="2" fillId="2" borderId="1" xfId="0" applyNumberFormat="1" applyFont="1" applyFill="1" applyBorder="1"/>
    <xf numFmtId="3" fontId="0" fillId="2" borderId="0" xfId="0" applyNumberFormat="1" applyFill="1"/>
    <xf numFmtId="0" fontId="2" fillId="2" borderId="0" xfId="0" applyFont="1" applyFill="1" applyAlignment="1">
      <alignment horizontal="center" vertical="center"/>
    </xf>
    <xf numFmtId="0" fontId="3" fillId="2" borderId="1" xfId="0" applyFont="1" applyFill="1" applyBorder="1" applyAlignment="1">
      <alignment horizontal="center" vertical="center"/>
    </xf>
    <xf numFmtId="3" fontId="3" fillId="2" borderId="1" xfId="0" applyNumberFormat="1" applyFont="1" applyFill="1" applyBorder="1" applyAlignment="1">
      <alignment horizontal="center" vertical="center"/>
    </xf>
    <xf numFmtId="166" fontId="3" fillId="2" borderId="1" xfId="0" applyNumberFormat="1" applyFont="1" applyFill="1" applyBorder="1" applyAlignment="1">
      <alignment horizontal="center" vertical="center"/>
    </xf>
    <xf numFmtId="3" fontId="0" fillId="8" borderId="1" xfId="0" applyNumberFormat="1" applyFill="1" applyBorder="1" applyAlignment="1">
      <alignment horizontal="center" vertical="center"/>
    </xf>
    <xf numFmtId="165" fontId="3" fillId="2" borderId="1" xfId="0" applyNumberFormat="1" applyFont="1" applyFill="1" applyBorder="1" applyAlignment="1">
      <alignment horizontal="center" vertical="center"/>
    </xf>
    <xf numFmtId="9" fontId="3" fillId="2" borderId="1" xfId="0" applyNumberFormat="1" applyFont="1" applyFill="1" applyBorder="1" applyAlignment="1">
      <alignment horizontal="center" vertical="center"/>
    </xf>
    <xf numFmtId="0" fontId="2" fillId="2" borderId="0" xfId="0" applyFont="1" applyFill="1"/>
    <xf numFmtId="0" fontId="7" fillId="2" borderId="6" xfId="0" applyFont="1" applyFill="1" applyBorder="1"/>
    <xf numFmtId="0" fontId="7" fillId="2" borderId="11" xfId="0" applyFont="1" applyFill="1" applyBorder="1"/>
    <xf numFmtId="0" fontId="1" fillId="10" borderId="3" xfId="0" applyFont="1" applyFill="1" applyBorder="1"/>
    <xf numFmtId="0" fontId="1" fillId="10" borderId="4" xfId="0" applyFont="1" applyFill="1" applyBorder="1"/>
    <xf numFmtId="0" fontId="1" fillId="10" borderId="5" xfId="0" applyFont="1" applyFill="1" applyBorder="1"/>
    <xf numFmtId="0" fontId="1" fillId="10" borderId="1" xfId="0" applyFont="1" applyFill="1" applyBorder="1"/>
    <xf numFmtId="10" fontId="2" fillId="2" borderId="1" xfId="0" applyNumberFormat="1" applyFont="1" applyFill="1" applyBorder="1"/>
    <xf numFmtId="10" fontId="3" fillId="2" borderId="1" xfId="0" applyNumberFormat="1" applyFont="1" applyFill="1" applyBorder="1" applyAlignment="1">
      <alignment horizontal="center" vertical="center"/>
    </xf>
    <xf numFmtId="10" fontId="0" fillId="2" borderId="1" xfId="0" applyNumberFormat="1" applyFill="1" applyBorder="1"/>
    <xf numFmtId="10" fontId="9" fillId="11" borderId="1" xfId="0" applyNumberFormat="1" applyFont="1" applyFill="1" applyBorder="1" applyAlignment="1">
      <alignment horizontal="center" vertical="center"/>
    </xf>
    <xf numFmtId="167" fontId="2" fillId="12" borderId="1" xfId="0" applyNumberFormat="1" applyFont="1" applyFill="1" applyBorder="1" applyAlignment="1">
      <alignment horizontal="center" vertical="center"/>
    </xf>
    <xf numFmtId="0" fontId="3" fillId="8" borderId="0" xfId="0" applyFont="1" applyFill="1" applyAlignment="1">
      <alignment horizontal="center" vertical="center"/>
    </xf>
    <xf numFmtId="167" fontId="3" fillId="2" borderId="1" xfId="0" applyNumberFormat="1" applyFont="1" applyFill="1" applyBorder="1" applyAlignment="1">
      <alignment horizontal="center"/>
    </xf>
    <xf numFmtId="166" fontId="0" fillId="2" borderId="0" xfId="0" applyNumberFormat="1" applyFill="1" applyAlignment="1">
      <alignment horizontal="center" vertical="center"/>
    </xf>
    <xf numFmtId="0" fontId="9" fillId="2" borderId="0" xfId="0" applyFont="1" applyFill="1" applyAlignment="1">
      <alignment horizontal="center" vertical="center"/>
    </xf>
    <xf numFmtId="0" fontId="3" fillId="2" borderId="0" xfId="0" applyFont="1" applyFill="1" applyAlignment="1">
      <alignment horizontal="center"/>
    </xf>
    <xf numFmtId="3" fontId="3" fillId="14" borderId="1" xfId="0" applyNumberFormat="1" applyFont="1" applyFill="1" applyBorder="1" applyAlignment="1">
      <alignment horizontal="center" vertical="center"/>
    </xf>
    <xf numFmtId="166" fontId="3" fillId="14" borderId="1" xfId="0" applyNumberFormat="1" applyFont="1" applyFill="1" applyBorder="1" applyAlignment="1">
      <alignment horizontal="center" vertical="center"/>
    </xf>
    <xf numFmtId="165" fontId="3" fillId="13" borderId="1" xfId="0" applyNumberFormat="1" applyFont="1" applyFill="1" applyBorder="1" applyAlignment="1">
      <alignment horizontal="center" vertical="center"/>
    </xf>
    <xf numFmtId="3" fontId="9" fillId="14" borderId="1" xfId="0" applyNumberFormat="1" applyFont="1" applyFill="1" applyBorder="1" applyAlignment="1">
      <alignment horizontal="center" vertical="center"/>
    </xf>
    <xf numFmtId="0" fontId="9" fillId="2" borderId="0" xfId="0" applyFont="1" applyFill="1" applyAlignment="1">
      <alignment horizontal="center"/>
    </xf>
    <xf numFmtId="167" fontId="9" fillId="2" borderId="0" xfId="0" applyNumberFormat="1" applyFont="1" applyFill="1" applyAlignment="1">
      <alignment horizontal="center"/>
    </xf>
    <xf numFmtId="3" fontId="11" fillId="15" borderId="0" xfId="0" applyNumberFormat="1" applyFont="1" applyFill="1" applyAlignment="1">
      <alignment horizontal="center" vertical="center"/>
    </xf>
    <xf numFmtId="3" fontId="3" fillId="14" borderId="0" xfId="0" applyNumberFormat="1" applyFont="1" applyFill="1" applyAlignment="1">
      <alignment horizontal="center" vertical="center"/>
    </xf>
    <xf numFmtId="167" fontId="0" fillId="12" borderId="0" xfId="0" applyNumberFormat="1" applyFill="1" applyAlignment="1">
      <alignment horizontal="center" vertical="center"/>
    </xf>
    <xf numFmtId="167" fontId="12" fillId="16" borderId="0" xfId="0" applyNumberFormat="1" applyFont="1" applyFill="1" applyAlignment="1">
      <alignment horizontal="center" vertical="center"/>
    </xf>
    <xf numFmtId="3" fontId="3" fillId="2" borderId="0" xfId="0" applyNumberFormat="1" applyFont="1" applyFill="1"/>
    <xf numFmtId="0" fontId="3" fillId="2" borderId="13" xfId="0" applyFont="1" applyFill="1" applyBorder="1" applyAlignment="1">
      <alignment horizontal="right"/>
    </xf>
    <xf numFmtId="9" fontId="3" fillId="2" borderId="0" xfId="0" applyNumberFormat="1" applyFont="1" applyFill="1"/>
    <xf numFmtId="0" fontId="3" fillId="2" borderId="9" xfId="0" applyFont="1" applyFill="1" applyBorder="1"/>
    <xf numFmtId="49" fontId="3" fillId="2" borderId="0" xfId="0" applyNumberFormat="1" applyFont="1" applyFill="1" applyAlignment="1">
      <alignment horizontal="center" vertical="center"/>
    </xf>
    <xf numFmtId="0" fontId="1" fillId="17" borderId="9" xfId="0" applyFont="1" applyFill="1" applyBorder="1" applyAlignment="1">
      <alignment horizontal="center" vertical="center" wrapText="1"/>
    </xf>
    <xf numFmtId="166" fontId="3" fillId="2" borderId="0" xfId="0" applyNumberFormat="1" applyFont="1" applyFill="1" applyAlignment="1">
      <alignment horizontal="center" vertical="center"/>
    </xf>
    <xf numFmtId="0" fontId="3" fillId="2" borderId="12" xfId="0" applyFont="1" applyFill="1" applyBorder="1"/>
    <xf numFmtId="3" fontId="3" fillId="2" borderId="12" xfId="0" applyNumberFormat="1" applyFont="1" applyFill="1" applyBorder="1"/>
    <xf numFmtId="0" fontId="3" fillId="2" borderId="8" xfId="0" applyFont="1" applyFill="1" applyBorder="1" applyAlignment="1">
      <alignment horizontal="right"/>
    </xf>
    <xf numFmtId="9" fontId="3" fillId="2" borderId="12" xfId="0" applyNumberFormat="1" applyFont="1" applyFill="1" applyBorder="1"/>
    <xf numFmtId="10" fontId="0" fillId="2" borderId="0" xfId="0" applyNumberFormat="1" applyFill="1"/>
    <xf numFmtId="0" fontId="14" fillId="6" borderId="1" xfId="0" applyFont="1" applyFill="1" applyBorder="1"/>
    <xf numFmtId="0" fontId="10" fillId="0" borderId="1" xfId="0" applyFont="1" applyBorder="1"/>
    <xf numFmtId="0" fontId="3" fillId="2" borderId="0" xfId="0" applyFont="1" applyFill="1" applyAlignment="1">
      <alignment horizontal="left" vertical="center"/>
    </xf>
    <xf numFmtId="0" fontId="3" fillId="2" borderId="0" xfId="0" applyFont="1" applyFill="1" applyAlignment="1">
      <alignment horizontal="right" vertical="center"/>
    </xf>
    <xf numFmtId="0" fontId="3" fillId="2" borderId="5" xfId="0" applyFont="1" applyFill="1" applyBorder="1" applyAlignment="1">
      <alignment horizontal="right"/>
    </xf>
    <xf numFmtId="9" fontId="3" fillId="2" borderId="9" xfId="0" applyNumberFormat="1" applyFont="1" applyFill="1" applyBorder="1"/>
    <xf numFmtId="3" fontId="3" fillId="2" borderId="9" xfId="0" applyNumberFormat="1" applyFont="1" applyFill="1" applyBorder="1"/>
    <xf numFmtId="167" fontId="0" fillId="12" borderId="0" xfId="0" applyNumberFormat="1" applyFill="1" applyAlignment="1">
      <alignment horizontal="center"/>
    </xf>
    <xf numFmtId="0" fontId="9" fillId="13" borderId="1" xfId="0" applyFont="1" applyFill="1" applyBorder="1" applyAlignment="1">
      <alignment horizontal="center" vertical="center"/>
    </xf>
    <xf numFmtId="170" fontId="3" fillId="2" borderId="1" xfId="0" applyNumberFormat="1" applyFont="1" applyFill="1" applyBorder="1" applyAlignment="1">
      <alignment horizontal="center"/>
    </xf>
    <xf numFmtId="3" fontId="4" fillId="18" borderId="1" xfId="0" applyNumberFormat="1" applyFont="1" applyFill="1" applyBorder="1" applyAlignment="1">
      <alignment horizontal="center" vertical="center"/>
    </xf>
    <xf numFmtId="3" fontId="11" fillId="15" borderId="1" xfId="0" applyNumberFormat="1" applyFont="1" applyFill="1" applyBorder="1" applyAlignment="1">
      <alignment horizontal="center" vertical="center"/>
    </xf>
    <xf numFmtId="0" fontId="15" fillId="15" borderId="1" xfId="0" applyFont="1" applyFill="1" applyBorder="1"/>
    <xf numFmtId="0" fontId="5" fillId="2" borderId="0" xfId="0" applyFont="1" applyFill="1"/>
    <xf numFmtId="0" fontId="5" fillId="2" borderId="10" xfId="0" applyFont="1" applyFill="1" applyBorder="1"/>
    <xf numFmtId="0" fontId="4" fillId="6" borderId="10" xfId="0" applyFont="1" applyFill="1" applyBorder="1"/>
    <xf numFmtId="0" fontId="1" fillId="15" borderId="9" xfId="0" applyFont="1" applyFill="1" applyBorder="1"/>
    <xf numFmtId="0" fontId="4" fillId="13" borderId="9" xfId="0" applyFont="1" applyFill="1" applyBorder="1" applyAlignment="1">
      <alignment horizontal="center" vertical="center"/>
    </xf>
    <xf numFmtId="0" fontId="0" fillId="2" borderId="0" xfId="0" quotePrefix="1" applyFill="1"/>
    <xf numFmtId="1" fontId="5" fillId="2" borderId="10" xfId="0" applyNumberFormat="1" applyFont="1" applyFill="1" applyBorder="1"/>
    <xf numFmtId="3" fontId="0" fillId="2" borderId="1" xfId="0" applyNumberFormat="1" applyFill="1" applyBorder="1" applyAlignment="1">
      <alignment horizontal="center" vertical="center"/>
    </xf>
    <xf numFmtId="0" fontId="16" fillId="2" borderId="0" xfId="0" applyFont="1" applyFill="1"/>
    <xf numFmtId="3" fontId="16" fillId="2" borderId="0" xfId="0" applyNumberFormat="1" applyFont="1" applyFill="1"/>
    <xf numFmtId="166" fontId="16" fillId="2" borderId="0" xfId="0" applyNumberFormat="1" applyFont="1" applyFill="1"/>
    <xf numFmtId="0" fontId="16" fillId="2" borderId="9" xfId="0" applyFont="1" applyFill="1" applyBorder="1"/>
    <xf numFmtId="166" fontId="16" fillId="2" borderId="9" xfId="0" applyNumberFormat="1" applyFont="1" applyFill="1" applyBorder="1"/>
    <xf numFmtId="0" fontId="17" fillId="2" borderId="12" xfId="0" applyFont="1" applyFill="1" applyBorder="1"/>
    <xf numFmtId="3" fontId="17" fillId="2" borderId="12" xfId="0" applyNumberFormat="1" applyFont="1" applyFill="1" applyBorder="1"/>
    <xf numFmtId="0" fontId="17" fillId="2" borderId="8" xfId="0" applyFont="1" applyFill="1" applyBorder="1" applyAlignment="1">
      <alignment horizontal="right"/>
    </xf>
    <xf numFmtId="9" fontId="17" fillId="2" borderId="12" xfId="0" applyNumberFormat="1" applyFont="1" applyFill="1" applyBorder="1"/>
    <xf numFmtId="3" fontId="0" fillId="20" borderId="1" xfId="0" applyNumberFormat="1" applyFill="1" applyBorder="1"/>
    <xf numFmtId="3" fontId="2" fillId="20" borderId="1" xfId="0" applyNumberFormat="1" applyFont="1" applyFill="1" applyBorder="1"/>
    <xf numFmtId="10" fontId="0" fillId="20" borderId="1" xfId="0" applyNumberFormat="1" applyFill="1" applyBorder="1"/>
    <xf numFmtId="169" fontId="7" fillId="20" borderId="1" xfId="0" applyNumberFormat="1" applyFont="1" applyFill="1" applyBorder="1"/>
    <xf numFmtId="2" fontId="7" fillId="20" borderId="2" xfId="0" applyNumberFormat="1" applyFont="1" applyFill="1" applyBorder="1"/>
    <xf numFmtId="169" fontId="2" fillId="20" borderId="7" xfId="0" applyNumberFormat="1" applyFont="1" applyFill="1" applyBorder="1"/>
    <xf numFmtId="2" fontId="2" fillId="20" borderId="8" xfId="0" applyNumberFormat="1" applyFont="1" applyFill="1" applyBorder="1"/>
    <xf numFmtId="10" fontId="5" fillId="0" borderId="4" xfId="0" applyNumberFormat="1" applyFont="1" applyBorder="1" applyAlignment="1">
      <alignment vertical="center" wrapText="1"/>
    </xf>
    <xf numFmtId="3" fontId="5" fillId="20" borderId="1" xfId="0" applyNumberFormat="1" applyFont="1" applyFill="1" applyBorder="1" applyAlignment="1">
      <alignment vertical="center" wrapText="1"/>
    </xf>
    <xf numFmtId="10" fontId="5" fillId="20" borderId="1" xfId="0" applyNumberFormat="1" applyFont="1" applyFill="1" applyBorder="1" applyAlignment="1">
      <alignment vertical="center" wrapText="1"/>
    </xf>
    <xf numFmtId="0" fontId="4" fillId="0" borderId="1" xfId="0" applyFont="1" applyBorder="1"/>
    <xf numFmtId="3" fontId="4" fillId="0" borderId="1" xfId="0" applyNumberFormat="1" applyFont="1" applyBorder="1"/>
    <xf numFmtId="3" fontId="4" fillId="20" borderId="1" xfId="0" applyNumberFormat="1" applyFont="1" applyFill="1" applyBorder="1" applyAlignment="1">
      <alignment vertical="center" wrapText="1"/>
    </xf>
    <xf numFmtId="10" fontId="4" fillId="20" borderId="1" xfId="0" applyNumberFormat="1" applyFont="1" applyFill="1" applyBorder="1" applyAlignment="1">
      <alignment vertical="center" wrapText="1"/>
    </xf>
    <xf numFmtId="166" fontId="6" fillId="0" borderId="0" xfId="0" applyNumberFormat="1" applyFont="1" applyAlignment="1">
      <alignment horizontal="left"/>
    </xf>
    <xf numFmtId="9" fontId="6" fillId="0" borderId="0" xfId="0" applyNumberFormat="1" applyFont="1" applyAlignment="1">
      <alignment horizontal="left"/>
    </xf>
    <xf numFmtId="166" fontId="3" fillId="0" borderId="1" xfId="0" applyNumberFormat="1" applyFont="1" applyBorder="1" applyAlignment="1">
      <alignment horizontal="center" vertical="center"/>
    </xf>
    <xf numFmtId="166" fontId="6" fillId="0" borderId="1" xfId="0" applyNumberFormat="1" applyFont="1" applyBorder="1" applyAlignment="1">
      <alignment horizontal="center"/>
    </xf>
    <xf numFmtId="0" fontId="2" fillId="21" borderId="1" xfId="0" applyFont="1" applyFill="1" applyBorder="1" applyAlignment="1">
      <alignment horizontal="center" vertical="center"/>
    </xf>
    <xf numFmtId="0" fontId="4" fillId="21" borderId="1" xfId="0" applyFont="1" applyFill="1" applyBorder="1" applyAlignment="1">
      <alignment horizontal="center"/>
    </xf>
    <xf numFmtId="0" fontId="0" fillId="0" borderId="9" xfId="0" applyBorder="1"/>
    <xf numFmtId="0" fontId="5" fillId="2" borderId="0" xfId="0" applyFont="1" applyFill="1" applyAlignment="1">
      <alignment horizontal="center"/>
    </xf>
    <xf numFmtId="0" fontId="5" fillId="2" borderId="2" xfId="0" applyFont="1" applyFill="1" applyBorder="1" applyAlignment="1">
      <alignment horizontal="center"/>
    </xf>
    <xf numFmtId="10" fontId="0" fillId="3" borderId="1" xfId="0" applyNumberFormat="1" applyFill="1" applyBorder="1"/>
    <xf numFmtId="0" fontId="1" fillId="10" borderId="1" xfId="0" applyFont="1" applyFill="1" applyBorder="1" applyAlignment="1">
      <alignment horizontal="center"/>
    </xf>
    <xf numFmtId="1" fontId="0" fillId="2" borderId="1" xfId="0" applyNumberFormat="1" applyFill="1" applyBorder="1"/>
    <xf numFmtId="10" fontId="2" fillId="22" borderId="1" xfId="0" applyNumberFormat="1" applyFont="1" applyFill="1" applyBorder="1"/>
    <xf numFmtId="166" fontId="5" fillId="2" borderId="0" xfId="0" applyNumberFormat="1" applyFont="1" applyFill="1"/>
    <xf numFmtId="9" fontId="0" fillId="2" borderId="1" xfId="0" applyNumberFormat="1" applyFill="1" applyBorder="1" applyAlignment="1">
      <alignment horizontal="center"/>
    </xf>
    <xf numFmtId="9" fontId="0" fillId="2" borderId="1" xfId="2" applyFont="1" applyFill="1" applyBorder="1" applyAlignment="1">
      <alignment horizontal="center"/>
    </xf>
    <xf numFmtId="0" fontId="4" fillId="6" borderId="0" xfId="0" applyFont="1" applyFill="1"/>
    <xf numFmtId="10" fontId="2" fillId="2" borderId="0" xfId="0" applyNumberFormat="1" applyFont="1" applyFill="1"/>
    <xf numFmtId="166" fontId="0" fillId="2" borderId="0" xfId="2" applyNumberFormat="1" applyFont="1" applyFill="1"/>
    <xf numFmtId="9" fontId="5" fillId="6" borderId="0" xfId="2" applyFont="1" applyFill="1" applyBorder="1" applyAlignment="1">
      <alignment horizontal="center"/>
    </xf>
    <xf numFmtId="10" fontId="2" fillId="2" borderId="0" xfId="0" applyNumberFormat="1" applyFont="1" applyFill="1" applyAlignment="1">
      <alignment horizontal="right"/>
    </xf>
    <xf numFmtId="9" fontId="5" fillId="2" borderId="1" xfId="2" applyFont="1" applyFill="1" applyBorder="1" applyAlignment="1">
      <alignment horizontal="center"/>
    </xf>
    <xf numFmtId="3" fontId="4" fillId="19" borderId="1" xfId="0" applyNumberFormat="1" applyFont="1" applyFill="1" applyBorder="1" applyAlignment="1">
      <alignment horizontal="center" vertical="center"/>
    </xf>
    <xf numFmtId="9" fontId="5" fillId="2" borderId="1" xfId="2" applyFont="1" applyFill="1" applyBorder="1"/>
    <xf numFmtId="9" fontId="5" fillId="6" borderId="1" xfId="2" applyFont="1" applyFill="1" applyBorder="1" applyAlignment="1">
      <alignment horizontal="center"/>
    </xf>
    <xf numFmtId="9" fontId="4" fillId="6" borderId="1" xfId="2" applyFont="1" applyFill="1" applyBorder="1" applyAlignment="1">
      <alignment horizontal="center"/>
    </xf>
    <xf numFmtId="171" fontId="5" fillId="6" borderId="1" xfId="1" applyNumberFormat="1" applyFont="1" applyFill="1" applyBorder="1"/>
    <xf numFmtId="171" fontId="5" fillId="2" borderId="1" xfId="1" applyNumberFormat="1" applyFont="1" applyFill="1" applyBorder="1"/>
    <xf numFmtId="171" fontId="4" fillId="6" borderId="1" xfId="1" applyNumberFormat="1" applyFont="1" applyFill="1" applyBorder="1"/>
    <xf numFmtId="10" fontId="5" fillId="2" borderId="0" xfId="0" applyNumberFormat="1" applyFont="1" applyFill="1" applyAlignment="1">
      <alignment horizontal="center"/>
    </xf>
    <xf numFmtId="171" fontId="5" fillId="6" borderId="1" xfId="0" applyNumberFormat="1" applyFont="1" applyFill="1" applyBorder="1"/>
    <xf numFmtId="172" fontId="5" fillId="2" borderId="0" xfId="0" applyNumberFormat="1" applyFont="1" applyFill="1"/>
    <xf numFmtId="10" fontId="0" fillId="2" borderId="1" xfId="0" applyNumberFormat="1" applyFill="1" applyBorder="1" applyAlignment="1">
      <alignment horizontal="center"/>
    </xf>
    <xf numFmtId="10" fontId="0" fillId="0" borderId="1" xfId="0" applyNumberFormat="1" applyBorder="1" applyAlignment="1">
      <alignment horizontal="center"/>
    </xf>
    <xf numFmtId="166" fontId="0" fillId="2" borderId="1" xfId="0" applyNumberFormat="1" applyFill="1" applyBorder="1" applyAlignment="1">
      <alignment horizontal="center"/>
    </xf>
    <xf numFmtId="166" fontId="0" fillId="0" borderId="1" xfId="0" applyNumberFormat="1" applyBorder="1" applyAlignment="1">
      <alignment horizontal="center"/>
    </xf>
    <xf numFmtId="166" fontId="5" fillId="2" borderId="1" xfId="2" applyNumberFormat="1" applyFont="1" applyFill="1" applyBorder="1" applyAlignment="1">
      <alignment horizontal="center"/>
    </xf>
    <xf numFmtId="9" fontId="5" fillId="2" borderId="1" xfId="0" applyNumberFormat="1" applyFont="1" applyFill="1" applyBorder="1" applyAlignment="1">
      <alignment horizontal="center"/>
    </xf>
    <xf numFmtId="0" fontId="6" fillId="2" borderId="0" xfId="0" applyFont="1" applyFill="1"/>
    <xf numFmtId="0" fontId="4" fillId="2" borderId="0" xfId="0" applyFont="1" applyFill="1"/>
    <xf numFmtId="4" fontId="0" fillId="2" borderId="0" xfId="0" applyNumberFormat="1" applyFill="1"/>
    <xf numFmtId="3" fontId="5" fillId="2" borderId="0" xfId="0" applyNumberFormat="1" applyFont="1" applyFill="1"/>
    <xf numFmtId="166" fontId="4" fillId="6" borderId="0" xfId="0" applyNumberFormat="1" applyFont="1" applyFill="1"/>
    <xf numFmtId="0" fontId="4" fillId="6" borderId="2" xfId="0" applyFont="1" applyFill="1" applyBorder="1"/>
    <xf numFmtId="10" fontId="2" fillId="2" borderId="10" xfId="0" applyNumberFormat="1" applyFont="1" applyFill="1" applyBorder="1"/>
    <xf numFmtId="3" fontId="0" fillId="2" borderId="10" xfId="0" applyNumberFormat="1" applyFill="1" applyBorder="1"/>
    <xf numFmtId="9" fontId="0" fillId="2" borderId="6" xfId="2" applyFont="1" applyFill="1" applyBorder="1" applyAlignment="1">
      <alignment horizontal="center"/>
    </xf>
    <xf numFmtId="2" fontId="5" fillId="2" borderId="0" xfId="2" applyNumberFormat="1" applyFont="1" applyFill="1"/>
    <xf numFmtId="0" fontId="15" fillId="15" borderId="4" xfId="0" applyFont="1" applyFill="1" applyBorder="1" applyAlignment="1">
      <alignment horizontal="center"/>
    </xf>
    <xf numFmtId="0" fontId="1" fillId="15" borderId="4" xfId="0" applyFont="1" applyFill="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5" fillId="2" borderId="6" xfId="0" applyFont="1" applyFill="1" applyBorder="1" applyAlignment="1">
      <alignment horizontal="center"/>
    </xf>
    <xf numFmtId="0" fontId="5" fillId="2" borderId="10" xfId="0" applyFont="1" applyFill="1" applyBorder="1" applyAlignment="1">
      <alignment horizontal="center"/>
    </xf>
    <xf numFmtId="0" fontId="5" fillId="2" borderId="10" xfId="0" applyFont="1" applyFill="1" applyBorder="1" applyAlignment="1">
      <alignment horizontal="left"/>
    </xf>
    <xf numFmtId="0" fontId="6" fillId="0" borderId="0" xfId="0" applyFont="1" applyAlignment="1">
      <alignment horizontal="center"/>
    </xf>
    <xf numFmtId="10" fontId="5" fillId="0" borderId="0" xfId="0" applyNumberFormat="1" applyFont="1" applyAlignment="1">
      <alignment horizontal="center" vertical="center" wrapText="1"/>
    </xf>
    <xf numFmtId="0" fontId="5" fillId="0" borderId="1" xfId="0" applyFont="1" applyBorder="1" applyAlignment="1">
      <alignment horizontal="left" vertical="center" wrapText="1"/>
    </xf>
    <xf numFmtId="10" fontId="5" fillId="0" borderId="1" xfId="0" applyNumberFormat="1" applyFont="1" applyBorder="1" applyAlignment="1">
      <alignment horizontal="right" vertical="center" wrapText="1"/>
    </xf>
    <xf numFmtId="3" fontId="5" fillId="0" borderId="1" xfId="0" applyNumberFormat="1" applyFont="1" applyBorder="1" applyAlignment="1">
      <alignment horizontal="right" vertical="center"/>
    </xf>
    <xf numFmtId="0" fontId="18" fillId="21" borderId="1" xfId="0" applyFont="1" applyFill="1" applyBorder="1" applyAlignment="1">
      <alignment horizontal="center" vertical="center"/>
    </xf>
    <xf numFmtId="0" fontId="7" fillId="9" borderId="2" xfId="0" applyFont="1" applyFill="1" applyBorder="1" applyAlignment="1">
      <alignment horizontal="center" vertical="center" wrapText="1"/>
    </xf>
    <xf numFmtId="0" fontId="7" fillId="9" borderId="6" xfId="0" applyFont="1" applyFill="1" applyBorder="1" applyAlignment="1">
      <alignment horizontal="center" vertical="center" wrapText="1"/>
    </xf>
    <xf numFmtId="0" fontId="8" fillId="2" borderId="2" xfId="0" applyFont="1" applyFill="1" applyBorder="1" applyAlignment="1">
      <alignment horizontal="center"/>
    </xf>
    <xf numFmtId="0" fontId="8" fillId="2" borderId="6" xfId="0" applyFont="1" applyFill="1" applyBorder="1" applyAlignment="1">
      <alignment horizontal="center"/>
    </xf>
    <xf numFmtId="0" fontId="5" fillId="2" borderId="2" xfId="0" applyFont="1" applyFill="1" applyBorder="1" applyAlignment="1">
      <alignment horizontal="center"/>
    </xf>
    <xf numFmtId="0" fontId="5" fillId="2" borderId="6" xfId="0" applyFont="1" applyFill="1" applyBorder="1" applyAlignment="1">
      <alignment horizontal="center"/>
    </xf>
    <xf numFmtId="0" fontId="21" fillId="2" borderId="6" xfId="0" applyFont="1" applyFill="1" applyBorder="1" applyAlignment="1">
      <alignment horizontal="center" wrapText="1"/>
    </xf>
    <xf numFmtId="0" fontId="21" fillId="2" borderId="1" xfId="0" applyFont="1" applyFill="1" applyBorder="1" applyAlignment="1">
      <alignment horizontal="center" wrapText="1"/>
    </xf>
    <xf numFmtId="0" fontId="5" fillId="2" borderId="2" xfId="0" applyFont="1" applyFill="1" applyBorder="1" applyAlignment="1">
      <alignment horizontal="left"/>
    </xf>
    <xf numFmtId="0" fontId="5" fillId="2" borderId="6" xfId="0" applyFont="1" applyFill="1" applyBorder="1" applyAlignment="1">
      <alignment horizontal="left"/>
    </xf>
    <xf numFmtId="0" fontId="5" fillId="2" borderId="10" xfId="0" applyFont="1" applyFill="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1" fillId="10" borderId="13" xfId="0" applyFont="1" applyFill="1" applyBorder="1" applyAlignment="1">
      <alignment horizontal="center"/>
    </xf>
    <xf numFmtId="0" fontId="1" fillId="10" borderId="14" xfId="0" applyFont="1" applyFill="1" applyBorder="1" applyAlignment="1">
      <alignment horizontal="center"/>
    </xf>
    <xf numFmtId="0" fontId="1" fillId="10" borderId="0" xfId="0" applyFont="1" applyFill="1" applyAlignment="1">
      <alignment horizontal="center"/>
    </xf>
    <xf numFmtId="0" fontId="13" fillId="2" borderId="0" xfId="0" applyFont="1" applyFill="1" applyAlignment="1">
      <alignment horizontal="center" vertical="center"/>
    </xf>
    <xf numFmtId="0" fontId="0" fillId="0" borderId="8" xfId="0" applyBorder="1"/>
    <xf numFmtId="0" fontId="0" fillId="0" borderId="5" xfId="0" applyBorder="1"/>
    <xf numFmtId="0" fontId="5" fillId="2" borderId="2" xfId="0" applyFont="1" applyFill="1" applyBorder="1" applyAlignment="1"/>
    <xf numFmtId="0" fontId="22" fillId="2" borderId="0" xfId="0" applyFont="1" applyFill="1"/>
    <xf numFmtId="0" fontId="23" fillId="2" borderId="0" xfId="0" applyFont="1" applyFill="1"/>
    <xf numFmtId="0" fontId="4" fillId="2" borderId="9" xfId="0" applyFont="1" applyFill="1" applyBorder="1"/>
    <xf numFmtId="0" fontId="5" fillId="2" borderId="9" xfId="0" applyFont="1" applyFill="1" applyBorder="1"/>
    <xf numFmtId="2" fontId="5" fillId="2" borderId="0" xfId="0" applyNumberFormat="1" applyFont="1" applyFill="1" applyAlignment="1">
      <alignment horizontal="center"/>
    </xf>
    <xf numFmtId="9" fontId="5" fillId="2" borderId="0" xfId="2" applyFont="1" applyFill="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left"/>
    </xf>
    <xf numFmtId="0" fontId="5" fillId="2" borderId="9" xfId="0" applyFont="1" applyFill="1" applyBorder="1" applyAlignment="1"/>
    <xf numFmtId="0" fontId="5" fillId="2" borderId="0" xfId="0" applyFont="1" applyFill="1" applyAlignment="1"/>
    <xf numFmtId="165" fontId="5" fillId="2" borderId="0" xfId="0" applyNumberFormat="1" applyFont="1" applyFill="1"/>
    <xf numFmtId="9" fontId="0" fillId="0" borderId="0" xfId="2" applyFont="1"/>
    <xf numFmtId="0" fontId="5" fillId="2" borderId="9" xfId="0" applyFont="1" applyFill="1" applyBorder="1" applyAlignment="1">
      <alignment vertical="center" wrapText="1"/>
    </xf>
    <xf numFmtId="0" fontId="5" fillId="2" borderId="0" xfId="0" applyFont="1" applyFill="1" applyBorder="1"/>
    <xf numFmtId="165" fontId="5" fillId="2" borderId="0" xfId="0" applyNumberFormat="1" applyFont="1" applyFill="1" applyAlignment="1">
      <alignment horizontal="center"/>
    </xf>
    <xf numFmtId="0" fontId="5" fillId="2" borderId="1" xfId="0" applyFont="1" applyFill="1" applyBorder="1" applyAlignment="1">
      <alignment horizontal="center"/>
    </xf>
    <xf numFmtId="9" fontId="5" fillId="2" borderId="0" xfId="2" applyFont="1" applyFill="1" applyBorder="1" applyAlignment="1">
      <alignment horizontal="center"/>
    </xf>
    <xf numFmtId="9" fontId="5" fillId="2" borderId="0" xfId="0" applyNumberFormat="1" applyFont="1" applyFill="1" applyBorder="1" applyAlignment="1">
      <alignment horizontal="center"/>
    </xf>
    <xf numFmtId="3" fontId="0" fillId="2" borderId="1" xfId="0" applyNumberFormat="1" applyFill="1" applyBorder="1" applyAlignment="1">
      <alignment horizontal="center"/>
    </xf>
    <xf numFmtId="0" fontId="0" fillId="2" borderId="0" xfId="0" applyFill="1" applyAlignment="1">
      <alignment horizontal="center"/>
    </xf>
    <xf numFmtId="1" fontId="0" fillId="2" borderId="0" xfId="0" applyNumberFormat="1" applyFill="1"/>
    <xf numFmtId="0" fontId="5" fillId="2" borderId="10" xfId="0" applyFont="1" applyFill="1" applyBorder="1" applyAlignment="1"/>
    <xf numFmtId="2" fontId="3" fillId="13" borderId="1" xfId="0" applyNumberFormat="1" applyFont="1" applyFill="1" applyBorder="1" applyAlignment="1">
      <alignment horizontal="center" vertical="center"/>
    </xf>
    <xf numFmtId="0" fontId="5" fillId="2" borderId="13" xfId="0" applyFont="1" applyFill="1" applyBorder="1" applyAlignment="1">
      <alignment horizontal="center"/>
    </xf>
    <xf numFmtId="0" fontId="5" fillId="2" borderId="0" xfId="0" applyFont="1" applyFill="1" applyBorder="1" applyAlignment="1">
      <alignment horizontal="center"/>
    </xf>
    <xf numFmtId="0" fontId="0" fillId="0" borderId="0" xfId="0" applyFill="1"/>
    <xf numFmtId="10" fontId="3" fillId="0" borderId="1" xfId="0" applyNumberFormat="1" applyFont="1" applyFill="1" applyBorder="1" applyAlignment="1">
      <alignment horizontal="center" vertical="center"/>
    </xf>
    <xf numFmtId="3" fontId="10" fillId="20" borderId="2" xfId="0" applyNumberFormat="1" applyFont="1" applyFill="1" applyBorder="1"/>
    <xf numFmtId="3" fontId="2" fillId="20" borderId="2" xfId="0" applyNumberFormat="1" applyFont="1" applyFill="1" applyBorder="1"/>
    <xf numFmtId="3" fontId="0" fillId="20" borderId="6" xfId="0" applyNumberFormat="1" applyFill="1" applyBorder="1"/>
    <xf numFmtId="0" fontId="2" fillId="2" borderId="0" xfId="0" applyFont="1" applyFill="1" applyBorder="1" applyAlignment="1">
      <alignment horizontal="center" vertical="center"/>
    </xf>
    <xf numFmtId="10" fontId="3" fillId="11" borderId="1" xfId="0" applyNumberFormat="1" applyFont="1" applyFill="1" applyBorder="1" applyAlignment="1">
      <alignment horizontal="center" vertical="center"/>
    </xf>
    <xf numFmtId="0" fontId="2" fillId="11" borderId="9" xfId="0" applyFont="1" applyFill="1" applyBorder="1" applyAlignment="1">
      <alignment horizontal="center" vertical="center"/>
    </xf>
    <xf numFmtId="0" fontId="2" fillId="0" borderId="9" xfId="0" applyFont="1" applyFill="1" applyBorder="1" applyAlignment="1">
      <alignment vertical="center"/>
    </xf>
    <xf numFmtId="0" fontId="2" fillId="12" borderId="9" xfId="0" applyFont="1" applyFill="1" applyBorder="1" applyAlignment="1">
      <alignment horizontal="center"/>
    </xf>
    <xf numFmtId="3" fontId="2" fillId="2" borderId="0" xfId="0" applyNumberFormat="1" applyFont="1" applyFill="1" applyAlignment="1">
      <alignment horizontal="center" vertical="center"/>
    </xf>
    <xf numFmtId="10" fontId="0" fillId="0" borderId="0" xfId="0" applyNumberFormat="1"/>
    <xf numFmtId="0" fontId="24" fillId="2" borderId="12" xfId="0" applyFont="1" applyFill="1" applyBorder="1"/>
    <xf numFmtId="3" fontId="24" fillId="2" borderId="12" xfId="0" applyNumberFormat="1" applyFont="1" applyFill="1" applyBorder="1"/>
    <xf numFmtId="0" fontId="24" fillId="2" borderId="8" xfId="0" applyFont="1" applyFill="1" applyBorder="1" applyAlignment="1">
      <alignment horizontal="right"/>
    </xf>
    <xf numFmtId="9" fontId="24" fillId="2" borderId="12" xfId="0" applyNumberFormat="1" applyFont="1" applyFill="1" applyBorder="1"/>
    <xf numFmtId="0" fontId="25" fillId="2" borderId="0" xfId="0" applyFont="1" applyFill="1"/>
    <xf numFmtId="3" fontId="25" fillId="2" borderId="0" xfId="0" applyNumberFormat="1" applyFont="1" applyFill="1"/>
    <xf numFmtId="9" fontId="25" fillId="2" borderId="0" xfId="0" applyNumberFormat="1" applyFont="1" applyFill="1"/>
    <xf numFmtId="0" fontId="26" fillId="2" borderId="0" xfId="0" applyFont="1" applyFill="1"/>
    <xf numFmtId="167" fontId="26" fillId="2" borderId="0" xfId="0" applyNumberFormat="1" applyFont="1" applyFill="1"/>
    <xf numFmtId="0" fontId="26" fillId="2" borderId="9" xfId="0" applyFont="1" applyFill="1" applyBorder="1"/>
    <xf numFmtId="167" fontId="26" fillId="2" borderId="9" xfId="0" applyNumberFormat="1" applyFont="1" applyFill="1" applyBorder="1"/>
    <xf numFmtId="0" fontId="0" fillId="12" borderId="0" xfId="0" applyFill="1"/>
    <xf numFmtId="9" fontId="0" fillId="0" borderId="0" xfId="0" applyNumberFormat="1"/>
    <xf numFmtId="10" fontId="0" fillId="12" borderId="0" xfId="0" applyNumberFormat="1" applyFill="1"/>
    <xf numFmtId="43" fontId="0" fillId="0" borderId="0" xfId="1" applyFont="1"/>
    <xf numFmtId="3" fontId="0" fillId="8" borderId="0" xfId="0" applyNumberFormat="1" applyFill="1" applyAlignment="1">
      <alignment horizontal="center"/>
    </xf>
    <xf numFmtId="0" fontId="0" fillId="0" borderId="9" xfId="0" applyBorder="1" applyAlignment="1">
      <alignment horizontal="center"/>
    </xf>
    <xf numFmtId="0" fontId="0" fillId="0" borderId="9" xfId="0" applyBorder="1" applyAlignment="1">
      <alignment horizontal="right"/>
    </xf>
    <xf numFmtId="43" fontId="0" fillId="0" borderId="0" xfId="0" applyNumberFormat="1"/>
    <xf numFmtId="166" fontId="0" fillId="0" borderId="0" xfId="2" applyNumberFormat="1" applyFont="1"/>
    <xf numFmtId="0" fontId="2" fillId="0" borderId="0" xfId="0" applyFont="1"/>
    <xf numFmtId="0" fontId="0" fillId="0" borderId="5" xfId="0" applyBorder="1" applyAlignment="1">
      <alignment horizontal="right"/>
    </xf>
    <xf numFmtId="0" fontId="0" fillId="0" borderId="2" xfId="0" applyBorder="1"/>
    <xf numFmtId="3" fontId="0" fillId="0" borderId="10" xfId="0" applyNumberFormat="1" applyBorder="1"/>
    <xf numFmtId="0" fontId="0" fillId="0" borderId="10" xfId="0" applyBorder="1"/>
    <xf numFmtId="0" fontId="0" fillId="0" borderId="2" xfId="0" applyBorder="1" applyAlignment="1">
      <alignment horizontal="right"/>
    </xf>
    <xf numFmtId="0" fontId="0" fillId="0" borderId="10" xfId="0" applyBorder="1" applyAlignment="1">
      <alignment horizontal="center"/>
    </xf>
    <xf numFmtId="0" fontId="0" fillId="0" borderId="6" xfId="0" applyBorder="1" applyAlignment="1">
      <alignment horizontal="center"/>
    </xf>
    <xf numFmtId="10" fontId="0" fillId="0" borderId="12" xfId="0" applyNumberFormat="1" applyBorder="1"/>
    <xf numFmtId="0" fontId="0" fillId="0" borderId="12" xfId="0" applyBorder="1" applyAlignment="1">
      <alignment horizontal="right"/>
    </xf>
    <xf numFmtId="9" fontId="0" fillId="0" borderId="12" xfId="2" applyFont="1" applyBorder="1" applyAlignment="1">
      <alignment horizontal="left"/>
    </xf>
    <xf numFmtId="0" fontId="0" fillId="0" borderId="8" xfId="0" applyBorder="1" applyAlignment="1">
      <alignment horizontal="right"/>
    </xf>
    <xf numFmtId="0" fontId="0" fillId="0" borderId="12" xfId="0" applyBorder="1" applyAlignment="1">
      <alignment horizontal="center"/>
    </xf>
    <xf numFmtId="0" fontId="0" fillId="0" borderId="11" xfId="0" applyBorder="1" applyAlignment="1">
      <alignment horizontal="center"/>
    </xf>
    <xf numFmtId="10" fontId="0" fillId="0" borderId="9" xfId="0" applyNumberFormat="1" applyBorder="1"/>
    <xf numFmtId="9" fontId="0" fillId="0" borderId="9" xfId="2" applyFont="1" applyBorder="1" applyAlignment="1">
      <alignment horizontal="left"/>
    </xf>
    <xf numFmtId="0" fontId="0" fillId="0" borderId="3" xfId="0" applyBorder="1" applyAlignment="1">
      <alignment horizontal="center"/>
    </xf>
    <xf numFmtId="1" fontId="0" fillId="0" borderId="0" xfId="0" applyNumberFormat="1"/>
    <xf numFmtId="0" fontId="9" fillId="0" borderId="0" xfId="0" applyFont="1"/>
    <xf numFmtId="0" fontId="9" fillId="0" borderId="0" xfId="0" applyFont="1" applyFill="1"/>
    <xf numFmtId="0" fontId="3" fillId="0" borderId="0" xfId="0" applyFont="1" applyAlignment="1">
      <alignment horizontal="left" indent="4"/>
    </xf>
    <xf numFmtId="1" fontId="27" fillId="2" borderId="0" xfId="0" applyNumberFormat="1" applyFont="1" applyFill="1"/>
    <xf numFmtId="0" fontId="27" fillId="2" borderId="0" xfId="0" applyFont="1" applyFill="1"/>
    <xf numFmtId="0" fontId="27" fillId="2" borderId="0" xfId="0" applyFont="1" applyFill="1" applyAlignment="1">
      <alignment horizontal="right" vertical="center"/>
    </xf>
    <xf numFmtId="0" fontId="0" fillId="2" borderId="0" xfId="0" applyFill="1" applyBorder="1"/>
    <xf numFmtId="0" fontId="4" fillId="2" borderId="7" xfId="0" applyFont="1" applyFill="1" applyBorder="1" applyAlignment="1">
      <alignment horizontal="center"/>
    </xf>
    <xf numFmtId="0" fontId="4" fillId="2" borderId="15" xfId="0" applyFont="1" applyFill="1" applyBorder="1" applyAlignment="1">
      <alignment horizontal="center"/>
    </xf>
    <xf numFmtId="0" fontId="4" fillId="2" borderId="4" xfId="0" applyFont="1" applyFill="1" applyBorder="1" applyAlignment="1">
      <alignment horizontal="center"/>
    </xf>
    <xf numFmtId="0" fontId="2" fillId="2" borderId="0" xfId="0" applyFont="1" applyFill="1" applyAlignment="1">
      <alignment horizontal="center"/>
    </xf>
    <xf numFmtId="3" fontId="5" fillId="2" borderId="1" xfId="0" applyNumberFormat="1" applyFont="1" applyFill="1" applyBorder="1" applyAlignment="1">
      <alignment horizontal="left"/>
    </xf>
    <xf numFmtId="3" fontId="4" fillId="2" borderId="1" xfId="0" applyNumberFormat="1" applyFont="1" applyFill="1" applyBorder="1" applyAlignment="1">
      <alignment horizontal="left"/>
    </xf>
    <xf numFmtId="0" fontId="30" fillId="3" borderId="0" xfId="3" applyFill="1"/>
    <xf numFmtId="0" fontId="29" fillId="2" borderId="16" xfId="0" applyFont="1" applyFill="1" applyBorder="1"/>
    <xf numFmtId="0" fontId="28" fillId="2" borderId="17" xfId="0" applyFont="1" applyFill="1" applyBorder="1"/>
    <xf numFmtId="0" fontId="28" fillId="2" borderId="18" xfId="0" applyFont="1" applyFill="1" applyBorder="1"/>
    <xf numFmtId="0" fontId="0" fillId="2" borderId="19" xfId="0" applyFill="1" applyBorder="1"/>
    <xf numFmtId="0" fontId="0" fillId="2" borderId="21" xfId="0" applyFill="1" applyBorder="1"/>
    <xf numFmtId="0" fontId="0" fillId="2" borderId="22" xfId="0" applyFill="1" applyBorder="1"/>
    <xf numFmtId="0" fontId="3" fillId="2" borderId="0" xfId="0" applyFont="1" applyFill="1" applyBorder="1" applyAlignment="1"/>
    <xf numFmtId="1" fontId="31" fillId="2" borderId="20" xfId="0" applyNumberFormat="1" applyFont="1" applyFill="1" applyBorder="1" applyAlignment="1">
      <alignment horizontal="center"/>
    </xf>
    <xf numFmtId="0" fontId="31" fillId="2" borderId="20" xfId="0" applyFont="1" applyFill="1" applyBorder="1" applyAlignment="1">
      <alignment horizontal="center"/>
    </xf>
    <xf numFmtId="0" fontId="31" fillId="2" borderId="23" xfId="0" applyFont="1" applyFill="1" applyBorder="1" applyAlignment="1">
      <alignment horizontal="center"/>
    </xf>
    <xf numFmtId="0" fontId="32" fillId="0" borderId="17" xfId="0" applyFont="1" applyBorder="1" applyAlignment="1">
      <alignment horizontal="left" vertical="center" wrapText="1"/>
    </xf>
    <xf numFmtId="0" fontId="32" fillId="0" borderId="0" xfId="0" applyFont="1" applyAlignment="1">
      <alignment horizontal="left" vertical="center" wrapText="1"/>
    </xf>
    <xf numFmtId="171" fontId="0" fillId="0" borderId="0" xfId="1" applyNumberFormat="1" applyFont="1"/>
  </cellXfs>
  <cellStyles count="4">
    <cellStyle name="Comma" xfId="1" builtinId="3"/>
    <cellStyle name="Hyperlink" xfId="3" builtinId="8"/>
    <cellStyle name="Normal" xfId="0" builtinId="0"/>
    <cellStyle name="Percent" xfId="2" builtinId="5"/>
  </cellStyles>
  <dxfs count="32">
    <dxf>
      <numFmt numFmtId="1" formatCode="0"/>
    </dxf>
    <dxf>
      <numFmt numFmtId="1" formatCode="0"/>
    </dxf>
    <dxf>
      <numFmt numFmtId="35" formatCode="_-* #,##0.00_-;\-* #,##0.00_-;_-* &quot;-&quot;??_-;_-@_-"/>
    </dxf>
    <dxf>
      <numFmt numFmtId="0" formatCode="General"/>
    </dxf>
    <dxf>
      <numFmt numFmtId="166" formatCode="0.0%"/>
    </dxf>
    <dxf>
      <font>
        <b/>
      </font>
    </dxf>
    <dxf>
      <font>
        <b/>
      </font>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font>
        <b/>
        <i val="0"/>
        <strike val="0"/>
        <condense val="0"/>
        <extend val="0"/>
        <outline val="0"/>
        <shadow val="0"/>
        <u val="none"/>
        <vertAlign val="baseline"/>
        <sz val="11"/>
        <color rgb="FF000000"/>
        <name val="Calibri"/>
        <family val="2"/>
        <scheme val="minor"/>
      </font>
      <fill>
        <patternFill patternType="solid">
          <fgColor indexed="64"/>
          <bgColor rgb="FFFFFF7D"/>
        </patternFill>
      </fill>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minor"/>
      </font>
      <numFmt numFmtId="169" formatCode="0.0000"/>
      <fill>
        <patternFill patternType="solid">
          <fgColor indexed="64"/>
          <bgColor rgb="FFFFFF7D"/>
        </patternFill>
      </fill>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minor"/>
      </font>
      <numFmt numFmtId="169" formatCode="0.0000"/>
      <fill>
        <patternFill patternType="solid">
          <fgColor indexed="64"/>
          <bgColor rgb="FFFFFF7D"/>
        </patternFill>
      </fill>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minor"/>
      </font>
      <fill>
        <patternFill patternType="solid">
          <fgColor indexed="64"/>
          <bgColor theme="0"/>
        </patternFill>
      </fil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9" tint="-0.49998474074526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4" formatCode="0.00%"/>
      <fill>
        <patternFill patternType="solid">
          <fgColor indexed="64"/>
          <bgColor rgb="FFFFFF7D"/>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4" formatCode="0.00%"/>
      <fill>
        <patternFill patternType="solid">
          <fgColor indexed="64"/>
          <bgColor rgb="FFFFFF7D"/>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4" formatCode="0.00%"/>
      <fill>
        <patternFill patternType="solid">
          <fgColor indexed="64"/>
          <bgColor rgb="FFFFFF7D"/>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rgb="FFFFFF7D"/>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 formatCode="#,##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1"/>
        <color theme="0"/>
        <name val="Calibri"/>
        <family val="2"/>
        <scheme val="minor"/>
      </font>
    </dxf>
  </dxfs>
  <tableStyles count="1" defaultTableStyle="TableStyleMedium2" defaultPivotStyle="PivotStyleLight16">
    <tableStyle name="Invisible" pivot="0" table="0" count="0" xr9:uid="{BD5A00EC-FC93-46F2-8DD4-EADABBD1E9EC}"/>
  </tableStyles>
  <colors>
    <mruColors>
      <color rgb="FFFFC5C5"/>
      <color rgb="FFEAF3FA"/>
      <color rgb="FFFFFF7D"/>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Scenarios</c:v>
          </c:tx>
          <c:spPr>
            <a:ln w="19050" cap="rnd">
              <a:noFill/>
              <a:round/>
            </a:ln>
            <a:effectLst/>
          </c:spPr>
          <c:marker>
            <c:symbol val="circle"/>
            <c:size val="5"/>
            <c:spPr>
              <a:solidFill>
                <a:schemeClr val="accent1"/>
              </a:solidFill>
              <a:ln w="9525">
                <a:solidFill>
                  <a:schemeClr val="accent1"/>
                </a:solidFill>
              </a:ln>
              <a:effectLst/>
            </c:spPr>
          </c:marker>
          <c:xVal>
            <c:numRef>
              <c:f>All_Scenarios!$K$10:$K$634</c:f>
              <c:numCache>
                <c:formatCode>0.0%</c:formatCode>
                <c:ptCount val="625"/>
                <c:pt idx="0">
                  <c:v>0.27</c:v>
                </c:pt>
                <c:pt idx="1">
                  <c:v>0.28000000000000003</c:v>
                </c:pt>
                <c:pt idx="2">
                  <c:v>0.28999999999999998</c:v>
                </c:pt>
                <c:pt idx="3">
                  <c:v>0.3</c:v>
                </c:pt>
                <c:pt idx="4">
                  <c:v>0.31</c:v>
                </c:pt>
                <c:pt idx="5">
                  <c:v>0.31</c:v>
                </c:pt>
                <c:pt idx="6">
                  <c:v>0.31</c:v>
                </c:pt>
                <c:pt idx="7">
                  <c:v>0.32</c:v>
                </c:pt>
                <c:pt idx="8">
                  <c:v>0.32</c:v>
                </c:pt>
                <c:pt idx="9">
                  <c:v>0.32</c:v>
                </c:pt>
                <c:pt idx="10">
                  <c:v>0.33</c:v>
                </c:pt>
                <c:pt idx="11">
                  <c:v>0.33</c:v>
                </c:pt>
                <c:pt idx="12">
                  <c:v>0.33</c:v>
                </c:pt>
                <c:pt idx="13">
                  <c:v>0.34</c:v>
                </c:pt>
                <c:pt idx="14">
                  <c:v>0.34</c:v>
                </c:pt>
                <c:pt idx="15">
                  <c:v>0.34</c:v>
                </c:pt>
                <c:pt idx="16">
                  <c:v>0.34</c:v>
                </c:pt>
                <c:pt idx="17">
                  <c:v>0.35</c:v>
                </c:pt>
                <c:pt idx="18">
                  <c:v>0.35</c:v>
                </c:pt>
                <c:pt idx="19">
                  <c:v>0.35</c:v>
                </c:pt>
                <c:pt idx="20">
                  <c:v>0.35</c:v>
                </c:pt>
                <c:pt idx="21">
                  <c:v>0.35</c:v>
                </c:pt>
                <c:pt idx="22">
                  <c:v>0.35</c:v>
                </c:pt>
                <c:pt idx="23">
                  <c:v>0.35</c:v>
                </c:pt>
                <c:pt idx="24">
                  <c:v>0.36</c:v>
                </c:pt>
                <c:pt idx="25">
                  <c:v>0.36</c:v>
                </c:pt>
                <c:pt idx="26">
                  <c:v>0.36</c:v>
                </c:pt>
                <c:pt idx="27">
                  <c:v>0.36</c:v>
                </c:pt>
                <c:pt idx="28">
                  <c:v>0.36</c:v>
                </c:pt>
                <c:pt idx="29">
                  <c:v>0.36</c:v>
                </c:pt>
                <c:pt idx="30">
                  <c:v>0.37</c:v>
                </c:pt>
                <c:pt idx="31">
                  <c:v>0.37</c:v>
                </c:pt>
                <c:pt idx="32">
                  <c:v>0.37</c:v>
                </c:pt>
                <c:pt idx="33">
                  <c:v>0.37</c:v>
                </c:pt>
                <c:pt idx="34">
                  <c:v>0.37</c:v>
                </c:pt>
                <c:pt idx="35">
                  <c:v>0.37</c:v>
                </c:pt>
                <c:pt idx="36">
                  <c:v>0.37</c:v>
                </c:pt>
                <c:pt idx="37">
                  <c:v>0.38</c:v>
                </c:pt>
                <c:pt idx="38">
                  <c:v>0.38</c:v>
                </c:pt>
                <c:pt idx="39">
                  <c:v>0.38</c:v>
                </c:pt>
                <c:pt idx="40">
                  <c:v>0.38</c:v>
                </c:pt>
                <c:pt idx="41">
                  <c:v>0.38</c:v>
                </c:pt>
                <c:pt idx="42">
                  <c:v>0.38</c:v>
                </c:pt>
                <c:pt idx="43">
                  <c:v>0.38</c:v>
                </c:pt>
                <c:pt idx="44">
                  <c:v>0.39</c:v>
                </c:pt>
                <c:pt idx="45">
                  <c:v>0.39</c:v>
                </c:pt>
                <c:pt idx="46">
                  <c:v>0.39</c:v>
                </c:pt>
                <c:pt idx="47">
                  <c:v>0.39</c:v>
                </c:pt>
                <c:pt idx="48">
                  <c:v>0.39</c:v>
                </c:pt>
                <c:pt idx="49">
                  <c:v>0.39</c:v>
                </c:pt>
                <c:pt idx="50">
                  <c:v>0.39</c:v>
                </c:pt>
                <c:pt idx="51">
                  <c:v>0.39</c:v>
                </c:pt>
                <c:pt idx="52">
                  <c:v>0.4</c:v>
                </c:pt>
                <c:pt idx="53">
                  <c:v>0.4</c:v>
                </c:pt>
                <c:pt idx="54">
                  <c:v>0.4</c:v>
                </c:pt>
                <c:pt idx="55">
                  <c:v>0.4</c:v>
                </c:pt>
                <c:pt idx="56">
                  <c:v>0.4</c:v>
                </c:pt>
                <c:pt idx="57">
                  <c:v>0.4</c:v>
                </c:pt>
                <c:pt idx="58">
                  <c:v>0.4</c:v>
                </c:pt>
                <c:pt idx="59">
                  <c:v>0.4</c:v>
                </c:pt>
                <c:pt idx="60">
                  <c:v>0.4</c:v>
                </c:pt>
                <c:pt idx="61">
                  <c:v>0.41</c:v>
                </c:pt>
                <c:pt idx="62">
                  <c:v>0.41</c:v>
                </c:pt>
                <c:pt idx="63">
                  <c:v>0.41</c:v>
                </c:pt>
                <c:pt idx="64">
                  <c:v>0.41</c:v>
                </c:pt>
                <c:pt idx="65">
                  <c:v>0.41</c:v>
                </c:pt>
                <c:pt idx="66">
                  <c:v>0.41</c:v>
                </c:pt>
                <c:pt idx="67">
                  <c:v>0.41</c:v>
                </c:pt>
                <c:pt idx="68">
                  <c:v>0.41</c:v>
                </c:pt>
                <c:pt idx="69">
                  <c:v>0.41</c:v>
                </c:pt>
                <c:pt idx="70">
                  <c:v>0.41</c:v>
                </c:pt>
                <c:pt idx="71">
                  <c:v>0.42</c:v>
                </c:pt>
                <c:pt idx="72">
                  <c:v>0.42</c:v>
                </c:pt>
                <c:pt idx="73">
                  <c:v>0.42</c:v>
                </c:pt>
                <c:pt idx="74">
                  <c:v>0.42</c:v>
                </c:pt>
                <c:pt idx="75">
                  <c:v>0.42</c:v>
                </c:pt>
                <c:pt idx="76">
                  <c:v>0.42</c:v>
                </c:pt>
                <c:pt idx="77">
                  <c:v>0.42</c:v>
                </c:pt>
                <c:pt idx="78">
                  <c:v>0.42</c:v>
                </c:pt>
                <c:pt idx="79">
                  <c:v>0.42</c:v>
                </c:pt>
                <c:pt idx="80">
                  <c:v>0.42</c:v>
                </c:pt>
                <c:pt idx="81">
                  <c:v>0.43</c:v>
                </c:pt>
                <c:pt idx="82">
                  <c:v>0.43</c:v>
                </c:pt>
                <c:pt idx="83">
                  <c:v>0.43</c:v>
                </c:pt>
                <c:pt idx="84">
                  <c:v>0.43</c:v>
                </c:pt>
                <c:pt idx="85">
                  <c:v>0.43</c:v>
                </c:pt>
                <c:pt idx="86">
                  <c:v>0.43</c:v>
                </c:pt>
                <c:pt idx="87">
                  <c:v>0.43</c:v>
                </c:pt>
                <c:pt idx="88">
                  <c:v>0.43</c:v>
                </c:pt>
                <c:pt idx="89">
                  <c:v>0.43</c:v>
                </c:pt>
                <c:pt idx="90">
                  <c:v>0.43</c:v>
                </c:pt>
                <c:pt idx="91">
                  <c:v>0.43</c:v>
                </c:pt>
                <c:pt idx="92">
                  <c:v>0.44</c:v>
                </c:pt>
                <c:pt idx="93">
                  <c:v>0.44</c:v>
                </c:pt>
                <c:pt idx="94">
                  <c:v>0.44</c:v>
                </c:pt>
                <c:pt idx="95">
                  <c:v>0.44</c:v>
                </c:pt>
                <c:pt idx="96">
                  <c:v>0.44</c:v>
                </c:pt>
                <c:pt idx="97">
                  <c:v>0.44</c:v>
                </c:pt>
                <c:pt idx="98">
                  <c:v>0.44</c:v>
                </c:pt>
                <c:pt idx="99">
                  <c:v>0.44</c:v>
                </c:pt>
                <c:pt idx="100">
                  <c:v>0.44</c:v>
                </c:pt>
                <c:pt idx="101">
                  <c:v>0.44</c:v>
                </c:pt>
                <c:pt idx="102">
                  <c:v>0.44</c:v>
                </c:pt>
                <c:pt idx="103">
                  <c:v>0.44</c:v>
                </c:pt>
                <c:pt idx="104">
                  <c:v>0.44</c:v>
                </c:pt>
                <c:pt idx="105">
                  <c:v>0.45</c:v>
                </c:pt>
                <c:pt idx="106">
                  <c:v>0.45</c:v>
                </c:pt>
                <c:pt idx="107">
                  <c:v>0.45</c:v>
                </c:pt>
                <c:pt idx="108">
                  <c:v>0.45</c:v>
                </c:pt>
                <c:pt idx="109">
                  <c:v>0.45</c:v>
                </c:pt>
                <c:pt idx="110">
                  <c:v>0.45</c:v>
                </c:pt>
                <c:pt idx="111">
                  <c:v>0.45</c:v>
                </c:pt>
                <c:pt idx="112">
                  <c:v>0.45</c:v>
                </c:pt>
                <c:pt idx="113">
                  <c:v>0.45</c:v>
                </c:pt>
                <c:pt idx="114">
                  <c:v>0.45</c:v>
                </c:pt>
                <c:pt idx="115">
                  <c:v>0.45</c:v>
                </c:pt>
                <c:pt idx="116">
                  <c:v>0.45</c:v>
                </c:pt>
                <c:pt idx="117">
                  <c:v>0.45</c:v>
                </c:pt>
                <c:pt idx="118">
                  <c:v>0.46</c:v>
                </c:pt>
                <c:pt idx="119">
                  <c:v>0.46</c:v>
                </c:pt>
                <c:pt idx="120">
                  <c:v>0.46</c:v>
                </c:pt>
                <c:pt idx="121">
                  <c:v>0.46</c:v>
                </c:pt>
                <c:pt idx="122">
                  <c:v>0.46</c:v>
                </c:pt>
                <c:pt idx="123">
                  <c:v>0.46</c:v>
                </c:pt>
                <c:pt idx="124">
                  <c:v>0.46</c:v>
                </c:pt>
                <c:pt idx="125">
                  <c:v>0.46</c:v>
                </c:pt>
                <c:pt idx="126">
                  <c:v>0.46</c:v>
                </c:pt>
                <c:pt idx="127">
                  <c:v>0.46</c:v>
                </c:pt>
                <c:pt idx="128">
                  <c:v>0.46</c:v>
                </c:pt>
                <c:pt idx="129">
                  <c:v>0.46</c:v>
                </c:pt>
                <c:pt idx="130">
                  <c:v>0.46</c:v>
                </c:pt>
                <c:pt idx="131">
                  <c:v>0.47</c:v>
                </c:pt>
                <c:pt idx="132">
                  <c:v>0.47</c:v>
                </c:pt>
                <c:pt idx="133">
                  <c:v>0.47</c:v>
                </c:pt>
                <c:pt idx="134">
                  <c:v>0.47</c:v>
                </c:pt>
                <c:pt idx="135">
                  <c:v>0.47</c:v>
                </c:pt>
                <c:pt idx="136">
                  <c:v>0.47</c:v>
                </c:pt>
                <c:pt idx="137">
                  <c:v>0.47</c:v>
                </c:pt>
                <c:pt idx="138">
                  <c:v>0.47</c:v>
                </c:pt>
                <c:pt idx="139">
                  <c:v>0.47</c:v>
                </c:pt>
                <c:pt idx="140">
                  <c:v>0.47</c:v>
                </c:pt>
                <c:pt idx="141">
                  <c:v>0.47</c:v>
                </c:pt>
                <c:pt idx="142">
                  <c:v>0.47</c:v>
                </c:pt>
                <c:pt idx="143">
                  <c:v>0.47</c:v>
                </c:pt>
                <c:pt idx="144">
                  <c:v>0.47</c:v>
                </c:pt>
                <c:pt idx="145">
                  <c:v>0.47</c:v>
                </c:pt>
                <c:pt idx="146">
                  <c:v>0.47</c:v>
                </c:pt>
                <c:pt idx="147">
                  <c:v>0.48</c:v>
                </c:pt>
                <c:pt idx="148">
                  <c:v>0.48</c:v>
                </c:pt>
                <c:pt idx="149">
                  <c:v>0.48</c:v>
                </c:pt>
                <c:pt idx="150">
                  <c:v>0.48</c:v>
                </c:pt>
                <c:pt idx="151">
                  <c:v>0.48</c:v>
                </c:pt>
                <c:pt idx="152">
                  <c:v>0.48</c:v>
                </c:pt>
                <c:pt idx="153">
                  <c:v>0.48</c:v>
                </c:pt>
                <c:pt idx="154">
                  <c:v>0.48</c:v>
                </c:pt>
                <c:pt idx="155">
                  <c:v>0.48</c:v>
                </c:pt>
                <c:pt idx="156">
                  <c:v>0.48</c:v>
                </c:pt>
                <c:pt idx="157">
                  <c:v>0.48</c:v>
                </c:pt>
                <c:pt idx="158">
                  <c:v>0.48</c:v>
                </c:pt>
                <c:pt idx="159">
                  <c:v>0.48</c:v>
                </c:pt>
                <c:pt idx="160">
                  <c:v>0.48</c:v>
                </c:pt>
                <c:pt idx="161">
                  <c:v>0.48</c:v>
                </c:pt>
                <c:pt idx="162">
                  <c:v>0.48</c:v>
                </c:pt>
                <c:pt idx="163">
                  <c:v>0.49</c:v>
                </c:pt>
                <c:pt idx="164">
                  <c:v>0.49</c:v>
                </c:pt>
                <c:pt idx="165">
                  <c:v>0.49</c:v>
                </c:pt>
                <c:pt idx="166">
                  <c:v>0.49</c:v>
                </c:pt>
                <c:pt idx="167">
                  <c:v>0.49</c:v>
                </c:pt>
                <c:pt idx="168">
                  <c:v>0.49</c:v>
                </c:pt>
                <c:pt idx="169">
                  <c:v>0.49</c:v>
                </c:pt>
                <c:pt idx="170">
                  <c:v>0.49</c:v>
                </c:pt>
                <c:pt idx="171">
                  <c:v>0.49</c:v>
                </c:pt>
                <c:pt idx="172">
                  <c:v>0.49</c:v>
                </c:pt>
                <c:pt idx="173">
                  <c:v>0.49</c:v>
                </c:pt>
                <c:pt idx="174">
                  <c:v>0.49</c:v>
                </c:pt>
                <c:pt idx="175">
                  <c:v>0.49</c:v>
                </c:pt>
                <c:pt idx="176">
                  <c:v>0.49</c:v>
                </c:pt>
                <c:pt idx="177">
                  <c:v>0.5</c:v>
                </c:pt>
                <c:pt idx="178">
                  <c:v>0.5</c:v>
                </c:pt>
                <c:pt idx="179">
                  <c:v>0.5</c:v>
                </c:pt>
                <c:pt idx="180">
                  <c:v>0.5</c:v>
                </c:pt>
                <c:pt idx="181">
                  <c:v>0.5</c:v>
                </c:pt>
                <c:pt idx="182">
                  <c:v>0.5</c:v>
                </c:pt>
                <c:pt idx="183">
                  <c:v>0.5</c:v>
                </c:pt>
                <c:pt idx="184">
                  <c:v>0.5</c:v>
                </c:pt>
                <c:pt idx="185">
                  <c:v>0.5</c:v>
                </c:pt>
                <c:pt idx="186">
                  <c:v>0.5</c:v>
                </c:pt>
                <c:pt idx="187">
                  <c:v>0.5</c:v>
                </c:pt>
                <c:pt idx="188">
                  <c:v>0.5</c:v>
                </c:pt>
                <c:pt idx="189">
                  <c:v>0.5</c:v>
                </c:pt>
                <c:pt idx="190">
                  <c:v>0.5</c:v>
                </c:pt>
                <c:pt idx="191">
                  <c:v>0.51</c:v>
                </c:pt>
                <c:pt idx="192">
                  <c:v>0.51</c:v>
                </c:pt>
                <c:pt idx="193">
                  <c:v>0.51</c:v>
                </c:pt>
                <c:pt idx="194">
                  <c:v>0.51</c:v>
                </c:pt>
                <c:pt idx="195">
                  <c:v>0.51</c:v>
                </c:pt>
                <c:pt idx="196">
                  <c:v>0.51</c:v>
                </c:pt>
                <c:pt idx="197">
                  <c:v>0.51</c:v>
                </c:pt>
                <c:pt idx="198">
                  <c:v>0.51</c:v>
                </c:pt>
                <c:pt idx="199">
                  <c:v>0.51</c:v>
                </c:pt>
                <c:pt idx="200">
                  <c:v>0.51</c:v>
                </c:pt>
                <c:pt idx="201">
                  <c:v>0.51</c:v>
                </c:pt>
                <c:pt idx="202">
                  <c:v>0.51</c:v>
                </c:pt>
                <c:pt idx="203">
                  <c:v>0.51</c:v>
                </c:pt>
                <c:pt idx="204">
                  <c:v>0.51</c:v>
                </c:pt>
                <c:pt idx="205">
                  <c:v>0.51</c:v>
                </c:pt>
                <c:pt idx="206">
                  <c:v>0.52</c:v>
                </c:pt>
                <c:pt idx="207">
                  <c:v>0.52</c:v>
                </c:pt>
                <c:pt idx="208">
                  <c:v>0.52</c:v>
                </c:pt>
                <c:pt idx="209">
                  <c:v>0.52</c:v>
                </c:pt>
                <c:pt idx="210">
                  <c:v>0.52</c:v>
                </c:pt>
                <c:pt idx="211">
                  <c:v>0.52</c:v>
                </c:pt>
                <c:pt idx="212">
                  <c:v>0.52</c:v>
                </c:pt>
                <c:pt idx="213">
                  <c:v>0.52</c:v>
                </c:pt>
                <c:pt idx="214">
                  <c:v>0.52</c:v>
                </c:pt>
                <c:pt idx="215">
                  <c:v>0.52</c:v>
                </c:pt>
                <c:pt idx="216">
                  <c:v>0.52</c:v>
                </c:pt>
                <c:pt idx="217">
                  <c:v>0.52</c:v>
                </c:pt>
                <c:pt idx="218">
                  <c:v>0.52</c:v>
                </c:pt>
                <c:pt idx="219">
                  <c:v>0.52</c:v>
                </c:pt>
                <c:pt idx="220">
                  <c:v>0.53</c:v>
                </c:pt>
                <c:pt idx="221">
                  <c:v>0.53</c:v>
                </c:pt>
                <c:pt idx="222">
                  <c:v>0.53</c:v>
                </c:pt>
                <c:pt idx="223">
                  <c:v>0.53</c:v>
                </c:pt>
                <c:pt idx="224">
                  <c:v>0.53</c:v>
                </c:pt>
                <c:pt idx="225">
                  <c:v>0.53</c:v>
                </c:pt>
                <c:pt idx="226">
                  <c:v>0.53</c:v>
                </c:pt>
                <c:pt idx="227">
                  <c:v>0.53</c:v>
                </c:pt>
                <c:pt idx="228">
                  <c:v>0.53</c:v>
                </c:pt>
                <c:pt idx="229">
                  <c:v>0.53</c:v>
                </c:pt>
                <c:pt idx="230">
                  <c:v>0.53</c:v>
                </c:pt>
                <c:pt idx="231">
                  <c:v>0.53</c:v>
                </c:pt>
                <c:pt idx="232">
                  <c:v>0.53</c:v>
                </c:pt>
                <c:pt idx="233">
                  <c:v>0.53</c:v>
                </c:pt>
                <c:pt idx="234">
                  <c:v>0.53</c:v>
                </c:pt>
                <c:pt idx="235">
                  <c:v>0.54</c:v>
                </c:pt>
                <c:pt idx="236">
                  <c:v>0.54</c:v>
                </c:pt>
                <c:pt idx="237">
                  <c:v>0.54</c:v>
                </c:pt>
                <c:pt idx="238">
                  <c:v>0.54</c:v>
                </c:pt>
                <c:pt idx="239">
                  <c:v>0.54</c:v>
                </c:pt>
                <c:pt idx="240">
                  <c:v>0.54</c:v>
                </c:pt>
                <c:pt idx="241">
                  <c:v>0.54</c:v>
                </c:pt>
                <c:pt idx="242">
                  <c:v>0.54</c:v>
                </c:pt>
                <c:pt idx="243">
                  <c:v>0.54</c:v>
                </c:pt>
                <c:pt idx="244">
                  <c:v>0.54</c:v>
                </c:pt>
                <c:pt idx="245">
                  <c:v>0.54</c:v>
                </c:pt>
                <c:pt idx="246">
                  <c:v>0.54</c:v>
                </c:pt>
                <c:pt idx="247">
                  <c:v>0.54</c:v>
                </c:pt>
                <c:pt idx="248">
                  <c:v>0.54</c:v>
                </c:pt>
                <c:pt idx="249">
                  <c:v>0.54</c:v>
                </c:pt>
                <c:pt idx="250">
                  <c:v>0.55000000000000004</c:v>
                </c:pt>
                <c:pt idx="251">
                  <c:v>0.55000000000000004</c:v>
                </c:pt>
                <c:pt idx="252">
                  <c:v>0.55000000000000004</c:v>
                </c:pt>
                <c:pt idx="253">
                  <c:v>0.55000000000000004</c:v>
                </c:pt>
                <c:pt idx="254">
                  <c:v>0.55000000000000004</c:v>
                </c:pt>
                <c:pt idx="255">
                  <c:v>0.55000000000000004</c:v>
                </c:pt>
                <c:pt idx="256">
                  <c:v>0.55000000000000004</c:v>
                </c:pt>
                <c:pt idx="257">
                  <c:v>0.55000000000000004</c:v>
                </c:pt>
                <c:pt idx="258">
                  <c:v>0.55000000000000004</c:v>
                </c:pt>
                <c:pt idx="259">
                  <c:v>0.55000000000000004</c:v>
                </c:pt>
                <c:pt idx="260">
                  <c:v>0.55000000000000004</c:v>
                </c:pt>
                <c:pt idx="261">
                  <c:v>0.55000000000000004</c:v>
                </c:pt>
                <c:pt idx="262">
                  <c:v>0.55000000000000004</c:v>
                </c:pt>
                <c:pt idx="263">
                  <c:v>0.55000000000000004</c:v>
                </c:pt>
                <c:pt idx="264">
                  <c:v>0.55000000000000004</c:v>
                </c:pt>
                <c:pt idx="265">
                  <c:v>0.55000000000000004</c:v>
                </c:pt>
                <c:pt idx="266">
                  <c:v>0.56000000000000005</c:v>
                </c:pt>
                <c:pt idx="267">
                  <c:v>0.56000000000000005</c:v>
                </c:pt>
                <c:pt idx="268">
                  <c:v>0.56000000000000005</c:v>
                </c:pt>
                <c:pt idx="269">
                  <c:v>0.56000000000000005</c:v>
                </c:pt>
                <c:pt idx="270">
                  <c:v>0.56000000000000005</c:v>
                </c:pt>
                <c:pt idx="271">
                  <c:v>0.56000000000000005</c:v>
                </c:pt>
                <c:pt idx="272">
                  <c:v>0.56000000000000005</c:v>
                </c:pt>
                <c:pt idx="273">
                  <c:v>0.56000000000000005</c:v>
                </c:pt>
                <c:pt idx="274">
                  <c:v>0.56000000000000005</c:v>
                </c:pt>
                <c:pt idx="275">
                  <c:v>0.56000000000000005</c:v>
                </c:pt>
                <c:pt idx="276">
                  <c:v>0.56000000000000005</c:v>
                </c:pt>
                <c:pt idx="277">
                  <c:v>0.56000000000000005</c:v>
                </c:pt>
                <c:pt idx="278">
                  <c:v>0.56000000000000005</c:v>
                </c:pt>
                <c:pt idx="279">
                  <c:v>0.56000000000000005</c:v>
                </c:pt>
                <c:pt idx="280">
                  <c:v>0.56000000000000005</c:v>
                </c:pt>
                <c:pt idx="281">
                  <c:v>0.56000000000000005</c:v>
                </c:pt>
                <c:pt idx="282">
                  <c:v>0.56999999999999995</c:v>
                </c:pt>
                <c:pt idx="283">
                  <c:v>0.56999999999999995</c:v>
                </c:pt>
                <c:pt idx="284">
                  <c:v>0.56999999999999995</c:v>
                </c:pt>
                <c:pt idx="285">
                  <c:v>0.56999999999999995</c:v>
                </c:pt>
                <c:pt idx="286">
                  <c:v>0.56999999999999995</c:v>
                </c:pt>
                <c:pt idx="287">
                  <c:v>0.56999999999999995</c:v>
                </c:pt>
                <c:pt idx="288">
                  <c:v>0.56999999999999995</c:v>
                </c:pt>
                <c:pt idx="289">
                  <c:v>0.56999999999999995</c:v>
                </c:pt>
                <c:pt idx="290">
                  <c:v>0.56999999999999995</c:v>
                </c:pt>
                <c:pt idx="291">
                  <c:v>0.56999999999999995</c:v>
                </c:pt>
                <c:pt idx="292">
                  <c:v>0.56999999999999995</c:v>
                </c:pt>
                <c:pt idx="293">
                  <c:v>0.56999999999999995</c:v>
                </c:pt>
                <c:pt idx="294">
                  <c:v>0.56999999999999995</c:v>
                </c:pt>
                <c:pt idx="295">
                  <c:v>0.56999999999999995</c:v>
                </c:pt>
                <c:pt idx="296">
                  <c:v>0.56999999999999995</c:v>
                </c:pt>
                <c:pt idx="297">
                  <c:v>0.56999999999999995</c:v>
                </c:pt>
                <c:pt idx="298">
                  <c:v>0.56999999999999995</c:v>
                </c:pt>
                <c:pt idx="299">
                  <c:v>0.57999999999999996</c:v>
                </c:pt>
                <c:pt idx="300">
                  <c:v>0.57999999999999996</c:v>
                </c:pt>
                <c:pt idx="301">
                  <c:v>0.57999999999999996</c:v>
                </c:pt>
                <c:pt idx="302">
                  <c:v>0.57999999999999996</c:v>
                </c:pt>
                <c:pt idx="303">
                  <c:v>0.57999999999999996</c:v>
                </c:pt>
                <c:pt idx="304">
                  <c:v>0.57999999999999996</c:v>
                </c:pt>
                <c:pt idx="305">
                  <c:v>0.57999999999999996</c:v>
                </c:pt>
                <c:pt idx="306">
                  <c:v>0.57999999999999996</c:v>
                </c:pt>
                <c:pt idx="307">
                  <c:v>0.57999999999999996</c:v>
                </c:pt>
                <c:pt idx="308">
                  <c:v>0.57999999999999996</c:v>
                </c:pt>
                <c:pt idx="309">
                  <c:v>0.57999999999999996</c:v>
                </c:pt>
                <c:pt idx="310">
                  <c:v>0.57999999999999996</c:v>
                </c:pt>
                <c:pt idx="311">
                  <c:v>0.57999999999999996</c:v>
                </c:pt>
                <c:pt idx="312">
                  <c:v>0.57999999999999996</c:v>
                </c:pt>
                <c:pt idx="313">
                  <c:v>0.59</c:v>
                </c:pt>
                <c:pt idx="314">
                  <c:v>0.59</c:v>
                </c:pt>
                <c:pt idx="315">
                  <c:v>0.59</c:v>
                </c:pt>
                <c:pt idx="316">
                  <c:v>0.59</c:v>
                </c:pt>
                <c:pt idx="317">
                  <c:v>0.59</c:v>
                </c:pt>
                <c:pt idx="318">
                  <c:v>0.59</c:v>
                </c:pt>
                <c:pt idx="319">
                  <c:v>0.59</c:v>
                </c:pt>
                <c:pt idx="320">
                  <c:v>0.59</c:v>
                </c:pt>
                <c:pt idx="321">
                  <c:v>0.59</c:v>
                </c:pt>
                <c:pt idx="322">
                  <c:v>0.59</c:v>
                </c:pt>
                <c:pt idx="323">
                  <c:v>0.59</c:v>
                </c:pt>
                <c:pt idx="324">
                  <c:v>0.59</c:v>
                </c:pt>
                <c:pt idx="325">
                  <c:v>0.59</c:v>
                </c:pt>
                <c:pt idx="326">
                  <c:v>0.59</c:v>
                </c:pt>
                <c:pt idx="327">
                  <c:v>0.59</c:v>
                </c:pt>
                <c:pt idx="328">
                  <c:v>0.59</c:v>
                </c:pt>
                <c:pt idx="329">
                  <c:v>0.59</c:v>
                </c:pt>
                <c:pt idx="330">
                  <c:v>0.59</c:v>
                </c:pt>
                <c:pt idx="331">
                  <c:v>0.6</c:v>
                </c:pt>
                <c:pt idx="332">
                  <c:v>0.6</c:v>
                </c:pt>
                <c:pt idx="333">
                  <c:v>0.6</c:v>
                </c:pt>
                <c:pt idx="334">
                  <c:v>0.6</c:v>
                </c:pt>
                <c:pt idx="335">
                  <c:v>0.6</c:v>
                </c:pt>
                <c:pt idx="336">
                  <c:v>0.6</c:v>
                </c:pt>
                <c:pt idx="337">
                  <c:v>0.6</c:v>
                </c:pt>
                <c:pt idx="338">
                  <c:v>0.6</c:v>
                </c:pt>
                <c:pt idx="339">
                  <c:v>0.6</c:v>
                </c:pt>
                <c:pt idx="340">
                  <c:v>0.6</c:v>
                </c:pt>
                <c:pt idx="341">
                  <c:v>0.6</c:v>
                </c:pt>
                <c:pt idx="342">
                  <c:v>0.6</c:v>
                </c:pt>
                <c:pt idx="343">
                  <c:v>0.6</c:v>
                </c:pt>
                <c:pt idx="344">
                  <c:v>0.6</c:v>
                </c:pt>
                <c:pt idx="345">
                  <c:v>0.61</c:v>
                </c:pt>
                <c:pt idx="346">
                  <c:v>0.61</c:v>
                </c:pt>
                <c:pt idx="347">
                  <c:v>0.61</c:v>
                </c:pt>
                <c:pt idx="348">
                  <c:v>0.61</c:v>
                </c:pt>
                <c:pt idx="349">
                  <c:v>0.61</c:v>
                </c:pt>
                <c:pt idx="350">
                  <c:v>0.61</c:v>
                </c:pt>
                <c:pt idx="351">
                  <c:v>0.61</c:v>
                </c:pt>
                <c:pt idx="352">
                  <c:v>0.61</c:v>
                </c:pt>
                <c:pt idx="353">
                  <c:v>0.61</c:v>
                </c:pt>
                <c:pt idx="354">
                  <c:v>0.61</c:v>
                </c:pt>
                <c:pt idx="355">
                  <c:v>0.61</c:v>
                </c:pt>
                <c:pt idx="356">
                  <c:v>0.61</c:v>
                </c:pt>
                <c:pt idx="357">
                  <c:v>0.61</c:v>
                </c:pt>
                <c:pt idx="358">
                  <c:v>0.61</c:v>
                </c:pt>
                <c:pt idx="359">
                  <c:v>0.61</c:v>
                </c:pt>
                <c:pt idx="360">
                  <c:v>0.62</c:v>
                </c:pt>
                <c:pt idx="361">
                  <c:v>0.62</c:v>
                </c:pt>
                <c:pt idx="362">
                  <c:v>0.62</c:v>
                </c:pt>
                <c:pt idx="363">
                  <c:v>0.62</c:v>
                </c:pt>
                <c:pt idx="364">
                  <c:v>0.62</c:v>
                </c:pt>
                <c:pt idx="365">
                  <c:v>0.62</c:v>
                </c:pt>
                <c:pt idx="366">
                  <c:v>0.62</c:v>
                </c:pt>
                <c:pt idx="367">
                  <c:v>0.62</c:v>
                </c:pt>
                <c:pt idx="368">
                  <c:v>0.62</c:v>
                </c:pt>
                <c:pt idx="369">
                  <c:v>0.62</c:v>
                </c:pt>
                <c:pt idx="370">
                  <c:v>0.62</c:v>
                </c:pt>
                <c:pt idx="371">
                  <c:v>0.62</c:v>
                </c:pt>
                <c:pt idx="372">
                  <c:v>0.62</c:v>
                </c:pt>
                <c:pt idx="373">
                  <c:v>0.62</c:v>
                </c:pt>
                <c:pt idx="374">
                  <c:v>0.62</c:v>
                </c:pt>
                <c:pt idx="375">
                  <c:v>0.63</c:v>
                </c:pt>
                <c:pt idx="376">
                  <c:v>0.63</c:v>
                </c:pt>
                <c:pt idx="377">
                  <c:v>0.63</c:v>
                </c:pt>
                <c:pt idx="378">
                  <c:v>0.63</c:v>
                </c:pt>
                <c:pt idx="379">
                  <c:v>0.63</c:v>
                </c:pt>
                <c:pt idx="380">
                  <c:v>0.63</c:v>
                </c:pt>
                <c:pt idx="381">
                  <c:v>0.63</c:v>
                </c:pt>
                <c:pt idx="382">
                  <c:v>0.63</c:v>
                </c:pt>
                <c:pt idx="383">
                  <c:v>0.63</c:v>
                </c:pt>
                <c:pt idx="384">
                  <c:v>0.63</c:v>
                </c:pt>
                <c:pt idx="385">
                  <c:v>0.63</c:v>
                </c:pt>
                <c:pt idx="386">
                  <c:v>0.63</c:v>
                </c:pt>
                <c:pt idx="387">
                  <c:v>0.63</c:v>
                </c:pt>
                <c:pt idx="388">
                  <c:v>0.63</c:v>
                </c:pt>
                <c:pt idx="389">
                  <c:v>0.63</c:v>
                </c:pt>
                <c:pt idx="390">
                  <c:v>0.64</c:v>
                </c:pt>
                <c:pt idx="391">
                  <c:v>0.64</c:v>
                </c:pt>
                <c:pt idx="392">
                  <c:v>0.64</c:v>
                </c:pt>
                <c:pt idx="393">
                  <c:v>0.64</c:v>
                </c:pt>
                <c:pt idx="394">
                  <c:v>0.64</c:v>
                </c:pt>
                <c:pt idx="395">
                  <c:v>0.64</c:v>
                </c:pt>
                <c:pt idx="396">
                  <c:v>0.64</c:v>
                </c:pt>
                <c:pt idx="397">
                  <c:v>0.64</c:v>
                </c:pt>
                <c:pt idx="398">
                  <c:v>0.64</c:v>
                </c:pt>
                <c:pt idx="399">
                  <c:v>0.64</c:v>
                </c:pt>
                <c:pt idx="400">
                  <c:v>0.64</c:v>
                </c:pt>
                <c:pt idx="401">
                  <c:v>0.64</c:v>
                </c:pt>
                <c:pt idx="402">
                  <c:v>0.64</c:v>
                </c:pt>
                <c:pt idx="403">
                  <c:v>0.64</c:v>
                </c:pt>
                <c:pt idx="404">
                  <c:v>0.64</c:v>
                </c:pt>
                <c:pt idx="405">
                  <c:v>0.65</c:v>
                </c:pt>
                <c:pt idx="406">
                  <c:v>0.65</c:v>
                </c:pt>
                <c:pt idx="407">
                  <c:v>0.65</c:v>
                </c:pt>
                <c:pt idx="408">
                  <c:v>0.65</c:v>
                </c:pt>
                <c:pt idx="409">
                  <c:v>0.65</c:v>
                </c:pt>
                <c:pt idx="410">
                  <c:v>0.65</c:v>
                </c:pt>
                <c:pt idx="411">
                  <c:v>0.65</c:v>
                </c:pt>
                <c:pt idx="412">
                  <c:v>0.65</c:v>
                </c:pt>
                <c:pt idx="413">
                  <c:v>0.65</c:v>
                </c:pt>
                <c:pt idx="414">
                  <c:v>0.65</c:v>
                </c:pt>
                <c:pt idx="415">
                  <c:v>0.65</c:v>
                </c:pt>
                <c:pt idx="416">
                  <c:v>0.65</c:v>
                </c:pt>
                <c:pt idx="417">
                  <c:v>0.65</c:v>
                </c:pt>
                <c:pt idx="418">
                  <c:v>0.65</c:v>
                </c:pt>
                <c:pt idx="419">
                  <c:v>0.66</c:v>
                </c:pt>
                <c:pt idx="420">
                  <c:v>0.66</c:v>
                </c:pt>
                <c:pt idx="421">
                  <c:v>0.66</c:v>
                </c:pt>
                <c:pt idx="422">
                  <c:v>0.66</c:v>
                </c:pt>
                <c:pt idx="423">
                  <c:v>0.66</c:v>
                </c:pt>
                <c:pt idx="424">
                  <c:v>0.66</c:v>
                </c:pt>
                <c:pt idx="425">
                  <c:v>0.66</c:v>
                </c:pt>
                <c:pt idx="426">
                  <c:v>0.66</c:v>
                </c:pt>
                <c:pt idx="427">
                  <c:v>0.66</c:v>
                </c:pt>
                <c:pt idx="428">
                  <c:v>0.66</c:v>
                </c:pt>
                <c:pt idx="429">
                  <c:v>0.66</c:v>
                </c:pt>
                <c:pt idx="430">
                  <c:v>0.66</c:v>
                </c:pt>
                <c:pt idx="431">
                  <c:v>0.66</c:v>
                </c:pt>
                <c:pt idx="432">
                  <c:v>0.66</c:v>
                </c:pt>
                <c:pt idx="433">
                  <c:v>0.66</c:v>
                </c:pt>
                <c:pt idx="434">
                  <c:v>0.66</c:v>
                </c:pt>
                <c:pt idx="435">
                  <c:v>0.67</c:v>
                </c:pt>
                <c:pt idx="436">
                  <c:v>0.67</c:v>
                </c:pt>
                <c:pt idx="437">
                  <c:v>0.67</c:v>
                </c:pt>
                <c:pt idx="438">
                  <c:v>0.67</c:v>
                </c:pt>
                <c:pt idx="439">
                  <c:v>0.67</c:v>
                </c:pt>
                <c:pt idx="440">
                  <c:v>0.67</c:v>
                </c:pt>
                <c:pt idx="441">
                  <c:v>0.67</c:v>
                </c:pt>
                <c:pt idx="442">
                  <c:v>0.67</c:v>
                </c:pt>
                <c:pt idx="443">
                  <c:v>0.67</c:v>
                </c:pt>
                <c:pt idx="444">
                  <c:v>0.67</c:v>
                </c:pt>
                <c:pt idx="445">
                  <c:v>0.67</c:v>
                </c:pt>
                <c:pt idx="446">
                  <c:v>0.67</c:v>
                </c:pt>
                <c:pt idx="447">
                  <c:v>0.67</c:v>
                </c:pt>
                <c:pt idx="448">
                  <c:v>0.67</c:v>
                </c:pt>
                <c:pt idx="449">
                  <c:v>0.68</c:v>
                </c:pt>
                <c:pt idx="450">
                  <c:v>0.68</c:v>
                </c:pt>
                <c:pt idx="451">
                  <c:v>0.68</c:v>
                </c:pt>
                <c:pt idx="452">
                  <c:v>0.68</c:v>
                </c:pt>
                <c:pt idx="453">
                  <c:v>0.68</c:v>
                </c:pt>
                <c:pt idx="454">
                  <c:v>0.68</c:v>
                </c:pt>
                <c:pt idx="455">
                  <c:v>0.68</c:v>
                </c:pt>
                <c:pt idx="456">
                  <c:v>0.68</c:v>
                </c:pt>
                <c:pt idx="457">
                  <c:v>0.68</c:v>
                </c:pt>
                <c:pt idx="458">
                  <c:v>0.68</c:v>
                </c:pt>
                <c:pt idx="459">
                  <c:v>0.68</c:v>
                </c:pt>
                <c:pt idx="460">
                  <c:v>0.68</c:v>
                </c:pt>
                <c:pt idx="461">
                  <c:v>0.68</c:v>
                </c:pt>
                <c:pt idx="462">
                  <c:v>0.68</c:v>
                </c:pt>
                <c:pt idx="463">
                  <c:v>0.68</c:v>
                </c:pt>
                <c:pt idx="464">
                  <c:v>0.68</c:v>
                </c:pt>
                <c:pt idx="465">
                  <c:v>0.69</c:v>
                </c:pt>
                <c:pt idx="466">
                  <c:v>0.69</c:v>
                </c:pt>
                <c:pt idx="467">
                  <c:v>0.69</c:v>
                </c:pt>
                <c:pt idx="468">
                  <c:v>0.69</c:v>
                </c:pt>
                <c:pt idx="469">
                  <c:v>0.69</c:v>
                </c:pt>
                <c:pt idx="470">
                  <c:v>0.69</c:v>
                </c:pt>
                <c:pt idx="471">
                  <c:v>0.69</c:v>
                </c:pt>
                <c:pt idx="472">
                  <c:v>0.69</c:v>
                </c:pt>
                <c:pt idx="473">
                  <c:v>0.69</c:v>
                </c:pt>
                <c:pt idx="474">
                  <c:v>0.69</c:v>
                </c:pt>
                <c:pt idx="475">
                  <c:v>0.69</c:v>
                </c:pt>
                <c:pt idx="476">
                  <c:v>0.69</c:v>
                </c:pt>
                <c:pt idx="477">
                  <c:v>0.69</c:v>
                </c:pt>
                <c:pt idx="478">
                  <c:v>0.69</c:v>
                </c:pt>
                <c:pt idx="479">
                  <c:v>0.69</c:v>
                </c:pt>
                <c:pt idx="480">
                  <c:v>0.7</c:v>
                </c:pt>
                <c:pt idx="481">
                  <c:v>0.7</c:v>
                </c:pt>
                <c:pt idx="482">
                  <c:v>0.7</c:v>
                </c:pt>
                <c:pt idx="483">
                  <c:v>0.7</c:v>
                </c:pt>
                <c:pt idx="484">
                  <c:v>0.7</c:v>
                </c:pt>
                <c:pt idx="485">
                  <c:v>0.7</c:v>
                </c:pt>
                <c:pt idx="486">
                  <c:v>0.7</c:v>
                </c:pt>
                <c:pt idx="487">
                  <c:v>0.7</c:v>
                </c:pt>
                <c:pt idx="488">
                  <c:v>0.7</c:v>
                </c:pt>
                <c:pt idx="489">
                  <c:v>0.7</c:v>
                </c:pt>
                <c:pt idx="490">
                  <c:v>0.7</c:v>
                </c:pt>
                <c:pt idx="491">
                  <c:v>0.7</c:v>
                </c:pt>
                <c:pt idx="492">
                  <c:v>0.7</c:v>
                </c:pt>
                <c:pt idx="493">
                  <c:v>0.7</c:v>
                </c:pt>
                <c:pt idx="494">
                  <c:v>0.7</c:v>
                </c:pt>
                <c:pt idx="495">
                  <c:v>0.71</c:v>
                </c:pt>
                <c:pt idx="496">
                  <c:v>0.71</c:v>
                </c:pt>
                <c:pt idx="497">
                  <c:v>0.71</c:v>
                </c:pt>
                <c:pt idx="498">
                  <c:v>0.71</c:v>
                </c:pt>
                <c:pt idx="499">
                  <c:v>0.71</c:v>
                </c:pt>
                <c:pt idx="500">
                  <c:v>0.71</c:v>
                </c:pt>
                <c:pt idx="501">
                  <c:v>0.71</c:v>
                </c:pt>
                <c:pt idx="502">
                  <c:v>0.71</c:v>
                </c:pt>
                <c:pt idx="503">
                  <c:v>0.71</c:v>
                </c:pt>
                <c:pt idx="504">
                  <c:v>0.71</c:v>
                </c:pt>
                <c:pt idx="505">
                  <c:v>0.71</c:v>
                </c:pt>
                <c:pt idx="506">
                  <c:v>0.71</c:v>
                </c:pt>
                <c:pt idx="507">
                  <c:v>0.71</c:v>
                </c:pt>
                <c:pt idx="508">
                  <c:v>0.71</c:v>
                </c:pt>
                <c:pt idx="509">
                  <c:v>0.72</c:v>
                </c:pt>
                <c:pt idx="510">
                  <c:v>0.72</c:v>
                </c:pt>
                <c:pt idx="511">
                  <c:v>0.72</c:v>
                </c:pt>
                <c:pt idx="512">
                  <c:v>0.72</c:v>
                </c:pt>
                <c:pt idx="513">
                  <c:v>0.72</c:v>
                </c:pt>
                <c:pt idx="514">
                  <c:v>0.72</c:v>
                </c:pt>
                <c:pt idx="515">
                  <c:v>0.72</c:v>
                </c:pt>
                <c:pt idx="516">
                  <c:v>0.72</c:v>
                </c:pt>
                <c:pt idx="517">
                  <c:v>0.72</c:v>
                </c:pt>
                <c:pt idx="518">
                  <c:v>0.72</c:v>
                </c:pt>
                <c:pt idx="519">
                  <c:v>0.72</c:v>
                </c:pt>
                <c:pt idx="520">
                  <c:v>0.72</c:v>
                </c:pt>
                <c:pt idx="521">
                  <c:v>0.72</c:v>
                </c:pt>
                <c:pt idx="522">
                  <c:v>0.73</c:v>
                </c:pt>
                <c:pt idx="523">
                  <c:v>0.73</c:v>
                </c:pt>
                <c:pt idx="524">
                  <c:v>0.73</c:v>
                </c:pt>
                <c:pt idx="525">
                  <c:v>0.73</c:v>
                </c:pt>
                <c:pt idx="526">
                  <c:v>0.73</c:v>
                </c:pt>
                <c:pt idx="527">
                  <c:v>0.73</c:v>
                </c:pt>
                <c:pt idx="528">
                  <c:v>0.73</c:v>
                </c:pt>
                <c:pt idx="529">
                  <c:v>0.73</c:v>
                </c:pt>
                <c:pt idx="530">
                  <c:v>0.73</c:v>
                </c:pt>
                <c:pt idx="531">
                  <c:v>0.73</c:v>
                </c:pt>
                <c:pt idx="532">
                  <c:v>0.73</c:v>
                </c:pt>
                <c:pt idx="533">
                  <c:v>0.74</c:v>
                </c:pt>
                <c:pt idx="534">
                  <c:v>0.74</c:v>
                </c:pt>
                <c:pt idx="535">
                  <c:v>0.74</c:v>
                </c:pt>
                <c:pt idx="536">
                  <c:v>0.74</c:v>
                </c:pt>
                <c:pt idx="537">
                  <c:v>0.74</c:v>
                </c:pt>
                <c:pt idx="538">
                  <c:v>0.74</c:v>
                </c:pt>
                <c:pt idx="539">
                  <c:v>0.74</c:v>
                </c:pt>
                <c:pt idx="540">
                  <c:v>0.74</c:v>
                </c:pt>
                <c:pt idx="541">
                  <c:v>0.74</c:v>
                </c:pt>
                <c:pt idx="542">
                  <c:v>0.74</c:v>
                </c:pt>
                <c:pt idx="543">
                  <c:v>0.74</c:v>
                </c:pt>
                <c:pt idx="544">
                  <c:v>0.75</c:v>
                </c:pt>
                <c:pt idx="545">
                  <c:v>0.75</c:v>
                </c:pt>
                <c:pt idx="546">
                  <c:v>0.75</c:v>
                </c:pt>
                <c:pt idx="547">
                  <c:v>0.75</c:v>
                </c:pt>
                <c:pt idx="548">
                  <c:v>0.75</c:v>
                </c:pt>
                <c:pt idx="549">
                  <c:v>0.75</c:v>
                </c:pt>
                <c:pt idx="550">
                  <c:v>0.75</c:v>
                </c:pt>
                <c:pt idx="551">
                  <c:v>0.75</c:v>
                </c:pt>
                <c:pt idx="552">
                  <c:v>0.75</c:v>
                </c:pt>
                <c:pt idx="553">
                  <c:v>0.75</c:v>
                </c:pt>
                <c:pt idx="554">
                  <c:v>0.76</c:v>
                </c:pt>
                <c:pt idx="555">
                  <c:v>0.76</c:v>
                </c:pt>
                <c:pt idx="556">
                  <c:v>0.76</c:v>
                </c:pt>
                <c:pt idx="557">
                  <c:v>0.76</c:v>
                </c:pt>
                <c:pt idx="558">
                  <c:v>0.76</c:v>
                </c:pt>
                <c:pt idx="559">
                  <c:v>0.76</c:v>
                </c:pt>
                <c:pt idx="560">
                  <c:v>0.76</c:v>
                </c:pt>
                <c:pt idx="561">
                  <c:v>0.76</c:v>
                </c:pt>
                <c:pt idx="562">
                  <c:v>0.76</c:v>
                </c:pt>
                <c:pt idx="563">
                  <c:v>0.76</c:v>
                </c:pt>
                <c:pt idx="564">
                  <c:v>0.77</c:v>
                </c:pt>
                <c:pt idx="565">
                  <c:v>0.77</c:v>
                </c:pt>
                <c:pt idx="566">
                  <c:v>0.77</c:v>
                </c:pt>
                <c:pt idx="567">
                  <c:v>0.77</c:v>
                </c:pt>
                <c:pt idx="568">
                  <c:v>0.77</c:v>
                </c:pt>
                <c:pt idx="569">
                  <c:v>0.77</c:v>
                </c:pt>
                <c:pt idx="570">
                  <c:v>0.77</c:v>
                </c:pt>
                <c:pt idx="571">
                  <c:v>0.77</c:v>
                </c:pt>
                <c:pt idx="572">
                  <c:v>0.77</c:v>
                </c:pt>
                <c:pt idx="573">
                  <c:v>0.78</c:v>
                </c:pt>
                <c:pt idx="574">
                  <c:v>0.78</c:v>
                </c:pt>
                <c:pt idx="575">
                  <c:v>0.78</c:v>
                </c:pt>
                <c:pt idx="576">
                  <c:v>0.78</c:v>
                </c:pt>
                <c:pt idx="577">
                  <c:v>0.78</c:v>
                </c:pt>
                <c:pt idx="578">
                  <c:v>0.78</c:v>
                </c:pt>
                <c:pt idx="579">
                  <c:v>0.78</c:v>
                </c:pt>
                <c:pt idx="580">
                  <c:v>0.78</c:v>
                </c:pt>
                <c:pt idx="581">
                  <c:v>0.78</c:v>
                </c:pt>
                <c:pt idx="582">
                  <c:v>0.79</c:v>
                </c:pt>
                <c:pt idx="583">
                  <c:v>0.79</c:v>
                </c:pt>
                <c:pt idx="584">
                  <c:v>0.79</c:v>
                </c:pt>
                <c:pt idx="585">
                  <c:v>0.79</c:v>
                </c:pt>
                <c:pt idx="586">
                  <c:v>0.79</c:v>
                </c:pt>
                <c:pt idx="587">
                  <c:v>0.79</c:v>
                </c:pt>
                <c:pt idx="588">
                  <c:v>0.79</c:v>
                </c:pt>
                <c:pt idx="589">
                  <c:v>0.8</c:v>
                </c:pt>
                <c:pt idx="590">
                  <c:v>0.8</c:v>
                </c:pt>
                <c:pt idx="591">
                  <c:v>0.8</c:v>
                </c:pt>
                <c:pt idx="592">
                  <c:v>0.8</c:v>
                </c:pt>
                <c:pt idx="593">
                  <c:v>0.8</c:v>
                </c:pt>
                <c:pt idx="594">
                  <c:v>0.8</c:v>
                </c:pt>
                <c:pt idx="595">
                  <c:v>0.8</c:v>
                </c:pt>
                <c:pt idx="596">
                  <c:v>0.8</c:v>
                </c:pt>
                <c:pt idx="597">
                  <c:v>0.81</c:v>
                </c:pt>
                <c:pt idx="598">
                  <c:v>0.81</c:v>
                </c:pt>
                <c:pt idx="599">
                  <c:v>0.81</c:v>
                </c:pt>
                <c:pt idx="600">
                  <c:v>0.81</c:v>
                </c:pt>
                <c:pt idx="601">
                  <c:v>0.81</c:v>
                </c:pt>
                <c:pt idx="602">
                  <c:v>0.82</c:v>
                </c:pt>
                <c:pt idx="603">
                  <c:v>0.82</c:v>
                </c:pt>
                <c:pt idx="604">
                  <c:v>0.82</c:v>
                </c:pt>
                <c:pt idx="605">
                  <c:v>0.82</c:v>
                </c:pt>
                <c:pt idx="606">
                  <c:v>0.82</c:v>
                </c:pt>
                <c:pt idx="607">
                  <c:v>0.82</c:v>
                </c:pt>
                <c:pt idx="608">
                  <c:v>0.82</c:v>
                </c:pt>
                <c:pt idx="609">
                  <c:v>0.83</c:v>
                </c:pt>
                <c:pt idx="610">
                  <c:v>0.83</c:v>
                </c:pt>
                <c:pt idx="611">
                  <c:v>0.83</c:v>
                </c:pt>
                <c:pt idx="612">
                  <c:v>0.84</c:v>
                </c:pt>
                <c:pt idx="613">
                  <c:v>0.84</c:v>
                </c:pt>
                <c:pt idx="614">
                  <c:v>0.84</c:v>
                </c:pt>
                <c:pt idx="615">
                  <c:v>0.85</c:v>
                </c:pt>
                <c:pt idx="616">
                  <c:v>0.85</c:v>
                </c:pt>
                <c:pt idx="617">
                  <c:v>0.85</c:v>
                </c:pt>
                <c:pt idx="618">
                  <c:v>0.86</c:v>
                </c:pt>
                <c:pt idx="619">
                  <c:v>0.86</c:v>
                </c:pt>
                <c:pt idx="620">
                  <c:v>0.86</c:v>
                </c:pt>
                <c:pt idx="621">
                  <c:v>0.87</c:v>
                </c:pt>
                <c:pt idx="622">
                  <c:v>0.88</c:v>
                </c:pt>
                <c:pt idx="623">
                  <c:v>0.89</c:v>
                </c:pt>
                <c:pt idx="624">
                  <c:v>0.9</c:v>
                </c:pt>
              </c:numCache>
            </c:numRef>
          </c:xVal>
          <c:yVal>
            <c:numRef>
              <c:f>All_Scenarios!$L$10:$L$634</c:f>
              <c:numCache>
                <c:formatCode>_(* #,##0.00_);_(* \(#,##0.00\);_(* "-"??_);_(@_)</c:formatCode>
                <c:ptCount val="625"/>
                <c:pt idx="0">
                  <c:v>37152.712376371019</c:v>
                </c:pt>
                <c:pt idx="1">
                  <c:v>42407.126923318778</c:v>
                </c:pt>
                <c:pt idx="2">
                  <c:v>51591.204760747372</c:v>
                </c:pt>
                <c:pt idx="3">
                  <c:v>42175.541488186158</c:v>
                </c:pt>
                <c:pt idx="4">
                  <c:v>44615.358528941208</c:v>
                </c:pt>
                <c:pt idx="5">
                  <c:v>50192.006233378801</c:v>
                </c:pt>
                <c:pt idx="6">
                  <c:v>54207.137346857489</c:v>
                </c:pt>
                <c:pt idx="7">
                  <c:v>45654.462662182385</c:v>
                </c:pt>
                <c:pt idx="8">
                  <c:v>58271.799295109078</c:v>
                </c:pt>
                <c:pt idx="9">
                  <c:v>58836.156658221262</c:v>
                </c:pt>
                <c:pt idx="10">
                  <c:v>50402.380621222255</c:v>
                </c:pt>
                <c:pt idx="11">
                  <c:v>49509.663152345507</c:v>
                </c:pt>
                <c:pt idx="12">
                  <c:v>65861.907928855697</c:v>
                </c:pt>
                <c:pt idx="13">
                  <c:v>45259.10282301456</c:v>
                </c:pt>
                <c:pt idx="14">
                  <c:v>60263.938151011731</c:v>
                </c:pt>
                <c:pt idx="15">
                  <c:v>66214.989777791096</c:v>
                </c:pt>
                <c:pt idx="16">
                  <c:v>66746.149648955499</c:v>
                </c:pt>
                <c:pt idx="17">
                  <c:v>41251.43165535968</c:v>
                </c:pt>
                <c:pt idx="18">
                  <c:v>55311.573527711502</c:v>
                </c:pt>
                <c:pt idx="19">
                  <c:v>52507.784766783421</c:v>
                </c:pt>
                <c:pt idx="20">
                  <c:v>58867.832513935486</c:v>
                </c:pt>
                <c:pt idx="21">
                  <c:v>64648.854094235438</c:v>
                </c:pt>
                <c:pt idx="22">
                  <c:v>57726.598829394519</c:v>
                </c:pt>
                <c:pt idx="23">
                  <c:v>73144.429618675582</c:v>
                </c:pt>
                <c:pt idx="24">
                  <c:v>50026.458512946178</c:v>
                </c:pt>
                <c:pt idx="25">
                  <c:v>54091.814286756824</c:v>
                </c:pt>
                <c:pt idx="26">
                  <c:v>56168.021848009113</c:v>
                </c:pt>
                <c:pt idx="27">
                  <c:v>62351.401602184735</c:v>
                </c:pt>
                <c:pt idx="28">
                  <c:v>67655.165892661258</c:v>
                </c:pt>
                <c:pt idx="29">
                  <c:v>76733.077554559539</c:v>
                </c:pt>
                <c:pt idx="30">
                  <c:v>46106.570768139347</c:v>
                </c:pt>
                <c:pt idx="31">
                  <c:v>60974.343203567383</c:v>
                </c:pt>
                <c:pt idx="32">
                  <c:v>62770.733742467819</c:v>
                </c:pt>
                <c:pt idx="33">
                  <c:v>60118.501130779099</c:v>
                </c:pt>
                <c:pt idx="34">
                  <c:v>66134.762513220237</c:v>
                </c:pt>
                <c:pt idx="35">
                  <c:v>67931.153052120644</c:v>
                </c:pt>
                <c:pt idx="36">
                  <c:v>71295.18182287307</c:v>
                </c:pt>
                <c:pt idx="37">
                  <c:v>49660.426829591786</c:v>
                </c:pt>
                <c:pt idx="38">
                  <c:v>56394.259864934131</c:v>
                </c:pt>
                <c:pt idx="39">
                  <c:v>64219.132058497424</c:v>
                </c:pt>
                <c:pt idx="40">
                  <c:v>69243.750860001499</c:v>
                </c:pt>
                <c:pt idx="41">
                  <c:v>69718.999165780187</c:v>
                </c:pt>
                <c:pt idx="42">
                  <c:v>71468.1162694464</c:v>
                </c:pt>
                <c:pt idx="43">
                  <c:v>74743.617967284255</c:v>
                </c:pt>
                <c:pt idx="44">
                  <c:v>50383.664367106328</c:v>
                </c:pt>
                <c:pt idx="45">
                  <c:v>59380.973171924685</c:v>
                </c:pt>
                <c:pt idx="46">
                  <c:v>56864.752489040497</c:v>
                </c:pt>
                <c:pt idx="47">
                  <c:v>64488.986934050881</c:v>
                </c:pt>
                <c:pt idx="48">
                  <c:v>67760.583936753843</c:v>
                </c:pt>
                <c:pt idx="49">
                  <c:v>61548.303570870979</c:v>
                </c:pt>
                <c:pt idx="50">
                  <c:v>75384.818381764228</c:v>
                </c:pt>
                <c:pt idx="51">
                  <c:v>77552.148780710515</c:v>
                </c:pt>
                <c:pt idx="52">
                  <c:v>47540.491974135184</c:v>
                </c:pt>
                <c:pt idx="53">
                  <c:v>67483.670252972312</c:v>
                </c:pt>
                <c:pt idx="54">
                  <c:v>59843.116112443036</c:v>
                </c:pt>
                <c:pt idx="55">
                  <c:v>60050.041669087193</c:v>
                </c:pt>
                <c:pt idx="56">
                  <c:v>65615.08344784526</c:v>
                </c:pt>
                <c:pt idx="57">
                  <c:v>70388.471309274129</c:v>
                </c:pt>
                <c:pt idx="58">
                  <c:v>65274.915421005826</c:v>
                </c:pt>
                <c:pt idx="59">
                  <c:v>75161.859170703014</c:v>
                </c:pt>
                <c:pt idx="60">
                  <c:v>75898.351082526337</c:v>
                </c:pt>
                <c:pt idx="61">
                  <c:v>52420.469024586717</c:v>
                </c:pt>
                <c:pt idx="62">
                  <c:v>61256.939371934481</c:v>
                </c:pt>
                <c:pt idx="63">
                  <c:v>68509.259941578508</c:v>
                </c:pt>
                <c:pt idx="64">
                  <c:v>63520.424928633816</c:v>
                </c:pt>
                <c:pt idx="65">
                  <c:v>68949.733981080688</c:v>
                </c:pt>
                <c:pt idx="66">
                  <c:v>59102.056609040344</c:v>
                </c:pt>
                <c:pt idx="67">
                  <c:v>70772.745498277829</c:v>
                </c:pt>
                <c:pt idx="68">
                  <c:v>73606.697748328384</c:v>
                </c:pt>
                <c:pt idx="69">
                  <c:v>67975.510104033528</c:v>
                </c:pt>
                <c:pt idx="70">
                  <c:v>80859.018317972397</c:v>
                </c:pt>
                <c:pt idx="71">
                  <c:v>49935.624750229974</c:v>
                </c:pt>
                <c:pt idx="72">
                  <c:v>61578.047296533252</c:v>
                </c:pt>
                <c:pt idx="73">
                  <c:v>68657.693566900023</c:v>
                </c:pt>
                <c:pt idx="74">
                  <c:v>64615.958799043139</c:v>
                </c:pt>
                <c:pt idx="75">
                  <c:v>71695.605069409925</c:v>
                </c:pt>
                <c:pt idx="76">
                  <c:v>72125.591631781106</c:v>
                </c:pt>
                <c:pt idx="77">
                  <c:v>73708.126154145779</c:v>
                </c:pt>
                <c:pt idx="78">
                  <c:v>71371.635520039054</c:v>
                </c:pt>
                <c:pt idx="79">
                  <c:v>76671.675309332422</c:v>
                </c:pt>
                <c:pt idx="80">
                  <c:v>78254.209831697095</c:v>
                </c:pt>
                <c:pt idx="81">
                  <c:v>54532.925361681555</c:v>
                </c:pt>
                <c:pt idx="82">
                  <c:v>62693.275207912135</c:v>
                </c:pt>
                <c:pt idx="83">
                  <c:v>60411.121565296264</c:v>
                </c:pt>
                <c:pt idx="84">
                  <c:v>62149.341849135395</c:v>
                </c:pt>
                <c:pt idx="85">
                  <c:v>71346.498825597897</c:v>
                </c:pt>
                <c:pt idx="86">
                  <c:v>67133.636009241338</c:v>
                </c:pt>
                <c:pt idx="87">
                  <c:v>64851.48236662546</c:v>
                </c:pt>
                <c:pt idx="88">
                  <c:v>77208.390630789887</c:v>
                </c:pt>
                <c:pt idx="89">
                  <c:v>65344.102231908393</c:v>
                </c:pt>
                <c:pt idx="90">
                  <c:v>69291.843167954648</c:v>
                </c:pt>
                <c:pt idx="91">
                  <c:v>81648.751432119068</c:v>
                </c:pt>
                <c:pt idx="92">
                  <c:v>51853.921800012889</c:v>
                </c:pt>
                <c:pt idx="93">
                  <c:v>65456.526218889325</c:v>
                </c:pt>
                <c:pt idx="94">
                  <c:v>63226.239704514715</c:v>
                </c:pt>
                <c:pt idx="95">
                  <c:v>68285.368594294778</c:v>
                </c:pt>
                <c:pt idx="96">
                  <c:v>67565.683214904609</c:v>
                </c:pt>
                <c:pt idx="97">
                  <c:v>74323.527382072891</c:v>
                </c:pt>
                <c:pt idx="98">
                  <c:v>70206.41144790627</c:v>
                </c:pt>
                <c:pt idx="99">
                  <c:v>67976.124933531653</c:v>
                </c:pt>
                <c:pt idx="100">
                  <c:v>74733.969100699949</c:v>
                </c:pt>
                <c:pt idx="101">
                  <c:v>79332.508994120362</c:v>
                </c:pt>
                <c:pt idx="102">
                  <c:v>72127.454301517748</c:v>
                </c:pt>
                <c:pt idx="103">
                  <c:v>77633.793716732122</c:v>
                </c:pt>
                <c:pt idx="104">
                  <c:v>79144.39485171657</c:v>
                </c:pt>
                <c:pt idx="105">
                  <c:v>56204.26911651589</c:v>
                </c:pt>
                <c:pt idx="106">
                  <c:v>64255.275432988296</c:v>
                </c:pt>
                <c:pt idx="107">
                  <c:v>63482.178204527343</c:v>
                </c:pt>
                <c:pt idx="108">
                  <c:v>70862.945285330628</c:v>
                </c:pt>
                <c:pt idx="109">
                  <c:v>66317.562273536576</c:v>
                </c:pt>
                <c:pt idx="110">
                  <c:v>71264.266076877073</c:v>
                </c:pt>
                <c:pt idx="111">
                  <c:v>62291.937804573652</c:v>
                </c:pt>
                <c:pt idx="112">
                  <c:v>76766.922766713687</c:v>
                </c:pt>
                <c:pt idx="113">
                  <c:v>72741.298297750749</c:v>
                </c:pt>
                <c:pt idx="114">
                  <c:v>70560.573705917806</c:v>
                </c:pt>
                <c:pt idx="115">
                  <c:v>75507.277509258289</c:v>
                </c:pt>
                <c:pt idx="116">
                  <c:v>74803.585138299037</c:v>
                </c:pt>
                <c:pt idx="117">
                  <c:v>80003.627627269365</c:v>
                </c:pt>
                <c:pt idx="118">
                  <c:v>56855.126593513931</c:v>
                </c:pt>
                <c:pt idx="119">
                  <c:v>64483.279710642528</c:v>
                </c:pt>
                <c:pt idx="120">
                  <c:v>70947.304566194798</c:v>
                </c:pt>
                <c:pt idx="121">
                  <c:v>66500.734228570203</c:v>
                </c:pt>
                <c:pt idx="122">
                  <c:v>73721.049851095144</c:v>
                </c:pt>
                <c:pt idx="123">
                  <c:v>64943.772193407014</c:v>
                </c:pt>
                <c:pt idx="124">
                  <c:v>75345.907942509992</c:v>
                </c:pt>
                <c:pt idx="125">
                  <c:v>77871.821904511555</c:v>
                </c:pt>
                <c:pt idx="126">
                  <c:v>73425.251566886946</c:v>
                </c:pt>
                <c:pt idx="127">
                  <c:v>71800.393475472112</c:v>
                </c:pt>
                <c:pt idx="128">
                  <c:v>79889.27642243923</c:v>
                </c:pt>
                <c:pt idx="129">
                  <c:v>74870.174391654684</c:v>
                </c:pt>
                <c:pt idx="130">
                  <c:v>82022.593957927966</c:v>
                </c:pt>
                <c:pt idx="131">
                  <c:v>57975.929165690781</c:v>
                </c:pt>
                <c:pt idx="132">
                  <c:v>65441.781152667703</c:v>
                </c:pt>
                <c:pt idx="133">
                  <c:v>63353.853351976577</c:v>
                </c:pt>
                <c:pt idx="134">
                  <c:v>64944.13999463791</c:v>
                </c:pt>
                <c:pt idx="135">
                  <c:v>73358.560207146147</c:v>
                </c:pt>
                <c:pt idx="136">
                  <c:v>69504.238907075254</c:v>
                </c:pt>
                <c:pt idx="137">
                  <c:v>67416.311106384135</c:v>
                </c:pt>
                <c:pt idx="138">
                  <c:v>69006.597749045482</c:v>
                </c:pt>
                <c:pt idx="139">
                  <c:v>76073.289634920948</c:v>
                </c:pt>
                <c:pt idx="140">
                  <c:v>71721.327176820269</c:v>
                </c:pt>
                <c:pt idx="141">
                  <c:v>76457.532945976054</c:v>
                </c:pt>
                <c:pt idx="142">
                  <c:v>67867.005876749376</c:v>
                </c:pt>
                <c:pt idx="143">
                  <c:v>80135.747389328506</c:v>
                </c:pt>
                <c:pt idx="144">
                  <c:v>75783.784931227827</c:v>
                </c:pt>
                <c:pt idx="145">
                  <c:v>80519.990700383612</c:v>
                </c:pt>
                <c:pt idx="146">
                  <c:v>79846.242685635385</c:v>
                </c:pt>
                <c:pt idx="147">
                  <c:v>58325.252979011442</c:v>
                </c:pt>
                <c:pt idx="148">
                  <c:v>69474.656376486935</c:v>
                </c:pt>
                <c:pt idx="149">
                  <c:v>67917.500705547704</c:v>
                </c:pt>
                <c:pt idx="150">
                  <c:v>65873.071400704313</c:v>
                </c:pt>
                <c:pt idx="151">
                  <c:v>73624.917558214467</c:v>
                </c:pt>
                <c:pt idx="152">
                  <c:v>65213.359802930012</c:v>
                </c:pt>
                <c:pt idx="153">
                  <c:v>72067.76188727525</c:v>
                </c:pt>
                <c:pt idx="154">
                  <c:v>76045.585105132646</c:v>
                </c:pt>
                <c:pt idx="155">
                  <c:v>66076.871678908981</c:v>
                </c:pt>
                <c:pt idx="156">
                  <c:v>74001.155800289256</c:v>
                </c:pt>
                <c:pt idx="157">
                  <c:v>78703.757669828818</c:v>
                </c:pt>
                <c:pt idx="158">
                  <c:v>70292.199914544355</c:v>
                </c:pt>
                <c:pt idx="159">
                  <c:v>82854.018851556364</c:v>
                </c:pt>
                <c:pt idx="160">
                  <c:v>76863.128643190081</c:v>
                </c:pt>
                <c:pt idx="161">
                  <c:v>75589.673785562991</c:v>
                </c:pt>
                <c:pt idx="162">
                  <c:v>82681.580887686214</c:v>
                </c:pt>
                <c:pt idx="163">
                  <c:v>60895.682911907301</c:v>
                </c:pt>
                <c:pt idx="164">
                  <c:v>68289.464222953393</c:v>
                </c:pt>
                <c:pt idx="165">
                  <c:v>74357.732454696335</c:v>
                </c:pt>
                <c:pt idx="166">
                  <c:v>68658.024133557265</c:v>
                </c:pt>
                <c:pt idx="167">
                  <c:v>70183.401117334462</c:v>
                </c:pt>
                <c:pt idx="168">
                  <c:v>78254.375606883186</c:v>
                </c:pt>
                <c:pt idx="169">
                  <c:v>74557.373543549867</c:v>
                </c:pt>
                <c:pt idx="170">
                  <c:v>72554.667285744101</c:v>
                </c:pt>
                <c:pt idx="171">
                  <c:v>68489.105311806925</c:v>
                </c:pt>
                <c:pt idx="172">
                  <c:v>76251.669349077405</c:v>
                </c:pt>
                <c:pt idx="173">
                  <c:v>78622.935517487058</c:v>
                </c:pt>
                <c:pt idx="174">
                  <c:v>75158.591430752596</c:v>
                </c:pt>
                <c:pt idx="175">
                  <c:v>81226.859662495539</c:v>
                </c:pt>
                <c:pt idx="176">
                  <c:v>80347.953590117788</c:v>
                </c:pt>
                <c:pt idx="177">
                  <c:v>59905.774070736021</c:v>
                </c:pt>
                <c:pt idx="178">
                  <c:v>67151.679755561185</c:v>
                </c:pt>
                <c:pt idx="179">
                  <c:v>74365.447249704055</c:v>
                </c:pt>
                <c:pt idx="180">
                  <c:v>72933.042177353942</c:v>
                </c:pt>
                <c:pt idx="181">
                  <c:v>70970.390044704283</c:v>
                </c:pt>
                <c:pt idx="182">
                  <c:v>76917.292911812372</c:v>
                </c:pt>
                <c:pt idx="183">
                  <c:v>79241.133756853829</c:v>
                </c:pt>
                <c:pt idx="184">
                  <c:v>75150.289046239195</c:v>
                </c:pt>
                <c:pt idx="185">
                  <c:v>71166.038311780751</c:v>
                </c:pt>
                <c:pt idx="186">
                  <c:v>80736.003200955485</c:v>
                </c:pt>
                <c:pt idx="187">
                  <c:v>76645.158490340837</c:v>
                </c:pt>
                <c:pt idx="188">
                  <c:v>81097.191913347284</c:v>
                </c:pt>
                <c:pt idx="189">
                  <c:v>80931.651468031952</c:v>
                </c:pt>
                <c:pt idx="190">
                  <c:v>82426.520912133594</c:v>
                </c:pt>
                <c:pt idx="191">
                  <c:v>62344.412220151164</c:v>
                </c:pt>
                <c:pt idx="192">
                  <c:v>69224.707188541652</c:v>
                </c:pt>
                <c:pt idx="193">
                  <c:v>67300.538431042005</c:v>
                </c:pt>
                <c:pt idx="194">
                  <c:v>68766.096709573045</c:v>
                </c:pt>
                <c:pt idx="195">
                  <c:v>75055.004117078992</c:v>
                </c:pt>
                <c:pt idx="196">
                  <c:v>74434.099083879657</c:v>
                </c:pt>
                <c:pt idx="197">
                  <c:v>76874.668976386311</c:v>
                </c:pt>
                <c:pt idx="198">
                  <c:v>68957.908736118567</c:v>
                </c:pt>
                <c:pt idx="199">
                  <c:v>75632.644832234553</c:v>
                </c:pt>
                <c:pt idx="200">
                  <c:v>81300.647206541165</c:v>
                </c:pt>
                <c:pt idx="201">
                  <c:v>77290.015137311129</c:v>
                </c:pt>
                <c:pt idx="202">
                  <c:v>73383.886966273451</c:v>
                </c:pt>
                <c:pt idx="203">
                  <c:v>77910.920170510479</c:v>
                </c:pt>
                <c:pt idx="204">
                  <c:v>81654.753787317444</c:v>
                </c:pt>
                <c:pt idx="205">
                  <c:v>81033.848754118095</c:v>
                </c:pt>
                <c:pt idx="206">
                  <c:v>59927.342151460951</c:v>
                </c:pt>
                <c:pt idx="207">
                  <c:v>75268.248519797198</c:v>
                </c:pt>
                <c:pt idx="208">
                  <c:v>69390.899180928522</c:v>
                </c:pt>
                <c:pt idx="209">
                  <c:v>69550.072686039435</c:v>
                </c:pt>
                <c:pt idx="210">
                  <c:v>73830.874054314845</c:v>
                </c:pt>
                <c:pt idx="211">
                  <c:v>77502.71087079859</c:v>
                </c:pt>
                <c:pt idx="212">
                  <c:v>76893.746319006925</c:v>
                </c:pt>
                <c:pt idx="213">
                  <c:v>73569.206341361452</c:v>
                </c:pt>
                <c:pt idx="214">
                  <c:v>79287.38217511923</c:v>
                </c:pt>
                <c:pt idx="215">
                  <c:v>81741.079927146449</c:v>
                </c:pt>
                <c:pt idx="216">
                  <c:v>75863.730588277773</c:v>
                </c:pt>
                <c:pt idx="217">
                  <c:v>80303.705461664096</c:v>
                </c:pt>
                <c:pt idx="218">
                  <c:v>77081.869652734298</c:v>
                </c:pt>
                <c:pt idx="219">
                  <c:v>83628.245439309569</c:v>
                </c:pt>
                <c:pt idx="220">
                  <c:v>63468.704583370141</c:v>
                </c:pt>
                <c:pt idx="221">
                  <c:v>70304.464663393883</c:v>
                </c:pt>
                <c:pt idx="222">
                  <c:v>69648.061356210063</c:v>
                </c:pt>
                <c:pt idx="223">
                  <c:v>75914.750387080756</c:v>
                </c:pt>
                <c:pt idx="224">
                  <c:v>72055.462924236766</c:v>
                </c:pt>
                <c:pt idx="225">
                  <c:v>70645.208731688035</c:v>
                </c:pt>
                <c:pt idx="226">
                  <c:v>79517.307263630864</c:v>
                </c:pt>
                <c:pt idx="227">
                  <c:v>76099.324223945339</c:v>
                </c:pt>
                <c:pt idx="228">
                  <c:v>74247.765608238129</c:v>
                </c:pt>
                <c:pt idx="229">
                  <c:v>75658.01980078686</c:v>
                </c:pt>
                <c:pt idx="230">
                  <c:v>79858.051331925017</c:v>
                </c:pt>
                <c:pt idx="231">
                  <c:v>81609.0495927679</c:v>
                </c:pt>
                <c:pt idx="232">
                  <c:v>80257.724052814941</c:v>
                </c:pt>
                <c:pt idx="233">
                  <c:v>77252.847830200175</c:v>
                </c:pt>
                <c:pt idx="234">
                  <c:v>83460.608208475111</c:v>
                </c:pt>
                <c:pt idx="235">
                  <c:v>63888.612147723034</c:v>
                </c:pt>
                <c:pt idx="236">
                  <c:v>70386.668506758491</c:v>
                </c:pt>
                <c:pt idx="237">
                  <c:v>75893.060050377084</c:v>
                </c:pt>
                <c:pt idx="238">
                  <c:v>72105.240873882067</c:v>
                </c:pt>
                <c:pt idx="239">
                  <c:v>79428.902910694786</c:v>
                </c:pt>
                <c:pt idx="240">
                  <c:v>76285.33142458387</c:v>
                </c:pt>
                <c:pt idx="241">
                  <c:v>70778.939880965278</c:v>
                </c:pt>
                <c:pt idx="242">
                  <c:v>80560.862784141078</c:v>
                </c:pt>
                <c:pt idx="243">
                  <c:v>79821.174284901572</c:v>
                </c:pt>
                <c:pt idx="244">
                  <c:v>78003.903791707446</c:v>
                </c:pt>
                <c:pt idx="245">
                  <c:v>82126.156961157845</c:v>
                </c:pt>
                <c:pt idx="246">
                  <c:v>76466.487227432444</c:v>
                </c:pt>
                <c:pt idx="247">
                  <c:v>83510.295335326053</c:v>
                </c:pt>
                <c:pt idx="248">
                  <c:v>81972.878771051051</c:v>
                </c:pt>
                <c:pt idx="249">
                  <c:v>83357.017145219259</c:v>
                </c:pt>
                <c:pt idx="250">
                  <c:v>64718.507335688519</c:v>
                </c:pt>
                <c:pt idx="251">
                  <c:v>71098.417215468799</c:v>
                </c:pt>
                <c:pt idx="252">
                  <c:v>69314.188003969102</c:v>
                </c:pt>
                <c:pt idx="253">
                  <c:v>70673.160225879707</c:v>
                </c:pt>
                <c:pt idx="254">
                  <c:v>77863.66477111401</c:v>
                </c:pt>
                <c:pt idx="255">
                  <c:v>78192.01814601566</c:v>
                </c:pt>
                <c:pt idx="256">
                  <c:v>72635.251498357989</c:v>
                </c:pt>
                <c:pt idx="257">
                  <c:v>72785.742812281023</c:v>
                </c:pt>
                <c:pt idx="258">
                  <c:v>74144.715034191628</c:v>
                </c:pt>
                <c:pt idx="259">
                  <c:v>77040.323030529486</c:v>
                </c:pt>
                <c:pt idx="260">
                  <c:v>82296.107050341074</c:v>
                </c:pt>
                <c:pt idx="261">
                  <c:v>78577.157313418662</c:v>
                </c:pt>
                <c:pt idx="262">
                  <c:v>82624.460425242709</c:v>
                </c:pt>
                <c:pt idx="263">
                  <c:v>77794.131903482135</c:v>
                </c:pt>
                <c:pt idx="264">
                  <c:v>83983.432647153299</c:v>
                </c:pt>
                <c:pt idx="265">
                  <c:v>83407.684343641173</c:v>
                </c:pt>
                <c:pt idx="266">
                  <c:v>64897.524565499138</c:v>
                </c:pt>
                <c:pt idx="267">
                  <c:v>73119.451188244493</c:v>
                </c:pt>
                <c:pt idx="268">
                  <c:v>71367.083212664453</c:v>
                </c:pt>
                <c:pt idx="269">
                  <c:v>76676.817915439533</c:v>
                </c:pt>
                <c:pt idx="270">
                  <c:v>80086.380673603024</c:v>
                </c:pt>
                <c:pt idx="271">
                  <c:v>76851.503868186366</c:v>
                </c:pt>
                <c:pt idx="272">
                  <c:v>75099.135892606326</c:v>
                </c:pt>
                <c:pt idx="273">
                  <c:v>71541.7691654113</c:v>
                </c:pt>
                <c:pt idx="274">
                  <c:v>78334.012698022983</c:v>
                </c:pt>
                <c:pt idx="275">
                  <c:v>82161.238570961461</c:v>
                </c:pt>
                <c:pt idx="276">
                  <c:v>78508.698650769817</c:v>
                </c:pt>
                <c:pt idx="277">
                  <c:v>82687.304222263832</c:v>
                </c:pt>
                <c:pt idx="278">
                  <c:v>82121.837138457282</c:v>
                </c:pt>
                <c:pt idx="279">
                  <c:v>82539.500253232283</c:v>
                </c:pt>
                <c:pt idx="280">
                  <c:v>79695.599542543321</c:v>
                </c:pt>
                <c:pt idx="281">
                  <c:v>85774.377058648926</c:v>
                </c:pt>
                <c:pt idx="282">
                  <c:v>65680.600406206635</c:v>
                </c:pt>
                <c:pt idx="283">
                  <c:v>74459.231771085237</c:v>
                </c:pt>
                <c:pt idx="284">
                  <c:v>76642.899569643836</c:v>
                </c:pt>
                <c:pt idx="285">
                  <c:v>69559.482512562172</c:v>
                </c:pt>
                <c:pt idx="286">
                  <c:v>75531.614809086983</c:v>
                </c:pt>
                <c:pt idx="287">
                  <c:v>81914.27434057332</c:v>
                </c:pt>
                <c:pt idx="288">
                  <c:v>78736.149759813095</c:v>
                </c:pt>
                <c:pt idx="289">
                  <c:v>77014.525082050241</c:v>
                </c:pt>
                <c:pt idx="290">
                  <c:v>80919.81755837168</c:v>
                </c:pt>
                <c:pt idx="291">
                  <c:v>71652.732702731446</c:v>
                </c:pt>
                <c:pt idx="292">
                  <c:v>77570.071690702302</c:v>
                </c:pt>
                <c:pt idx="293">
                  <c:v>78325.81406810433</c:v>
                </c:pt>
                <c:pt idx="294">
                  <c:v>82231.106544425769</c:v>
                </c:pt>
                <c:pt idx="295">
                  <c:v>79252.98618916281</c:v>
                </c:pt>
                <c:pt idx="296">
                  <c:v>84469.567651538324</c:v>
                </c:pt>
                <c:pt idx="297">
                  <c:v>84324.356734595043</c:v>
                </c:pt>
                <c:pt idx="298">
                  <c:v>83714.016817389027</c:v>
                </c:pt>
                <c:pt idx="299">
                  <c:v>66033.412693313861</c:v>
                </c:pt>
                <c:pt idx="300">
                  <c:v>72083.327234484808</c:v>
                </c:pt>
                <c:pt idx="301">
                  <c:v>77209.967637164184</c:v>
                </c:pt>
                <c:pt idx="302">
                  <c:v>76663.999418316496</c:v>
                </c:pt>
                <c:pt idx="303">
                  <c:v>73683.377369392954</c:v>
                </c:pt>
                <c:pt idx="304">
                  <c:v>80698.51514251763</c:v>
                </c:pt>
                <c:pt idx="305">
                  <c:v>82701.826215829205</c:v>
                </c:pt>
                <c:pt idx="306">
                  <c:v>79175.235948057962</c:v>
                </c:pt>
                <c:pt idx="307">
                  <c:v>75740.537039042072</c:v>
                </c:pt>
                <c:pt idx="308">
                  <c:v>83990.506771089262</c:v>
                </c:pt>
                <c:pt idx="309">
                  <c:v>80463.916503318032</c:v>
                </c:pt>
                <c:pt idx="310">
                  <c:v>84301.876350737366</c:v>
                </c:pt>
                <c:pt idx="311">
                  <c:v>84159.169070293108</c:v>
                </c:pt>
                <c:pt idx="312">
                  <c:v>85447.84962555315</c:v>
                </c:pt>
                <c:pt idx="313">
                  <c:v>63840.588217973964</c:v>
                </c:pt>
                <c:pt idx="314">
                  <c:v>75251.741889764569</c:v>
                </c:pt>
                <c:pt idx="315">
                  <c:v>73984.903377814015</c:v>
                </c:pt>
                <c:pt idx="316">
                  <c:v>72321.638858619393</c:v>
                </c:pt>
                <c:pt idx="317">
                  <c:v>73588.477370569934</c:v>
                </c:pt>
                <c:pt idx="318">
                  <c:v>79024.651570278482</c:v>
                </c:pt>
                <c:pt idx="319">
                  <c:v>75954.260026154225</c:v>
                </c:pt>
                <c:pt idx="320">
                  <c:v>74290.995506959604</c:v>
                </c:pt>
                <c:pt idx="321">
                  <c:v>78487.937050055334</c:v>
                </c:pt>
                <c:pt idx="322">
                  <c:v>80597.582211374654</c:v>
                </c:pt>
                <c:pt idx="323">
                  <c:v>73754.280986736456</c:v>
                </c:pt>
                <c:pt idx="324">
                  <c:v>79523.968120667181</c:v>
                </c:pt>
                <c:pt idx="325">
                  <c:v>84423.427800152582</c:v>
                </c:pt>
                <c:pt idx="326">
                  <c:v>80956.610248784229</c:v>
                </c:pt>
                <c:pt idx="327">
                  <c:v>77580.126575514369</c:v>
                </c:pt>
                <c:pt idx="328">
                  <c:v>81493.324769007406</c:v>
                </c:pt>
                <c:pt idx="329">
                  <c:v>84729.519929298171</c:v>
                </c:pt>
                <c:pt idx="330">
                  <c:v>84192.805409074994</c:v>
                </c:pt>
                <c:pt idx="331">
                  <c:v>65847.85040918953</c:v>
                </c:pt>
                <c:pt idx="332">
                  <c:v>79143.302595080968</c:v>
                </c:pt>
                <c:pt idx="333">
                  <c:v>74049.599834728084</c:v>
                </c:pt>
                <c:pt idx="334">
                  <c:v>74187.550205824213</c:v>
                </c:pt>
                <c:pt idx="335">
                  <c:v>77897.578058329571</c:v>
                </c:pt>
                <c:pt idx="336">
                  <c:v>81079.836632615494</c:v>
                </c:pt>
                <c:pt idx="337">
                  <c:v>80552.067354396044</c:v>
                </c:pt>
                <c:pt idx="338">
                  <c:v>77670.799373769958</c:v>
                </c:pt>
                <c:pt idx="339">
                  <c:v>82626.551763026713</c:v>
                </c:pt>
                <c:pt idx="340">
                  <c:v>84753.089814783627</c:v>
                </c:pt>
                <c:pt idx="341">
                  <c:v>79659.387054430772</c:v>
                </c:pt>
                <c:pt idx="342">
                  <c:v>83507.365278032245</c:v>
                </c:pt>
                <c:pt idx="343">
                  <c:v>80715.107576959766</c:v>
                </c:pt>
                <c:pt idx="344">
                  <c:v>86388.63325865833</c:v>
                </c:pt>
                <c:pt idx="345">
                  <c:v>68827.714354000331</c:v>
                </c:pt>
                <c:pt idx="346">
                  <c:v>74766.981308775052</c:v>
                </c:pt>
                <c:pt idx="347">
                  <c:v>74196.663681221879</c:v>
                </c:pt>
                <c:pt idx="348">
                  <c:v>79641.491855584958</c:v>
                </c:pt>
                <c:pt idx="349">
                  <c:v>76288.340453441822</c:v>
                </c:pt>
                <c:pt idx="350">
                  <c:v>75063.037630407678</c:v>
                </c:pt>
                <c:pt idx="351">
                  <c:v>82771.582256521942</c:v>
                </c:pt>
                <c:pt idx="352">
                  <c:v>79801.859287614847</c:v>
                </c:pt>
                <c:pt idx="353">
                  <c:v>78193.128031344648</c:v>
                </c:pt>
                <c:pt idx="354">
                  <c:v>79418.430854378792</c:v>
                </c:pt>
                <c:pt idx="355">
                  <c:v>83067.638578154554</c:v>
                </c:pt>
                <c:pt idx="356">
                  <c:v>84588.997722821339</c:v>
                </c:pt>
                <c:pt idx="357">
                  <c:v>83414.895204501547</c:v>
                </c:pt>
                <c:pt idx="358">
                  <c:v>80804.101109442825</c:v>
                </c:pt>
                <c:pt idx="359">
                  <c:v>86197.728979091524</c:v>
                </c:pt>
                <c:pt idx="360">
                  <c:v>69107.004655684606</c:v>
                </c:pt>
                <c:pt idx="361">
                  <c:v>74766.602129683248</c:v>
                </c:pt>
                <c:pt idx="362">
                  <c:v>79562.491538641392</c:v>
                </c:pt>
                <c:pt idx="363">
                  <c:v>76263.423223629565</c:v>
                </c:pt>
                <c:pt idx="364">
                  <c:v>82642.096610531007</c:v>
                </c:pt>
                <c:pt idx="365">
                  <c:v>79904.147251660179</c:v>
                </c:pt>
                <c:pt idx="366">
                  <c:v>75108.257842702034</c:v>
                </c:pt>
                <c:pt idx="367">
                  <c:v>83627.997145468064</c:v>
                </c:pt>
                <c:pt idx="368">
                  <c:v>82983.752323549794</c:v>
                </c:pt>
                <c:pt idx="369">
                  <c:v>81400.96834560654</c:v>
                </c:pt>
                <c:pt idx="370">
                  <c:v>84991.317880289134</c:v>
                </c:pt>
                <c:pt idx="371">
                  <c:v>80061.928112205715</c:v>
                </c:pt>
                <c:pt idx="372">
                  <c:v>86196.857754564669</c:v>
                </c:pt>
                <c:pt idx="373">
                  <c:v>84857.817521163845</c:v>
                </c:pt>
                <c:pt idx="374">
                  <c:v>86063.35739543938</c:v>
                </c:pt>
                <c:pt idx="375">
                  <c:v>69748.684700607482</c:v>
                </c:pt>
                <c:pt idx="376">
                  <c:v>75318.447294066456</c:v>
                </c:pt>
                <c:pt idx="377">
                  <c:v>73760.786871328644</c:v>
                </c:pt>
                <c:pt idx="378">
                  <c:v>74947.191192044222</c:v>
                </c:pt>
                <c:pt idx="379">
                  <c:v>81224.615795026577</c:v>
                </c:pt>
                <c:pt idx="380">
                  <c:v>81511.273503274031</c:v>
                </c:pt>
                <c:pt idx="381">
                  <c:v>76660.128017223673</c:v>
                </c:pt>
                <c:pt idx="382">
                  <c:v>76791.509323029532</c:v>
                </c:pt>
                <c:pt idx="383">
                  <c:v>77977.913643745109</c:v>
                </c:pt>
                <c:pt idx="384">
                  <c:v>80505.825386579745</c:v>
                </c:pt>
                <c:pt idx="385">
                  <c:v>85094.208261018444</c:v>
                </c:pt>
                <c:pt idx="386">
                  <c:v>81847.506109736976</c:v>
                </c:pt>
                <c:pt idx="387">
                  <c:v>85380.865969265898</c:v>
                </c:pt>
                <c:pt idx="388">
                  <c:v>81163.912497887621</c:v>
                </c:pt>
                <c:pt idx="389">
                  <c:v>86567.270289981505</c:v>
                </c:pt>
                <c:pt idx="390">
                  <c:v>69826.728255364898</c:v>
                </c:pt>
                <c:pt idx="391">
                  <c:v>77020.914050267107</c:v>
                </c:pt>
                <c:pt idx="392">
                  <c:v>75487.592071634572</c:v>
                </c:pt>
                <c:pt idx="393">
                  <c:v>80133.609936562774</c:v>
                </c:pt>
                <c:pt idx="394">
                  <c:v>83116.977349955821</c:v>
                </c:pt>
                <c:pt idx="395">
                  <c:v>80286.460145216246</c:v>
                </c:pt>
                <c:pt idx="396">
                  <c:v>78753.138166583725</c:v>
                </c:pt>
                <c:pt idx="397">
                  <c:v>75640.442280288044</c:v>
                </c:pt>
                <c:pt idx="398">
                  <c:v>81583.655371323272</c:v>
                </c:pt>
                <c:pt idx="399">
                  <c:v>84932.478010144448</c:v>
                </c:pt>
                <c:pt idx="400">
                  <c:v>81736.505579976772</c:v>
                </c:pt>
                <c:pt idx="401">
                  <c:v>85392.785455034013</c:v>
                </c:pt>
                <c:pt idx="402">
                  <c:v>85263.456982131422</c:v>
                </c:pt>
                <c:pt idx="403">
                  <c:v>82775.043860278587</c:v>
                </c:pt>
                <c:pt idx="404">
                  <c:v>86382.523444904975</c:v>
                </c:pt>
                <c:pt idx="405">
                  <c:v>70437.591628141236</c:v>
                </c:pt>
                <c:pt idx="406">
                  <c:v>78135.776055803988</c:v>
                </c:pt>
                <c:pt idx="407">
                  <c:v>80050.684740693832</c:v>
                </c:pt>
                <c:pt idx="408">
                  <c:v>73839.072859868393</c:v>
                </c:pt>
                <c:pt idx="409">
                  <c:v>79076.173489128632</c:v>
                </c:pt>
                <c:pt idx="410">
                  <c:v>83523.375352046103</c:v>
                </c:pt>
                <c:pt idx="411">
                  <c:v>80376.57172849639</c:v>
                </c:pt>
                <c:pt idx="412">
                  <c:v>83801.212823116715</c:v>
                </c:pt>
                <c:pt idx="413">
                  <c:v>75674.692257401446</c:v>
                </c:pt>
                <c:pt idx="414">
                  <c:v>80863.743369929725</c:v>
                </c:pt>
                <c:pt idx="415">
                  <c:v>84951.112395502627</c:v>
                </c:pt>
                <c:pt idx="416">
                  <c:v>85228.949866573254</c:v>
                </c:pt>
                <c:pt idx="417">
                  <c:v>85101.611062484517</c:v>
                </c:pt>
                <c:pt idx="418">
                  <c:v>86251.510634870428</c:v>
                </c:pt>
                <c:pt idx="419">
                  <c:v>70675.563164963707</c:v>
                </c:pt>
                <c:pt idx="420">
                  <c:v>75992.154731447285</c:v>
                </c:pt>
                <c:pt idx="421">
                  <c:v>80497.384176226144</c:v>
                </c:pt>
                <c:pt idx="422">
                  <c:v>80017.59392329937</c:v>
                </c:pt>
                <c:pt idx="423">
                  <c:v>77398.25939545747</c:v>
                </c:pt>
                <c:pt idx="424">
                  <c:v>83390.346516486083</c:v>
                </c:pt>
                <c:pt idx="425">
                  <c:v>80291.221735717394</c:v>
                </c:pt>
                <c:pt idx="426">
                  <c:v>85323.562927174164</c:v>
                </c:pt>
                <c:pt idx="427">
                  <c:v>82224.438146405533</c:v>
                </c:pt>
                <c:pt idx="428">
                  <c:v>79206.066377876399</c:v>
                </c:pt>
                <c:pt idx="429">
                  <c:v>82704.228399332293</c:v>
                </c:pt>
                <c:pt idx="430">
                  <c:v>85597.190739592203</c:v>
                </c:pt>
                <c:pt idx="431">
                  <c:v>85117.400486665458</c:v>
                </c:pt>
                <c:pt idx="432">
                  <c:v>85471.781311323022</c:v>
                </c:pt>
                <c:pt idx="433">
                  <c:v>86604.258162915168</c:v>
                </c:pt>
                <c:pt idx="434">
                  <c:v>87736.735014507343</c:v>
                </c:pt>
                <c:pt idx="435">
                  <c:v>68675.282649789049</c:v>
                </c:pt>
                <c:pt idx="436">
                  <c:v>77608.336298006412</c:v>
                </c:pt>
                <c:pt idx="437">
                  <c:v>76143.670527372335</c:v>
                </c:pt>
                <c:pt idx="438">
                  <c:v>82046.323512266186</c:v>
                </c:pt>
                <c:pt idx="439">
                  <c:v>79342.545883858227</c:v>
                </c:pt>
                <c:pt idx="440">
                  <c:v>77877.880113224164</c:v>
                </c:pt>
                <c:pt idx="441">
                  <c:v>83431.441539500083</c:v>
                </c:pt>
                <c:pt idx="442">
                  <c:v>77405.250908848539</c:v>
                </c:pt>
                <c:pt idx="443">
                  <c:v>82315.867327483938</c:v>
                </c:pt>
                <c:pt idx="444">
                  <c:v>85165.651125351942</c:v>
                </c:pt>
                <c:pt idx="445">
                  <c:v>82112.781938326079</c:v>
                </c:pt>
                <c:pt idx="446">
                  <c:v>82632.026345501334</c:v>
                </c:pt>
                <c:pt idx="447">
                  <c:v>87070.013559761093</c:v>
                </c:pt>
                <c:pt idx="448">
                  <c:v>86597.384355385497</c:v>
                </c:pt>
                <c:pt idx="449">
                  <c:v>71306.816008507551</c:v>
                </c:pt>
                <c:pt idx="450">
                  <c:v>76634.687835584889</c:v>
                </c:pt>
                <c:pt idx="451">
                  <c:v>81938.928640101702</c:v>
                </c:pt>
                <c:pt idx="452">
                  <c:v>79442.563048190103</c:v>
                </c:pt>
                <c:pt idx="453">
                  <c:v>83815.285744593129</c:v>
                </c:pt>
                <c:pt idx="454">
                  <c:v>79708.142983772312</c:v>
                </c:pt>
                <c:pt idx="455">
                  <c:v>83349.606969693603</c:v>
                </c:pt>
                <c:pt idx="456">
                  <c:v>80807.311692670584</c:v>
                </c:pt>
                <c:pt idx="457">
                  <c:v>85523.992248300056</c:v>
                </c:pt>
                <c:pt idx="458">
                  <c:v>82516.018196377554</c:v>
                </c:pt>
                <c:pt idx="459">
                  <c:v>79586.422068099273</c:v>
                </c:pt>
                <c:pt idx="460">
                  <c:v>85180.034389073611</c:v>
                </c:pt>
                <c:pt idx="461">
                  <c:v>87056.391493565025</c:v>
                </c:pt>
                <c:pt idx="462">
                  <c:v>84392.375300868938</c:v>
                </c:pt>
                <c:pt idx="463">
                  <c:v>83493.465989602788</c:v>
                </c:pt>
                <c:pt idx="464">
                  <c:v>88499.518061689727</c:v>
                </c:pt>
                <c:pt idx="465">
                  <c:v>72944.055192310465</c:v>
                </c:pt>
                <c:pt idx="466">
                  <c:v>80916.6288171052</c:v>
                </c:pt>
                <c:pt idx="467">
                  <c:v>76487.322068972295</c:v>
                </c:pt>
                <c:pt idx="468">
                  <c:v>76607.278913403687</c:v>
                </c:pt>
                <c:pt idx="469">
                  <c:v>79998.610971427828</c:v>
                </c:pt>
                <c:pt idx="470">
                  <c:v>85271.242758307853</c:v>
                </c:pt>
                <c:pt idx="471">
                  <c:v>82645.835495940686</c:v>
                </c:pt>
                <c:pt idx="472">
                  <c:v>81223.623805614858</c:v>
                </c:pt>
                <c:pt idx="473">
                  <c:v>82306.862533224747</c:v>
                </c:pt>
                <c:pt idx="474">
                  <c:v>85532.973709316386</c:v>
                </c:pt>
                <c:pt idx="475">
                  <c:v>82907.566446949248</c:v>
                </c:pt>
                <c:pt idx="476">
                  <c:v>86877.943387934836</c:v>
                </c:pt>
                <c:pt idx="477">
                  <c:v>85839.968697826029</c:v>
                </c:pt>
                <c:pt idx="478">
                  <c:v>83531.875367411805</c:v>
                </c:pt>
                <c:pt idx="479">
                  <c:v>88300.155078260665</c:v>
                </c:pt>
                <c:pt idx="480">
                  <c:v>70997.093955966906</c:v>
                </c:pt>
                <c:pt idx="481">
                  <c:v>78145.408067368044</c:v>
                </c:pt>
                <c:pt idx="482">
                  <c:v>82393.195829588105</c:v>
                </c:pt>
                <c:pt idx="483">
                  <c:v>79805.294385254791</c:v>
                </c:pt>
                <c:pt idx="484">
                  <c:v>78403.400004790747</c:v>
                </c:pt>
                <c:pt idx="485">
                  <c:v>85120.846036118906</c:v>
                </c:pt>
                <c:pt idx="486">
                  <c:v>82695.805175404777</c:v>
                </c:pt>
                <c:pt idx="487">
                  <c:v>84473.934668516769</c:v>
                </c:pt>
                <c:pt idx="488">
                  <c:v>85423.455381935564</c:v>
                </c:pt>
                <c:pt idx="489">
                  <c:v>84021.56100147152</c:v>
                </c:pt>
                <c:pt idx="490">
                  <c:v>87201.584875047556</c:v>
                </c:pt>
                <c:pt idx="491">
                  <c:v>82835.55393760225</c:v>
                </c:pt>
                <c:pt idx="492">
                  <c:v>88269.348763691582</c:v>
                </c:pt>
                <c:pt idx="493">
                  <c:v>87083.341699822297</c:v>
                </c:pt>
                <c:pt idx="494">
                  <c:v>88151.105588466351</c:v>
                </c:pt>
                <c:pt idx="495">
                  <c:v>73645.300969206655</c:v>
                </c:pt>
                <c:pt idx="496">
                  <c:v>78587.48467889562</c:v>
                </c:pt>
                <c:pt idx="497">
                  <c:v>77205.335289705719</c:v>
                </c:pt>
                <c:pt idx="498">
                  <c:v>80340.570094639843</c:v>
                </c:pt>
                <c:pt idx="499">
                  <c:v>82329.44223751867</c:v>
                </c:pt>
                <c:pt idx="500">
                  <c:v>84082.527653262907</c:v>
                </c:pt>
                <c:pt idx="501">
                  <c:v>79777.990109302744</c:v>
                </c:pt>
                <c:pt idx="502">
                  <c:v>79894.567887693833</c:v>
                </c:pt>
                <c:pt idx="503">
                  <c:v>83190.369465210242</c:v>
                </c:pt>
                <c:pt idx="504">
                  <c:v>87261.751452388227</c:v>
                </c:pt>
                <c:pt idx="505">
                  <c:v>84380.874895617366</c:v>
                </c:pt>
                <c:pt idx="506">
                  <c:v>87516.10970055146</c:v>
                </c:pt>
                <c:pt idx="507">
                  <c:v>83774.305916089041</c:v>
                </c:pt>
                <c:pt idx="508">
                  <c:v>88568.834661186454</c:v>
                </c:pt>
                <c:pt idx="509">
                  <c:v>74143.739115270844</c:v>
                </c:pt>
                <c:pt idx="510">
                  <c:v>78692.432295277977</c:v>
                </c:pt>
                <c:pt idx="511">
                  <c:v>81784.122172365795</c:v>
                </c:pt>
                <c:pt idx="512">
                  <c:v>81344.314440516231</c:v>
                </c:pt>
                <c:pt idx="513">
                  <c:v>85474.108098230194</c:v>
                </c:pt>
                <c:pt idx="514">
                  <c:v>82958.09280512837</c:v>
                </c:pt>
                <c:pt idx="515">
                  <c:v>81595.139935232772</c:v>
                </c:pt>
                <c:pt idx="516">
                  <c:v>87087.886462842318</c:v>
                </c:pt>
                <c:pt idx="517">
                  <c:v>84247.022080471041</c:v>
                </c:pt>
                <c:pt idx="518">
                  <c:v>87497.048636077496</c:v>
                </c:pt>
                <c:pt idx="519">
                  <c:v>87382.089993497415</c:v>
                </c:pt>
                <c:pt idx="520">
                  <c:v>85170.167218517105</c:v>
                </c:pt>
                <c:pt idx="521">
                  <c:v>88376.815738185003</c:v>
                </c:pt>
                <c:pt idx="522">
                  <c:v>74151.954637049072</c:v>
                </c:pt>
                <c:pt idx="523">
                  <c:v>83188.124878099246</c:v>
                </c:pt>
                <c:pt idx="524">
                  <c:v>80386.176446171405</c:v>
                </c:pt>
                <c:pt idx="525">
                  <c:v>83435.514407134731</c:v>
                </c:pt>
                <c:pt idx="526">
                  <c:v>84346.013721371928</c:v>
                </c:pt>
                <c:pt idx="527">
                  <c:v>83001.731438735165</c:v>
                </c:pt>
                <c:pt idx="528">
                  <c:v>86051.069399698492</c:v>
                </c:pt>
                <c:pt idx="529">
                  <c:v>85617.286431298955</c:v>
                </c:pt>
                <c:pt idx="530">
                  <c:v>87322.342109625519</c:v>
                </c:pt>
                <c:pt idx="531">
                  <c:v>87208.958242971188</c:v>
                </c:pt>
                <c:pt idx="532">
                  <c:v>88232.84142386273</c:v>
                </c:pt>
                <c:pt idx="533">
                  <c:v>73303.958504836817</c:v>
                </c:pt>
                <c:pt idx="534">
                  <c:v>83074.007950085506</c:v>
                </c:pt>
                <c:pt idx="535">
                  <c:v>85654.21760491193</c:v>
                </c:pt>
                <c:pt idx="536">
                  <c:v>83360.260033966144</c:v>
                </c:pt>
                <c:pt idx="537">
                  <c:v>87378.437646877006</c:v>
                </c:pt>
                <c:pt idx="538">
                  <c:v>84614.353382948189</c:v>
                </c:pt>
                <c:pt idx="539">
                  <c:v>83604.306461257904</c:v>
                </c:pt>
                <c:pt idx="540">
                  <c:v>87622.484074168766</c:v>
                </c:pt>
                <c:pt idx="541">
                  <c:v>87194.563037774613</c:v>
                </c:pt>
                <c:pt idx="542">
                  <c:v>87510.632421928662</c:v>
                </c:pt>
                <c:pt idx="543">
                  <c:v>88520.679343618976</c:v>
                </c:pt>
                <c:pt idx="544">
                  <c:v>72478.575602816913</c:v>
                </c:pt>
                <c:pt idx="545">
                  <c:v>80458.77019522441</c:v>
                </c:pt>
                <c:pt idx="546">
                  <c:v>84423.372106629802</c:v>
                </c:pt>
                <c:pt idx="547">
                  <c:v>82007.997425252048</c:v>
                </c:pt>
                <c:pt idx="548">
                  <c:v>80699.562670152285</c:v>
                </c:pt>
                <c:pt idx="549">
                  <c:v>84664.164581557692</c:v>
                </c:pt>
                <c:pt idx="550">
                  <c:v>86365.395022963232</c:v>
                </c:pt>
                <c:pt idx="551">
                  <c:v>85791.17638900975</c:v>
                </c:pt>
                <c:pt idx="552">
                  <c:v>89755.778300415157</c:v>
                </c:pt>
                <c:pt idx="553">
                  <c:v>87492.406830415304</c:v>
                </c:pt>
                <c:pt idx="554">
                  <c:v>73949.598551344418</c:v>
                </c:pt>
                <c:pt idx="555">
                  <c:v>83462.541432244456</c:v>
                </c:pt>
                <c:pt idx="556">
                  <c:v>85974.850832996497</c:v>
                </c:pt>
                <c:pt idx="557">
                  <c:v>83591.257397426351</c:v>
                </c:pt>
                <c:pt idx="558">
                  <c:v>82300.038889104209</c:v>
                </c:pt>
                <c:pt idx="559">
                  <c:v>87503.693494207982</c:v>
                </c:pt>
                <c:pt idx="560">
                  <c:v>84812.348289856251</c:v>
                </c:pt>
                <c:pt idx="561">
                  <c:v>87891.320816220279</c:v>
                </c:pt>
                <c:pt idx="562">
                  <c:v>85686.906841689357</c:v>
                </c:pt>
                <c:pt idx="563">
                  <c:v>88724.784386637897</c:v>
                </c:pt>
                <c:pt idx="564">
                  <c:v>75234.35803558107</c:v>
                </c:pt>
                <c:pt idx="565">
                  <c:v>82526.667398752237</c:v>
                </c:pt>
                <c:pt idx="566">
                  <c:v>86280.798841474825</c:v>
                </c:pt>
                <c:pt idx="567">
                  <c:v>83624.406172244504</c:v>
                </c:pt>
                <c:pt idx="568">
                  <c:v>86515.33696640456</c:v>
                </c:pt>
                <c:pt idx="569">
                  <c:v>86104.088178181599</c:v>
                </c:pt>
                <c:pt idx="570">
                  <c:v>87720.569535556147</c:v>
                </c:pt>
                <c:pt idx="571">
                  <c:v>87613.075739896827</c:v>
                </c:pt>
                <c:pt idx="572">
                  <c:v>88583.770184118694</c:v>
                </c:pt>
                <c:pt idx="573">
                  <c:v>74415.971917860064</c:v>
                </c:pt>
                <c:pt idx="574">
                  <c:v>83684.993186429318</c:v>
                </c:pt>
                <c:pt idx="575">
                  <c:v>86132.8843974185</c:v>
                </c:pt>
                <c:pt idx="576">
                  <c:v>87768.682898769985</c:v>
                </c:pt>
                <c:pt idx="577">
                  <c:v>85146.346545811874</c:v>
                </c:pt>
                <c:pt idx="578">
                  <c:v>88958.463768317059</c:v>
                </c:pt>
                <c:pt idx="579">
                  <c:v>86635.988113146144</c:v>
                </c:pt>
                <c:pt idx="580">
                  <c:v>89810.597741898033</c:v>
                </c:pt>
                <c:pt idx="581">
                  <c:v>88852.348098243136</c:v>
                </c:pt>
                <c:pt idx="582">
                  <c:v>79570.471805561989</c:v>
                </c:pt>
                <c:pt idx="583">
                  <c:v>79847.481214920786</c:v>
                </c:pt>
                <c:pt idx="584">
                  <c:v>82769.996321453553</c:v>
                </c:pt>
                <c:pt idx="585">
                  <c:v>85186.901567746667</c:v>
                </c:pt>
                <c:pt idx="586">
                  <c:v>87603.806814039766</c:v>
                </c:pt>
                <c:pt idx="587">
                  <c:v>89218.899005247556</c:v>
                </c:pt>
                <c:pt idx="588">
                  <c:v>88818.06157875176</c:v>
                </c:pt>
                <c:pt idx="589">
                  <c:v>78718.343918659259</c:v>
                </c:pt>
                <c:pt idx="590">
                  <c:v>84264.568308816612</c:v>
                </c:pt>
                <c:pt idx="591">
                  <c:v>85095.398933058052</c:v>
                </c:pt>
                <c:pt idx="592">
                  <c:v>87877.919822437092</c:v>
                </c:pt>
                <c:pt idx="593">
                  <c:v>85321.141878302937</c:v>
                </c:pt>
                <c:pt idx="594">
                  <c:v>89180.459180912279</c:v>
                </c:pt>
                <c:pt idx="595">
                  <c:v>86151.972502544377</c:v>
                </c:pt>
                <c:pt idx="596">
                  <c:v>90407.116763818325</c:v>
                </c:pt>
                <c:pt idx="597">
                  <c:v>76209.857394751874</c:v>
                </c:pt>
                <c:pt idx="598">
                  <c:v>86812.980411043041</c:v>
                </c:pt>
                <c:pt idx="599">
                  <c:v>87856.509862387553</c:v>
                </c:pt>
                <c:pt idx="600">
                  <c:v>85006.155622682752</c:v>
                </c:pt>
                <c:pt idx="601">
                  <c:v>91527.437558133286</c:v>
                </c:pt>
                <c:pt idx="602">
                  <c:v>79045.656502239639</c:v>
                </c:pt>
                <c:pt idx="603">
                  <c:v>86703.879318135921</c:v>
                </c:pt>
                <c:pt idx="604">
                  <c:v>86924.116337887011</c:v>
                </c:pt>
                <c:pt idx="605">
                  <c:v>87734.682800561597</c:v>
                </c:pt>
                <c:pt idx="606">
                  <c:v>89252.598221510852</c:v>
                </c:pt>
                <c:pt idx="607">
                  <c:v>90063.164684185438</c:v>
                </c:pt>
                <c:pt idx="608">
                  <c:v>89151.658925586875</c:v>
                </c:pt>
                <c:pt idx="609">
                  <c:v>80313.495817765754</c:v>
                </c:pt>
                <c:pt idx="610">
                  <c:v>89379.078172239693</c:v>
                </c:pt>
                <c:pt idx="611">
                  <c:v>90397.462335599994</c:v>
                </c:pt>
                <c:pt idx="612">
                  <c:v>83032.923060515546</c:v>
                </c:pt>
                <c:pt idx="613">
                  <c:v>89106.30878851439</c:v>
                </c:pt>
                <c:pt idx="614">
                  <c:v>89457.019222715986</c:v>
                </c:pt>
                <c:pt idx="615">
                  <c:v>84224.021844402509</c:v>
                </c:pt>
                <c:pt idx="616">
                  <c:v>88192.119753982959</c:v>
                </c:pt>
                <c:pt idx="617">
                  <c:v>90438.41992406713</c:v>
                </c:pt>
                <c:pt idx="618">
                  <c:v>86834.73536026699</c:v>
                </c:pt>
                <c:pt idx="619">
                  <c:v>91529.558293449023</c:v>
                </c:pt>
                <c:pt idx="620">
                  <c:v>88282.050063962815</c:v>
                </c:pt>
                <c:pt idx="621">
                  <c:v>89385.432473467925</c:v>
                </c:pt>
                <c:pt idx="622">
                  <c:v>86955.267734930341</c:v>
                </c:pt>
                <c:pt idx="623">
                  <c:v>90642.905323380517</c:v>
                </c:pt>
                <c:pt idx="624">
                  <c:v>90500.947384150291</c:v>
                </c:pt>
              </c:numCache>
            </c:numRef>
          </c:yVal>
          <c:smooth val="0"/>
          <c:extLst>
            <c:ext xmlns:c16="http://schemas.microsoft.com/office/drawing/2014/chart" uri="{C3380CC4-5D6E-409C-BE32-E72D297353CC}">
              <c16:uniqueId val="{00000000-1A7C-41C3-BDCA-436E2BEB5A3F}"/>
            </c:ext>
          </c:extLst>
        </c:ser>
        <c:ser>
          <c:idx val="1"/>
          <c:order val="1"/>
          <c:tx>
            <c:v>Frontier</c:v>
          </c:tx>
          <c:spPr>
            <a:ln w="25400" cap="rnd">
              <a:noFill/>
              <a:round/>
            </a:ln>
            <a:effectLst/>
          </c:spPr>
          <c:marker>
            <c:symbol val="circle"/>
            <c:size val="5"/>
            <c:spPr>
              <a:solidFill>
                <a:schemeClr val="accent2"/>
              </a:solidFill>
              <a:ln w="9525">
                <a:solidFill>
                  <a:schemeClr val="accent2"/>
                </a:solidFill>
              </a:ln>
              <a:effectLst/>
            </c:spPr>
          </c:marker>
          <c:xVal>
            <c:numRef>
              <c:f>Frontier!$X$5:$X$69</c:f>
              <c:numCache>
                <c:formatCode>General</c:formatCode>
                <c:ptCount val="65"/>
                <c:pt idx="0">
                  <c:v>0.27</c:v>
                </c:pt>
                <c:pt idx="1">
                  <c:v>0.28000000000000003</c:v>
                </c:pt>
                <c:pt idx="2">
                  <c:v>0.28999999999999998</c:v>
                </c:pt>
                <c:pt idx="3">
                  <c:v>0.3</c:v>
                </c:pt>
                <c:pt idx="4">
                  <c:v>0.31</c:v>
                </c:pt>
                <c:pt idx="5">
                  <c:v>0.32</c:v>
                </c:pt>
                <c:pt idx="6">
                  <c:v>0.33</c:v>
                </c:pt>
                <c:pt idx="7">
                  <c:v>0.33</c:v>
                </c:pt>
                <c:pt idx="8">
                  <c:v>0.34</c:v>
                </c:pt>
                <c:pt idx="9">
                  <c:v>0.35</c:v>
                </c:pt>
                <c:pt idx="10">
                  <c:v>0.36</c:v>
                </c:pt>
                <c:pt idx="11">
                  <c:v>0.37</c:v>
                </c:pt>
                <c:pt idx="12">
                  <c:v>0.38</c:v>
                </c:pt>
                <c:pt idx="13">
                  <c:v>0.39</c:v>
                </c:pt>
                <c:pt idx="14">
                  <c:v>0.4</c:v>
                </c:pt>
                <c:pt idx="15">
                  <c:v>0.41</c:v>
                </c:pt>
                <c:pt idx="16">
                  <c:v>0.42</c:v>
                </c:pt>
                <c:pt idx="17">
                  <c:v>0.43</c:v>
                </c:pt>
                <c:pt idx="18">
                  <c:v>0.44</c:v>
                </c:pt>
                <c:pt idx="19">
                  <c:v>0.45</c:v>
                </c:pt>
                <c:pt idx="20">
                  <c:v>0.46</c:v>
                </c:pt>
                <c:pt idx="21">
                  <c:v>0.47</c:v>
                </c:pt>
                <c:pt idx="22">
                  <c:v>0.48</c:v>
                </c:pt>
                <c:pt idx="23">
                  <c:v>0.49</c:v>
                </c:pt>
                <c:pt idx="24">
                  <c:v>0.5</c:v>
                </c:pt>
                <c:pt idx="25">
                  <c:v>0.51</c:v>
                </c:pt>
                <c:pt idx="26">
                  <c:v>0.52</c:v>
                </c:pt>
                <c:pt idx="27">
                  <c:v>0.53</c:v>
                </c:pt>
                <c:pt idx="28">
                  <c:v>0.54</c:v>
                </c:pt>
                <c:pt idx="29">
                  <c:v>0.55000000000000004</c:v>
                </c:pt>
                <c:pt idx="30">
                  <c:v>0.56000000000000005</c:v>
                </c:pt>
                <c:pt idx="31">
                  <c:v>0.56999999999999995</c:v>
                </c:pt>
                <c:pt idx="32">
                  <c:v>0.57999999999999996</c:v>
                </c:pt>
                <c:pt idx="33">
                  <c:v>0.59</c:v>
                </c:pt>
                <c:pt idx="34">
                  <c:v>0.6</c:v>
                </c:pt>
                <c:pt idx="35">
                  <c:v>0.61</c:v>
                </c:pt>
                <c:pt idx="36">
                  <c:v>0.62</c:v>
                </c:pt>
                <c:pt idx="37">
                  <c:v>0.63</c:v>
                </c:pt>
                <c:pt idx="38">
                  <c:v>0.64</c:v>
                </c:pt>
                <c:pt idx="39">
                  <c:v>0.65</c:v>
                </c:pt>
                <c:pt idx="40">
                  <c:v>0.66</c:v>
                </c:pt>
                <c:pt idx="41">
                  <c:v>0.67</c:v>
                </c:pt>
                <c:pt idx="42">
                  <c:v>0.68</c:v>
                </c:pt>
                <c:pt idx="43">
                  <c:v>0.69</c:v>
                </c:pt>
                <c:pt idx="44">
                  <c:v>0.7</c:v>
                </c:pt>
                <c:pt idx="45">
                  <c:v>0.71</c:v>
                </c:pt>
                <c:pt idx="46">
                  <c:v>0.72</c:v>
                </c:pt>
                <c:pt idx="47">
                  <c:v>0.73</c:v>
                </c:pt>
                <c:pt idx="48">
                  <c:v>0.74</c:v>
                </c:pt>
                <c:pt idx="49">
                  <c:v>0.75</c:v>
                </c:pt>
                <c:pt idx="50">
                  <c:v>0.76</c:v>
                </c:pt>
                <c:pt idx="51">
                  <c:v>0.77</c:v>
                </c:pt>
                <c:pt idx="52">
                  <c:v>0.78</c:v>
                </c:pt>
                <c:pt idx="53">
                  <c:v>0.79</c:v>
                </c:pt>
                <c:pt idx="54">
                  <c:v>0.8</c:v>
                </c:pt>
                <c:pt idx="55">
                  <c:v>0.81</c:v>
                </c:pt>
                <c:pt idx="56">
                  <c:v>0.82</c:v>
                </c:pt>
                <c:pt idx="57">
                  <c:v>0.83</c:v>
                </c:pt>
                <c:pt idx="58">
                  <c:v>0.84</c:v>
                </c:pt>
                <c:pt idx="59">
                  <c:v>0.85</c:v>
                </c:pt>
                <c:pt idx="60">
                  <c:v>0.86</c:v>
                </c:pt>
                <c:pt idx="61">
                  <c:v>0.87</c:v>
                </c:pt>
                <c:pt idx="62">
                  <c:v>0.88</c:v>
                </c:pt>
                <c:pt idx="63">
                  <c:v>0.89</c:v>
                </c:pt>
                <c:pt idx="64">
                  <c:v>0.9</c:v>
                </c:pt>
              </c:numCache>
            </c:numRef>
          </c:xVal>
          <c:yVal>
            <c:numRef>
              <c:f>Frontier!$Y$5:$Y$69</c:f>
              <c:numCache>
                <c:formatCode>General</c:formatCode>
                <c:ptCount val="65"/>
                <c:pt idx="0">
                  <c:v>37152.712376371019</c:v>
                </c:pt>
                <c:pt idx="1">
                  <c:v>42407.126923318778</c:v>
                </c:pt>
                <c:pt idx="2">
                  <c:v>51591.204760747372</c:v>
                </c:pt>
                <c:pt idx="3">
                  <c:v>42175.541488186158</c:v>
                </c:pt>
                <c:pt idx="4">
                  <c:v>44615.358528941208</c:v>
                </c:pt>
                <c:pt idx="5">
                  <c:v>45654.462662182385</c:v>
                </c:pt>
                <c:pt idx="6">
                  <c:v>50402.380621222255</c:v>
                </c:pt>
                <c:pt idx="7">
                  <c:v>49509.663152345507</c:v>
                </c:pt>
                <c:pt idx="8">
                  <c:v>45259.10282301456</c:v>
                </c:pt>
                <c:pt idx="9">
                  <c:v>41251.43165535968</c:v>
                </c:pt>
                <c:pt idx="10">
                  <c:v>50026.458512946178</c:v>
                </c:pt>
                <c:pt idx="11">
                  <c:v>46106.570768139347</c:v>
                </c:pt>
                <c:pt idx="12">
                  <c:v>49660.426829591786</c:v>
                </c:pt>
                <c:pt idx="13">
                  <c:v>50383.664367106328</c:v>
                </c:pt>
                <c:pt idx="14">
                  <c:v>47540.491974135184</c:v>
                </c:pt>
                <c:pt idx="15">
                  <c:v>52420.469024586717</c:v>
                </c:pt>
                <c:pt idx="16">
                  <c:v>49935.624750229974</c:v>
                </c:pt>
                <c:pt idx="17">
                  <c:v>54532.925361681555</c:v>
                </c:pt>
                <c:pt idx="18">
                  <c:v>51853.921800012889</c:v>
                </c:pt>
                <c:pt idx="19">
                  <c:v>56204.26911651589</c:v>
                </c:pt>
                <c:pt idx="20">
                  <c:v>56855.126593513931</c:v>
                </c:pt>
                <c:pt idx="21">
                  <c:v>57975.929165690781</c:v>
                </c:pt>
                <c:pt idx="22">
                  <c:v>58325.252979011442</c:v>
                </c:pt>
                <c:pt idx="23">
                  <c:v>60895.682911907301</c:v>
                </c:pt>
                <c:pt idx="24">
                  <c:v>59905.774070736021</c:v>
                </c:pt>
                <c:pt idx="25">
                  <c:v>62344.412220151164</c:v>
                </c:pt>
                <c:pt idx="26">
                  <c:v>59927.342151460951</c:v>
                </c:pt>
                <c:pt idx="27">
                  <c:v>63468.704583370141</c:v>
                </c:pt>
                <c:pt idx="28">
                  <c:v>63888.612147723034</c:v>
                </c:pt>
                <c:pt idx="29">
                  <c:v>64718.507335688519</c:v>
                </c:pt>
                <c:pt idx="30">
                  <c:v>64897.524565499138</c:v>
                </c:pt>
                <c:pt idx="31">
                  <c:v>65680.600406206635</c:v>
                </c:pt>
                <c:pt idx="32">
                  <c:v>66033.412693313861</c:v>
                </c:pt>
                <c:pt idx="33">
                  <c:v>63840.588217973964</c:v>
                </c:pt>
                <c:pt idx="34">
                  <c:v>65847.85040918953</c:v>
                </c:pt>
                <c:pt idx="35">
                  <c:v>68827.714354000331</c:v>
                </c:pt>
                <c:pt idx="36">
                  <c:v>69107.004655684606</c:v>
                </c:pt>
                <c:pt idx="37">
                  <c:v>69748.684700607482</c:v>
                </c:pt>
                <c:pt idx="38">
                  <c:v>69826.728255364898</c:v>
                </c:pt>
                <c:pt idx="39">
                  <c:v>70437.591628141236</c:v>
                </c:pt>
                <c:pt idx="40">
                  <c:v>70675.563164963707</c:v>
                </c:pt>
                <c:pt idx="41">
                  <c:v>68675.282649789049</c:v>
                </c:pt>
                <c:pt idx="42">
                  <c:v>71306.816008507551</c:v>
                </c:pt>
                <c:pt idx="43">
                  <c:v>72944.055192310465</c:v>
                </c:pt>
                <c:pt idx="44">
                  <c:v>70997.093955966906</c:v>
                </c:pt>
                <c:pt idx="45">
                  <c:v>73645.300969206655</c:v>
                </c:pt>
                <c:pt idx="46">
                  <c:v>74143.739115270844</c:v>
                </c:pt>
                <c:pt idx="47">
                  <c:v>74151.954637049072</c:v>
                </c:pt>
                <c:pt idx="48">
                  <c:v>73303.958504836817</c:v>
                </c:pt>
                <c:pt idx="49">
                  <c:v>72478.575602816913</c:v>
                </c:pt>
                <c:pt idx="50">
                  <c:v>73949.598551344418</c:v>
                </c:pt>
                <c:pt idx="51">
                  <c:v>75234.35803558107</c:v>
                </c:pt>
                <c:pt idx="52">
                  <c:v>74415.971917860064</c:v>
                </c:pt>
                <c:pt idx="53">
                  <c:v>79570.471805561989</c:v>
                </c:pt>
                <c:pt idx="54">
                  <c:v>78718.343918659259</c:v>
                </c:pt>
                <c:pt idx="55">
                  <c:v>76209.857394751874</c:v>
                </c:pt>
                <c:pt idx="56">
                  <c:v>79045.656502239639</c:v>
                </c:pt>
                <c:pt idx="57">
                  <c:v>80313.495817765754</c:v>
                </c:pt>
                <c:pt idx="58">
                  <c:v>83032.923060515546</c:v>
                </c:pt>
                <c:pt idx="59">
                  <c:v>84224.021844402509</c:v>
                </c:pt>
                <c:pt idx="60">
                  <c:v>86834.73536026699</c:v>
                </c:pt>
                <c:pt idx="61">
                  <c:v>89385.432473467925</c:v>
                </c:pt>
                <c:pt idx="62">
                  <c:v>86955.267734930341</c:v>
                </c:pt>
                <c:pt idx="63">
                  <c:v>90642.905323380517</c:v>
                </c:pt>
                <c:pt idx="64">
                  <c:v>90500.947384150291</c:v>
                </c:pt>
              </c:numCache>
            </c:numRef>
          </c:yVal>
          <c:smooth val="0"/>
          <c:extLst>
            <c:ext xmlns:c16="http://schemas.microsoft.com/office/drawing/2014/chart" uri="{C3380CC4-5D6E-409C-BE32-E72D297353CC}">
              <c16:uniqueId val="{00000001-1A7C-41C3-BDCA-436E2BEB5A3F}"/>
            </c:ext>
          </c:extLst>
        </c:ser>
        <c:dLbls>
          <c:showLegendKey val="0"/>
          <c:showVal val="0"/>
          <c:showCatName val="0"/>
          <c:showSerName val="0"/>
          <c:showPercent val="0"/>
          <c:showBubbleSize val="0"/>
        </c:dLbls>
        <c:axId val="1713931647"/>
        <c:axId val="1713923487"/>
      </c:scatterChart>
      <c:valAx>
        <c:axId val="17139316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Coverage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713923487"/>
        <c:crosses val="autoZero"/>
        <c:crossBetween val="midCat"/>
      </c:valAx>
      <c:valAx>
        <c:axId val="1713923487"/>
        <c:scaling>
          <c:orientation val="minMax"/>
          <c:min val="3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per percentage coverage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_(* #,##0_);_(* \(#,##0\);_(* &quot;-&quot;_);_(@_)"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7139316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89647</xdr:colOff>
      <xdr:row>33</xdr:row>
      <xdr:rowOff>179295</xdr:rowOff>
    </xdr:from>
    <xdr:to>
      <xdr:col>4</xdr:col>
      <xdr:colOff>1064558</xdr:colOff>
      <xdr:row>45</xdr:row>
      <xdr:rowOff>112059</xdr:rowOff>
    </xdr:to>
    <xdr:cxnSp macro="">
      <xdr:nvCxnSpPr>
        <xdr:cNvPr id="2" name="Conector recto de flecha 1">
          <a:extLst>
            <a:ext uri="{FF2B5EF4-FFF2-40B4-BE49-F238E27FC236}">
              <a16:creationId xmlns:a16="http://schemas.microsoft.com/office/drawing/2014/main" id="{4E8A3F58-F04C-4C3F-9C1F-308B654E1ED8}"/>
            </a:ext>
          </a:extLst>
        </xdr:cNvPr>
        <xdr:cNvCxnSpPr/>
      </xdr:nvCxnSpPr>
      <xdr:spPr>
        <a:xfrm flipV="1">
          <a:off x="5065059" y="8751795"/>
          <a:ext cx="974911" cy="2297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112059</xdr:colOff>
      <xdr:row>45</xdr:row>
      <xdr:rowOff>168088</xdr:rowOff>
    </xdr:from>
    <xdr:to>
      <xdr:col>4</xdr:col>
      <xdr:colOff>997323</xdr:colOff>
      <xdr:row>65</xdr:row>
      <xdr:rowOff>44823</xdr:rowOff>
    </xdr:to>
    <xdr:cxnSp macro="">
      <xdr:nvCxnSpPr>
        <xdr:cNvPr id="3" name="Conector recto de flecha 2">
          <a:extLst>
            <a:ext uri="{FF2B5EF4-FFF2-40B4-BE49-F238E27FC236}">
              <a16:creationId xmlns:a16="http://schemas.microsoft.com/office/drawing/2014/main" id="{B7D890FF-C26F-4614-80EA-C59F7E950B80}"/>
            </a:ext>
          </a:extLst>
        </xdr:cNvPr>
        <xdr:cNvCxnSpPr/>
      </xdr:nvCxnSpPr>
      <xdr:spPr>
        <a:xfrm>
          <a:off x="5087471" y="11486029"/>
          <a:ext cx="885264" cy="2924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183615</xdr:colOff>
      <xdr:row>44</xdr:row>
      <xdr:rowOff>31997</xdr:rowOff>
    </xdr:from>
    <xdr:to>
      <xdr:col>2</xdr:col>
      <xdr:colOff>1067259</xdr:colOff>
      <xdr:row>45</xdr:row>
      <xdr:rowOff>171059</xdr:rowOff>
    </xdr:to>
    <xdr:sp macro="" textlink="">
      <xdr:nvSpPr>
        <xdr:cNvPr id="4" name="Flecha: a la derecha 3">
          <a:extLst>
            <a:ext uri="{FF2B5EF4-FFF2-40B4-BE49-F238E27FC236}">
              <a16:creationId xmlns:a16="http://schemas.microsoft.com/office/drawing/2014/main" id="{CC81ECC1-A926-4DF0-86D1-42561FC2D622}"/>
            </a:ext>
          </a:extLst>
        </xdr:cNvPr>
        <xdr:cNvSpPr/>
      </xdr:nvSpPr>
      <xdr:spPr>
        <a:xfrm>
          <a:off x="2237802" y="10050461"/>
          <a:ext cx="883644" cy="3341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6</xdr:col>
      <xdr:colOff>44823</xdr:colOff>
      <xdr:row>26</xdr:row>
      <xdr:rowOff>22412</xdr:rowOff>
    </xdr:from>
    <xdr:to>
      <xdr:col>6</xdr:col>
      <xdr:colOff>2028264</xdr:colOff>
      <xdr:row>33</xdr:row>
      <xdr:rowOff>212917</xdr:rowOff>
    </xdr:to>
    <xdr:cxnSp macro="">
      <xdr:nvCxnSpPr>
        <xdr:cNvPr id="16" name="Conector recto de flecha 15">
          <a:extLst>
            <a:ext uri="{FF2B5EF4-FFF2-40B4-BE49-F238E27FC236}">
              <a16:creationId xmlns:a16="http://schemas.microsoft.com/office/drawing/2014/main" id="{CBB78DE9-1DD3-435E-861B-B651C9999049}"/>
            </a:ext>
          </a:extLst>
        </xdr:cNvPr>
        <xdr:cNvCxnSpPr/>
      </xdr:nvCxnSpPr>
      <xdr:spPr>
        <a:xfrm flipV="1">
          <a:off x="8359588" y="7642412"/>
          <a:ext cx="1983441" cy="15240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67235</xdr:colOff>
      <xdr:row>33</xdr:row>
      <xdr:rowOff>212913</xdr:rowOff>
    </xdr:from>
    <xdr:to>
      <xdr:col>6</xdr:col>
      <xdr:colOff>2061882</xdr:colOff>
      <xdr:row>38</xdr:row>
      <xdr:rowOff>56030</xdr:rowOff>
    </xdr:to>
    <xdr:cxnSp macro="">
      <xdr:nvCxnSpPr>
        <xdr:cNvPr id="17" name="Conector recto de flecha 16">
          <a:extLst>
            <a:ext uri="{FF2B5EF4-FFF2-40B4-BE49-F238E27FC236}">
              <a16:creationId xmlns:a16="http://schemas.microsoft.com/office/drawing/2014/main" id="{3C7388CF-BFE5-48FF-96D6-D08812CFDC61}"/>
            </a:ext>
          </a:extLst>
        </xdr:cNvPr>
        <xdr:cNvCxnSpPr/>
      </xdr:nvCxnSpPr>
      <xdr:spPr>
        <a:xfrm>
          <a:off x="8382000" y="9166413"/>
          <a:ext cx="1994647" cy="8740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44823</xdr:colOff>
      <xdr:row>23</xdr:row>
      <xdr:rowOff>11475</xdr:rowOff>
    </xdr:from>
    <xdr:to>
      <xdr:col>8</xdr:col>
      <xdr:colOff>2157470</xdr:colOff>
      <xdr:row>25</xdr:row>
      <xdr:rowOff>168090</xdr:rowOff>
    </xdr:to>
    <xdr:cxnSp macro="">
      <xdr:nvCxnSpPr>
        <xdr:cNvPr id="20" name="Conector recto de flecha 19">
          <a:extLst>
            <a:ext uri="{FF2B5EF4-FFF2-40B4-BE49-F238E27FC236}">
              <a16:creationId xmlns:a16="http://schemas.microsoft.com/office/drawing/2014/main" id="{B03EF810-83CC-4C4E-BF2E-8AF71AEDA6B1}"/>
            </a:ext>
          </a:extLst>
        </xdr:cNvPr>
        <xdr:cNvCxnSpPr/>
      </xdr:nvCxnSpPr>
      <xdr:spPr>
        <a:xfrm flipV="1">
          <a:off x="8341901" y="8400361"/>
          <a:ext cx="2112647" cy="5467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67235</xdr:colOff>
      <xdr:row>25</xdr:row>
      <xdr:rowOff>156882</xdr:rowOff>
    </xdr:from>
    <xdr:to>
      <xdr:col>8</xdr:col>
      <xdr:colOff>1860177</xdr:colOff>
      <xdr:row>28</xdr:row>
      <xdr:rowOff>33618</xdr:rowOff>
    </xdr:to>
    <xdr:cxnSp macro="">
      <xdr:nvCxnSpPr>
        <xdr:cNvPr id="21" name="Conector recto de flecha 20">
          <a:extLst>
            <a:ext uri="{FF2B5EF4-FFF2-40B4-BE49-F238E27FC236}">
              <a16:creationId xmlns:a16="http://schemas.microsoft.com/office/drawing/2014/main" id="{9BF6C575-E5C9-4713-B3A6-983CEBEBC5DE}"/>
            </a:ext>
          </a:extLst>
        </xdr:cNvPr>
        <xdr:cNvCxnSpPr/>
      </xdr:nvCxnSpPr>
      <xdr:spPr>
        <a:xfrm>
          <a:off x="12696264" y="8157882"/>
          <a:ext cx="1792942" cy="448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952500</xdr:colOff>
      <xdr:row>29</xdr:row>
      <xdr:rowOff>0</xdr:rowOff>
    </xdr:from>
    <xdr:to>
      <xdr:col>20</xdr:col>
      <xdr:colOff>390180</xdr:colOff>
      <xdr:row>39</xdr:row>
      <xdr:rowOff>183614</xdr:rowOff>
    </xdr:to>
    <xdr:cxnSp macro="">
      <xdr:nvCxnSpPr>
        <xdr:cNvPr id="22" name="Conector recto de flecha 21">
          <a:extLst>
            <a:ext uri="{FF2B5EF4-FFF2-40B4-BE49-F238E27FC236}">
              <a16:creationId xmlns:a16="http://schemas.microsoft.com/office/drawing/2014/main" id="{08E48D3C-3F5B-4C26-A294-C7616DA748E9}"/>
            </a:ext>
          </a:extLst>
        </xdr:cNvPr>
        <xdr:cNvCxnSpPr/>
      </xdr:nvCxnSpPr>
      <xdr:spPr>
        <a:xfrm>
          <a:off x="27319941" y="8191500"/>
          <a:ext cx="3079592" cy="21670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930088</xdr:colOff>
      <xdr:row>50</xdr:row>
      <xdr:rowOff>126235</xdr:rowOff>
    </xdr:from>
    <xdr:to>
      <xdr:col>20</xdr:col>
      <xdr:colOff>413132</xdr:colOff>
      <xdr:row>61</xdr:row>
      <xdr:rowOff>123265</xdr:rowOff>
    </xdr:to>
    <xdr:cxnSp macro="">
      <xdr:nvCxnSpPr>
        <xdr:cNvPr id="25" name="Conector recto de flecha 24">
          <a:extLst>
            <a:ext uri="{FF2B5EF4-FFF2-40B4-BE49-F238E27FC236}">
              <a16:creationId xmlns:a16="http://schemas.microsoft.com/office/drawing/2014/main" id="{D55F2274-BC63-4BF9-83A9-80474407050A}"/>
            </a:ext>
          </a:extLst>
        </xdr:cNvPr>
        <xdr:cNvCxnSpPr/>
      </xdr:nvCxnSpPr>
      <xdr:spPr>
        <a:xfrm flipV="1">
          <a:off x="27297529" y="12396676"/>
          <a:ext cx="3124956" cy="13305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918882</xdr:colOff>
      <xdr:row>58</xdr:row>
      <xdr:rowOff>56030</xdr:rowOff>
    </xdr:from>
    <xdr:to>
      <xdr:col>18</xdr:col>
      <xdr:colOff>918882</xdr:colOff>
      <xdr:row>64</xdr:row>
      <xdr:rowOff>0</xdr:rowOff>
    </xdr:to>
    <xdr:cxnSp macro="">
      <xdr:nvCxnSpPr>
        <xdr:cNvPr id="15" name="Conector recto 14">
          <a:extLst>
            <a:ext uri="{FF2B5EF4-FFF2-40B4-BE49-F238E27FC236}">
              <a16:creationId xmlns:a16="http://schemas.microsoft.com/office/drawing/2014/main" id="{5CB33B45-D02F-4D1B-BB25-15FABE4EA22C}"/>
            </a:ext>
          </a:extLst>
        </xdr:cNvPr>
        <xdr:cNvCxnSpPr/>
      </xdr:nvCxnSpPr>
      <xdr:spPr>
        <a:xfrm>
          <a:off x="27286323" y="13088471"/>
          <a:ext cx="0" cy="10869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930088</xdr:colOff>
      <xdr:row>26</xdr:row>
      <xdr:rowOff>44824</xdr:rowOff>
    </xdr:from>
    <xdr:to>
      <xdr:col>18</xdr:col>
      <xdr:colOff>930088</xdr:colOff>
      <xdr:row>31</xdr:row>
      <xdr:rowOff>168088</xdr:rowOff>
    </xdr:to>
    <xdr:cxnSp macro="">
      <xdr:nvCxnSpPr>
        <xdr:cNvPr id="34" name="Conector recto 33">
          <a:extLst>
            <a:ext uri="{FF2B5EF4-FFF2-40B4-BE49-F238E27FC236}">
              <a16:creationId xmlns:a16="http://schemas.microsoft.com/office/drawing/2014/main" id="{7FD6EFF5-EF2F-4523-85E3-B0325C74ABB9}"/>
            </a:ext>
          </a:extLst>
        </xdr:cNvPr>
        <xdr:cNvCxnSpPr/>
      </xdr:nvCxnSpPr>
      <xdr:spPr>
        <a:xfrm>
          <a:off x="27297529" y="7664824"/>
          <a:ext cx="0" cy="10757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1044308</xdr:colOff>
      <xdr:row>16</xdr:row>
      <xdr:rowOff>172137</xdr:rowOff>
    </xdr:from>
    <xdr:to>
      <xdr:col>23</xdr:col>
      <xdr:colOff>305532</xdr:colOff>
      <xdr:row>72</xdr:row>
      <xdr:rowOff>30379</xdr:rowOff>
    </xdr:to>
    <xdr:sp macro="" textlink="">
      <xdr:nvSpPr>
        <xdr:cNvPr id="7" name="Cerrar llave 6">
          <a:extLst>
            <a:ext uri="{FF2B5EF4-FFF2-40B4-BE49-F238E27FC236}">
              <a16:creationId xmlns:a16="http://schemas.microsoft.com/office/drawing/2014/main" id="{3C6CAA36-F370-4377-98CD-D5FBA9EC029A}"/>
            </a:ext>
          </a:extLst>
        </xdr:cNvPr>
        <xdr:cNvSpPr/>
      </xdr:nvSpPr>
      <xdr:spPr>
        <a:xfrm>
          <a:off x="33830965" y="6024848"/>
          <a:ext cx="1143272" cy="9681615"/>
        </a:xfrm>
        <a:prstGeom prst="rightBrace">
          <a:avLst>
            <a:gd name="adj1" fmla="val 171904"/>
            <a:gd name="adj2" fmla="val 50358"/>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6</xdr:col>
      <xdr:colOff>33617</xdr:colOff>
      <xdr:row>58</xdr:row>
      <xdr:rowOff>145676</xdr:rowOff>
    </xdr:from>
    <xdr:to>
      <xdr:col>6</xdr:col>
      <xdr:colOff>2039470</xdr:colOff>
      <xdr:row>66</xdr:row>
      <xdr:rowOff>5</xdr:rowOff>
    </xdr:to>
    <xdr:cxnSp macro="">
      <xdr:nvCxnSpPr>
        <xdr:cNvPr id="8" name="Conector recto de flecha 15">
          <a:extLst>
            <a:ext uri="{FF2B5EF4-FFF2-40B4-BE49-F238E27FC236}">
              <a16:creationId xmlns:a16="http://schemas.microsoft.com/office/drawing/2014/main" id="{5C8A0AC9-6E69-441C-9189-75FBA8467EA0}"/>
            </a:ext>
          </a:extLst>
        </xdr:cNvPr>
        <xdr:cNvCxnSpPr/>
      </xdr:nvCxnSpPr>
      <xdr:spPr>
        <a:xfrm flipV="1">
          <a:off x="8348382" y="13178117"/>
          <a:ext cx="2005853" cy="13783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56029</xdr:colOff>
      <xdr:row>66</xdr:row>
      <xdr:rowOff>1</xdr:rowOff>
    </xdr:from>
    <xdr:to>
      <xdr:col>6</xdr:col>
      <xdr:colOff>2028265</xdr:colOff>
      <xdr:row>70</xdr:row>
      <xdr:rowOff>67235</xdr:rowOff>
    </xdr:to>
    <xdr:cxnSp macro="">
      <xdr:nvCxnSpPr>
        <xdr:cNvPr id="9" name="Conector recto de flecha 16">
          <a:extLst>
            <a:ext uri="{FF2B5EF4-FFF2-40B4-BE49-F238E27FC236}">
              <a16:creationId xmlns:a16="http://schemas.microsoft.com/office/drawing/2014/main" id="{A8BEA982-1620-42D1-A51B-3EFF4FDC1406}"/>
            </a:ext>
          </a:extLst>
        </xdr:cNvPr>
        <xdr:cNvCxnSpPr/>
      </xdr:nvCxnSpPr>
      <xdr:spPr>
        <a:xfrm>
          <a:off x="8370794" y="14556442"/>
          <a:ext cx="1972236" cy="8292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44823</xdr:colOff>
      <xdr:row>34</xdr:row>
      <xdr:rowOff>11475</xdr:rowOff>
    </xdr:from>
    <xdr:to>
      <xdr:col>8</xdr:col>
      <xdr:colOff>2157470</xdr:colOff>
      <xdr:row>36</xdr:row>
      <xdr:rowOff>168090</xdr:rowOff>
    </xdr:to>
    <xdr:cxnSp macro="">
      <xdr:nvCxnSpPr>
        <xdr:cNvPr id="29" name="Conector recto de flecha 19">
          <a:extLst>
            <a:ext uri="{FF2B5EF4-FFF2-40B4-BE49-F238E27FC236}">
              <a16:creationId xmlns:a16="http://schemas.microsoft.com/office/drawing/2014/main" id="{DEA9C882-525D-4E2C-A118-3B7FAC675E4E}"/>
            </a:ext>
          </a:extLst>
        </xdr:cNvPr>
        <xdr:cNvCxnSpPr/>
      </xdr:nvCxnSpPr>
      <xdr:spPr>
        <a:xfrm flipV="1">
          <a:off x="12673852" y="7059975"/>
          <a:ext cx="1826897" cy="5376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67235</xdr:colOff>
      <xdr:row>36</xdr:row>
      <xdr:rowOff>156882</xdr:rowOff>
    </xdr:from>
    <xdr:to>
      <xdr:col>8</xdr:col>
      <xdr:colOff>1860177</xdr:colOff>
      <xdr:row>39</xdr:row>
      <xdr:rowOff>33618</xdr:rowOff>
    </xdr:to>
    <xdr:cxnSp macro="">
      <xdr:nvCxnSpPr>
        <xdr:cNvPr id="30" name="Conector recto de flecha 20">
          <a:extLst>
            <a:ext uri="{FF2B5EF4-FFF2-40B4-BE49-F238E27FC236}">
              <a16:creationId xmlns:a16="http://schemas.microsoft.com/office/drawing/2014/main" id="{8D0D5630-D2DB-4E03-A5AF-00C8E5A20AEE}"/>
            </a:ext>
          </a:extLst>
        </xdr:cNvPr>
        <xdr:cNvCxnSpPr/>
      </xdr:nvCxnSpPr>
      <xdr:spPr>
        <a:xfrm>
          <a:off x="12696264" y="7586382"/>
          <a:ext cx="1792942" cy="448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44823</xdr:colOff>
      <xdr:row>56</xdr:row>
      <xdr:rowOff>11475</xdr:rowOff>
    </xdr:from>
    <xdr:to>
      <xdr:col>8</xdr:col>
      <xdr:colOff>2157470</xdr:colOff>
      <xdr:row>58</xdr:row>
      <xdr:rowOff>168090</xdr:rowOff>
    </xdr:to>
    <xdr:cxnSp macro="">
      <xdr:nvCxnSpPr>
        <xdr:cNvPr id="31" name="Conector recto de flecha 19">
          <a:extLst>
            <a:ext uri="{FF2B5EF4-FFF2-40B4-BE49-F238E27FC236}">
              <a16:creationId xmlns:a16="http://schemas.microsoft.com/office/drawing/2014/main" id="{6C994D1C-61CB-4805-8BC4-825F996B49F7}"/>
            </a:ext>
          </a:extLst>
        </xdr:cNvPr>
        <xdr:cNvCxnSpPr/>
      </xdr:nvCxnSpPr>
      <xdr:spPr>
        <a:xfrm flipV="1">
          <a:off x="12673852" y="8852916"/>
          <a:ext cx="1826897" cy="5376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67235</xdr:colOff>
      <xdr:row>58</xdr:row>
      <xdr:rowOff>156882</xdr:rowOff>
    </xdr:from>
    <xdr:to>
      <xdr:col>8</xdr:col>
      <xdr:colOff>1860177</xdr:colOff>
      <xdr:row>61</xdr:row>
      <xdr:rowOff>33618</xdr:rowOff>
    </xdr:to>
    <xdr:cxnSp macro="">
      <xdr:nvCxnSpPr>
        <xdr:cNvPr id="32" name="Conector recto de flecha 20">
          <a:extLst>
            <a:ext uri="{FF2B5EF4-FFF2-40B4-BE49-F238E27FC236}">
              <a16:creationId xmlns:a16="http://schemas.microsoft.com/office/drawing/2014/main" id="{EE89B7C3-ABDB-4E51-ADE5-FA1F6B098FDA}"/>
            </a:ext>
          </a:extLst>
        </xdr:cNvPr>
        <xdr:cNvCxnSpPr/>
      </xdr:nvCxnSpPr>
      <xdr:spPr>
        <a:xfrm>
          <a:off x="12696264" y="9379323"/>
          <a:ext cx="1792942" cy="448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44823</xdr:colOff>
      <xdr:row>66</xdr:row>
      <xdr:rowOff>11475</xdr:rowOff>
    </xdr:from>
    <xdr:to>
      <xdr:col>8</xdr:col>
      <xdr:colOff>2157470</xdr:colOff>
      <xdr:row>68</xdr:row>
      <xdr:rowOff>168090</xdr:rowOff>
    </xdr:to>
    <xdr:cxnSp macro="">
      <xdr:nvCxnSpPr>
        <xdr:cNvPr id="33" name="Conector recto de flecha 19">
          <a:extLst>
            <a:ext uri="{FF2B5EF4-FFF2-40B4-BE49-F238E27FC236}">
              <a16:creationId xmlns:a16="http://schemas.microsoft.com/office/drawing/2014/main" id="{CFCCFEC3-8F82-493C-A2A1-C5F558C0658C}"/>
            </a:ext>
          </a:extLst>
        </xdr:cNvPr>
        <xdr:cNvCxnSpPr/>
      </xdr:nvCxnSpPr>
      <xdr:spPr>
        <a:xfrm flipV="1">
          <a:off x="12673852" y="12281916"/>
          <a:ext cx="1826897" cy="5376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67235</xdr:colOff>
      <xdr:row>68</xdr:row>
      <xdr:rowOff>156882</xdr:rowOff>
    </xdr:from>
    <xdr:to>
      <xdr:col>8</xdr:col>
      <xdr:colOff>1860177</xdr:colOff>
      <xdr:row>71</xdr:row>
      <xdr:rowOff>33618</xdr:rowOff>
    </xdr:to>
    <xdr:cxnSp macro="">
      <xdr:nvCxnSpPr>
        <xdr:cNvPr id="35" name="Conector recto de flecha 20">
          <a:extLst>
            <a:ext uri="{FF2B5EF4-FFF2-40B4-BE49-F238E27FC236}">
              <a16:creationId xmlns:a16="http://schemas.microsoft.com/office/drawing/2014/main" id="{F76786E3-1F4D-4726-824A-A76F90776317}"/>
            </a:ext>
          </a:extLst>
        </xdr:cNvPr>
        <xdr:cNvCxnSpPr/>
      </xdr:nvCxnSpPr>
      <xdr:spPr>
        <a:xfrm>
          <a:off x="12696264" y="12808323"/>
          <a:ext cx="1792942" cy="448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544286</xdr:colOff>
      <xdr:row>12</xdr:row>
      <xdr:rowOff>163286</xdr:rowOff>
    </xdr:from>
    <xdr:ext cx="1973035" cy="3075214"/>
    <xdr:sp macro="" textlink="">
      <xdr:nvSpPr>
        <xdr:cNvPr id="28" name="TextBox 27">
          <a:extLst>
            <a:ext uri="{FF2B5EF4-FFF2-40B4-BE49-F238E27FC236}">
              <a16:creationId xmlns:a16="http://schemas.microsoft.com/office/drawing/2014/main" id="{AB6F139D-795F-8CCB-E805-BF5BC5B4BAC2}"/>
            </a:ext>
          </a:extLst>
        </xdr:cNvPr>
        <xdr:cNvSpPr txBox="1"/>
      </xdr:nvSpPr>
      <xdr:spPr>
        <a:xfrm>
          <a:off x="857250" y="2476500"/>
          <a:ext cx="1973035" cy="3075214"/>
        </a:xfrm>
        <a:prstGeom prst="rect">
          <a:avLst/>
        </a:prstGeom>
        <a:noFill/>
        <a:ln>
          <a:solidFill>
            <a:schemeClr val="bg1">
              <a:lumMod val="75000"/>
            </a:schemeClr>
          </a:solidFill>
          <a:prstDash val="sys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nl-NL" sz="1400">
              <a:solidFill>
                <a:schemeClr val="accent3">
                  <a:lumMod val="75000"/>
                </a:schemeClr>
              </a:solidFill>
            </a:rPr>
            <a:t>All the scenarios on</a:t>
          </a:r>
          <a:r>
            <a:rPr lang="nl-NL" sz="1400" baseline="0">
              <a:solidFill>
                <a:schemeClr val="accent3">
                  <a:lumMod val="75000"/>
                </a:schemeClr>
              </a:solidFill>
            </a:rPr>
            <a:t> the list allow to achieve high coverage (&gt;70%), while minimizing the cost per percentage coverage reached.</a:t>
          </a:r>
        </a:p>
        <a:p>
          <a:pPr algn="ctr"/>
          <a:endParaRPr lang="nl-NL" sz="1400" baseline="0">
            <a:solidFill>
              <a:schemeClr val="accent3">
                <a:lumMod val="75000"/>
              </a:schemeClr>
            </a:solidFill>
          </a:endParaRPr>
        </a:p>
        <a:p>
          <a:pPr algn="ctr"/>
          <a:r>
            <a:rPr lang="nl-NL" sz="1400" baseline="0">
              <a:solidFill>
                <a:schemeClr val="accent3">
                  <a:lumMod val="75000"/>
                </a:schemeClr>
              </a:solidFill>
            </a:rPr>
            <a:t>Note: For DRC Total</a:t>
          </a:r>
        </a:p>
        <a:p>
          <a:pPr algn="ctr"/>
          <a:r>
            <a:rPr lang="nl-NL" sz="1400" baseline="0">
              <a:solidFill>
                <a:schemeClr val="accent3">
                  <a:lumMod val="75000"/>
                </a:schemeClr>
              </a:solidFill>
            </a:rPr>
            <a:t>Some provinces may benefit from other schemes. </a:t>
          </a:r>
        </a:p>
      </xdr:txBody>
    </xdr:sp>
    <xdr:clientData/>
  </xdr:oneCellAnchor>
  <xdr:twoCellAnchor>
    <xdr:from>
      <xdr:col>2</xdr:col>
      <xdr:colOff>748393</xdr:colOff>
      <xdr:row>12</xdr:row>
      <xdr:rowOff>149679</xdr:rowOff>
    </xdr:from>
    <xdr:to>
      <xdr:col>3</xdr:col>
      <xdr:colOff>122464</xdr:colOff>
      <xdr:row>28</xdr:row>
      <xdr:rowOff>176894</xdr:rowOff>
    </xdr:to>
    <xdr:sp macro="" textlink="">
      <xdr:nvSpPr>
        <xdr:cNvPr id="38" name="Isosceles Triangle 37">
          <a:extLst>
            <a:ext uri="{FF2B5EF4-FFF2-40B4-BE49-F238E27FC236}">
              <a16:creationId xmlns:a16="http://schemas.microsoft.com/office/drawing/2014/main" id="{BAAD87B2-D2D9-0189-A87A-01B0227E34DE}"/>
            </a:ext>
          </a:extLst>
        </xdr:cNvPr>
        <xdr:cNvSpPr/>
      </xdr:nvSpPr>
      <xdr:spPr>
        <a:xfrm rot="5400000">
          <a:off x="1653267" y="3721555"/>
          <a:ext cx="3075215" cy="557892"/>
        </a:xfrm>
        <a:prstGeom prst="triangle">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896472</xdr:colOff>
      <xdr:row>1</xdr:row>
      <xdr:rowOff>11207</xdr:rowOff>
    </xdr:from>
    <xdr:to>
      <xdr:col>16</xdr:col>
      <xdr:colOff>33620</xdr:colOff>
      <xdr:row>4</xdr:row>
      <xdr:rowOff>145677</xdr:rowOff>
    </xdr:to>
    <xdr:sp macro="" textlink="">
      <xdr:nvSpPr>
        <xdr:cNvPr id="4" name="Speech Bubble: Rectangle 3">
          <a:extLst>
            <a:ext uri="{FF2B5EF4-FFF2-40B4-BE49-F238E27FC236}">
              <a16:creationId xmlns:a16="http://schemas.microsoft.com/office/drawing/2014/main" id="{63489D30-968A-9AF8-4D29-DB0AB2400A23}"/>
            </a:ext>
          </a:extLst>
        </xdr:cNvPr>
        <xdr:cNvSpPr/>
      </xdr:nvSpPr>
      <xdr:spPr>
        <a:xfrm>
          <a:off x="15609796" y="201707"/>
          <a:ext cx="2947148" cy="705970"/>
        </a:xfrm>
        <a:prstGeom prst="wedgeRectCallout">
          <a:avLst>
            <a:gd name="adj1" fmla="val -44754"/>
            <a:gd name="adj2" fmla="val 140771"/>
          </a:avLst>
        </a:prstGeom>
        <a:solidFill>
          <a:srgbClr val="C0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l-NL" sz="1100"/>
            <a:t>Filter out scenarios in the frontier,</a:t>
          </a:r>
          <a:r>
            <a:rPr lang="nl-NL" sz="1100" baseline="0"/>
            <a:t> that is, scenarios where coverage is maximized at the lowest cost.</a:t>
          </a:r>
          <a:endParaRPr lang="nl-N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3362</xdr:colOff>
      <xdr:row>1</xdr:row>
      <xdr:rowOff>0</xdr:rowOff>
    </xdr:from>
    <xdr:to>
      <xdr:col>12</xdr:col>
      <xdr:colOff>110138</xdr:colOff>
      <xdr:row>28</xdr:row>
      <xdr:rowOff>65315</xdr:rowOff>
    </xdr:to>
    <xdr:graphicFrame macro="">
      <xdr:nvGraphicFramePr>
        <xdr:cNvPr id="2" name="Chart 1">
          <a:extLst>
            <a:ext uri="{FF2B5EF4-FFF2-40B4-BE49-F238E27FC236}">
              <a16:creationId xmlns:a16="http://schemas.microsoft.com/office/drawing/2014/main" id="{AADBC7AF-ACC7-4362-BB82-0BCFAC66B4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134471</xdr:colOff>
      <xdr:row>36</xdr:row>
      <xdr:rowOff>0</xdr:rowOff>
    </xdr:from>
    <xdr:to>
      <xdr:col>5</xdr:col>
      <xdr:colOff>1255059</xdr:colOff>
      <xdr:row>41</xdr:row>
      <xdr:rowOff>123266</xdr:rowOff>
    </xdr:to>
    <xdr:cxnSp macro="">
      <xdr:nvCxnSpPr>
        <xdr:cNvPr id="11" name="Conector recto de flecha 10">
          <a:extLst>
            <a:ext uri="{FF2B5EF4-FFF2-40B4-BE49-F238E27FC236}">
              <a16:creationId xmlns:a16="http://schemas.microsoft.com/office/drawing/2014/main" id="{9D15F4A9-A2A3-4661-BEEC-AE0EC50E5756}"/>
            </a:ext>
          </a:extLst>
        </xdr:cNvPr>
        <xdr:cNvCxnSpPr/>
      </xdr:nvCxnSpPr>
      <xdr:spPr>
        <a:xfrm flipV="1">
          <a:off x="5266765" y="6858000"/>
          <a:ext cx="1120588" cy="1075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134471</xdr:colOff>
      <xdr:row>41</xdr:row>
      <xdr:rowOff>123265</xdr:rowOff>
    </xdr:from>
    <xdr:to>
      <xdr:col>5</xdr:col>
      <xdr:colOff>1266265</xdr:colOff>
      <xdr:row>48</xdr:row>
      <xdr:rowOff>11206</xdr:rowOff>
    </xdr:to>
    <xdr:cxnSp macro="">
      <xdr:nvCxnSpPr>
        <xdr:cNvPr id="13" name="Conector recto de flecha 12">
          <a:extLst>
            <a:ext uri="{FF2B5EF4-FFF2-40B4-BE49-F238E27FC236}">
              <a16:creationId xmlns:a16="http://schemas.microsoft.com/office/drawing/2014/main" id="{A495D4BA-05AD-4DF4-9C3D-111C11413C5F}"/>
            </a:ext>
          </a:extLst>
        </xdr:cNvPr>
        <xdr:cNvCxnSpPr/>
      </xdr:nvCxnSpPr>
      <xdr:spPr>
        <a:xfrm>
          <a:off x="5266765" y="7933765"/>
          <a:ext cx="1131794" cy="1221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156882</xdr:colOff>
      <xdr:row>39</xdr:row>
      <xdr:rowOff>67236</xdr:rowOff>
    </xdr:from>
    <xdr:to>
      <xdr:col>3</xdr:col>
      <xdr:colOff>537882</xdr:colOff>
      <xdr:row>41</xdr:row>
      <xdr:rowOff>11207</xdr:rowOff>
    </xdr:to>
    <xdr:sp macro="" textlink="">
      <xdr:nvSpPr>
        <xdr:cNvPr id="16" name="Flecha: a la derecha 15">
          <a:extLst>
            <a:ext uri="{FF2B5EF4-FFF2-40B4-BE49-F238E27FC236}">
              <a16:creationId xmlns:a16="http://schemas.microsoft.com/office/drawing/2014/main" id="{A71D8574-4771-4CF9-84F2-72382FD438C3}"/>
            </a:ext>
          </a:extLst>
        </xdr:cNvPr>
        <xdr:cNvSpPr/>
      </xdr:nvSpPr>
      <xdr:spPr>
        <a:xfrm>
          <a:off x="3003176" y="8068236"/>
          <a:ext cx="381000" cy="3249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7</xdr:col>
      <xdr:colOff>212912</xdr:colOff>
      <xdr:row>34</xdr:row>
      <xdr:rowOff>123265</xdr:rowOff>
    </xdr:from>
    <xdr:to>
      <xdr:col>7</xdr:col>
      <xdr:colOff>593912</xdr:colOff>
      <xdr:row>36</xdr:row>
      <xdr:rowOff>67236</xdr:rowOff>
    </xdr:to>
    <xdr:sp macro="" textlink="">
      <xdr:nvSpPr>
        <xdr:cNvPr id="12" name="Flecha: a la derecha 11">
          <a:extLst>
            <a:ext uri="{FF2B5EF4-FFF2-40B4-BE49-F238E27FC236}">
              <a16:creationId xmlns:a16="http://schemas.microsoft.com/office/drawing/2014/main" id="{3D857C09-BE07-497C-B1AE-C32CF790625D}"/>
            </a:ext>
          </a:extLst>
        </xdr:cNvPr>
        <xdr:cNvSpPr/>
      </xdr:nvSpPr>
      <xdr:spPr>
        <a:xfrm>
          <a:off x="8695765" y="7171765"/>
          <a:ext cx="381000" cy="3249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7</xdr:col>
      <xdr:colOff>224118</xdr:colOff>
      <xdr:row>46</xdr:row>
      <xdr:rowOff>168088</xdr:rowOff>
    </xdr:from>
    <xdr:to>
      <xdr:col>7</xdr:col>
      <xdr:colOff>605118</xdr:colOff>
      <xdr:row>48</xdr:row>
      <xdr:rowOff>112059</xdr:rowOff>
    </xdr:to>
    <xdr:sp macro="" textlink="">
      <xdr:nvSpPr>
        <xdr:cNvPr id="14" name="Flecha: a la derecha 13">
          <a:extLst>
            <a:ext uri="{FF2B5EF4-FFF2-40B4-BE49-F238E27FC236}">
              <a16:creationId xmlns:a16="http://schemas.microsoft.com/office/drawing/2014/main" id="{84A614C4-955C-4961-853C-DD56D5532D62}"/>
            </a:ext>
          </a:extLst>
        </xdr:cNvPr>
        <xdr:cNvSpPr/>
      </xdr:nvSpPr>
      <xdr:spPr>
        <a:xfrm>
          <a:off x="8706971" y="9502588"/>
          <a:ext cx="381000" cy="3249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twoCellAnchor>
    <xdr:from>
      <xdr:col>10</xdr:col>
      <xdr:colOff>145676</xdr:colOff>
      <xdr:row>33</xdr:row>
      <xdr:rowOff>156882</xdr:rowOff>
    </xdr:from>
    <xdr:to>
      <xdr:col>10</xdr:col>
      <xdr:colOff>997324</xdr:colOff>
      <xdr:row>36</xdr:row>
      <xdr:rowOff>89648</xdr:rowOff>
    </xdr:to>
    <xdr:cxnSp macro="">
      <xdr:nvCxnSpPr>
        <xdr:cNvPr id="15" name="Conector recto de flecha 14">
          <a:extLst>
            <a:ext uri="{FF2B5EF4-FFF2-40B4-BE49-F238E27FC236}">
              <a16:creationId xmlns:a16="http://schemas.microsoft.com/office/drawing/2014/main" id="{EB1EF519-99FB-422D-8103-547ECC3C0FC4}"/>
            </a:ext>
          </a:extLst>
        </xdr:cNvPr>
        <xdr:cNvCxnSpPr/>
      </xdr:nvCxnSpPr>
      <xdr:spPr>
        <a:xfrm flipV="1">
          <a:off x="10992970" y="6824382"/>
          <a:ext cx="851648" cy="5042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129988</xdr:colOff>
      <xdr:row>36</xdr:row>
      <xdr:rowOff>96370</xdr:rowOff>
    </xdr:from>
    <xdr:to>
      <xdr:col>10</xdr:col>
      <xdr:colOff>997324</xdr:colOff>
      <xdr:row>38</xdr:row>
      <xdr:rowOff>89647</xdr:rowOff>
    </xdr:to>
    <xdr:cxnSp macro="">
      <xdr:nvCxnSpPr>
        <xdr:cNvPr id="17" name="Conector recto de flecha 16">
          <a:extLst>
            <a:ext uri="{FF2B5EF4-FFF2-40B4-BE49-F238E27FC236}">
              <a16:creationId xmlns:a16="http://schemas.microsoft.com/office/drawing/2014/main" id="{A009309E-CA74-4581-9D6C-BE43B41A86B3}"/>
            </a:ext>
          </a:extLst>
        </xdr:cNvPr>
        <xdr:cNvCxnSpPr/>
      </xdr:nvCxnSpPr>
      <xdr:spPr>
        <a:xfrm>
          <a:off x="10977282" y="7335370"/>
          <a:ext cx="867336" cy="3742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156882</xdr:colOff>
      <xdr:row>47</xdr:row>
      <xdr:rowOff>67235</xdr:rowOff>
    </xdr:from>
    <xdr:to>
      <xdr:col>10</xdr:col>
      <xdr:colOff>1024218</xdr:colOff>
      <xdr:row>49</xdr:row>
      <xdr:rowOff>60512</xdr:rowOff>
    </xdr:to>
    <xdr:cxnSp macro="">
      <xdr:nvCxnSpPr>
        <xdr:cNvPr id="18" name="Conector recto de flecha 17">
          <a:extLst>
            <a:ext uri="{FF2B5EF4-FFF2-40B4-BE49-F238E27FC236}">
              <a16:creationId xmlns:a16="http://schemas.microsoft.com/office/drawing/2014/main" id="{2B58F462-C271-4E17-982C-5DC1D277A03E}"/>
            </a:ext>
          </a:extLst>
        </xdr:cNvPr>
        <xdr:cNvCxnSpPr/>
      </xdr:nvCxnSpPr>
      <xdr:spPr>
        <a:xfrm>
          <a:off x="11004176" y="9592235"/>
          <a:ext cx="867336" cy="3742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168088</xdr:colOff>
      <xdr:row>44</xdr:row>
      <xdr:rowOff>123265</xdr:rowOff>
    </xdr:from>
    <xdr:to>
      <xdr:col>10</xdr:col>
      <xdr:colOff>1019736</xdr:colOff>
      <xdr:row>47</xdr:row>
      <xdr:rowOff>56031</xdr:rowOff>
    </xdr:to>
    <xdr:cxnSp macro="">
      <xdr:nvCxnSpPr>
        <xdr:cNvPr id="19" name="Conector recto de flecha 18">
          <a:extLst>
            <a:ext uri="{FF2B5EF4-FFF2-40B4-BE49-F238E27FC236}">
              <a16:creationId xmlns:a16="http://schemas.microsoft.com/office/drawing/2014/main" id="{462E24F7-8317-44B5-90AA-73132B23FAD3}"/>
            </a:ext>
          </a:extLst>
        </xdr:cNvPr>
        <xdr:cNvCxnSpPr/>
      </xdr:nvCxnSpPr>
      <xdr:spPr>
        <a:xfrm flipV="1">
          <a:off x="11015382" y="9076765"/>
          <a:ext cx="851648" cy="5042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1375924</xdr:colOff>
      <xdr:row>35</xdr:row>
      <xdr:rowOff>10496</xdr:rowOff>
    </xdr:from>
    <xdr:to>
      <xdr:col>4</xdr:col>
      <xdr:colOff>560842</xdr:colOff>
      <xdr:row>35</xdr:row>
      <xdr:rowOff>171109</xdr:rowOff>
    </xdr:to>
    <xdr:sp macro="" textlink="">
      <xdr:nvSpPr>
        <xdr:cNvPr id="10" name="Flecha: hacia abajo 9">
          <a:extLst>
            <a:ext uri="{FF2B5EF4-FFF2-40B4-BE49-F238E27FC236}">
              <a16:creationId xmlns:a16="http://schemas.microsoft.com/office/drawing/2014/main" id="{05444701-D8ED-4AB6-8F5E-3B003776788E}"/>
            </a:ext>
          </a:extLst>
        </xdr:cNvPr>
        <xdr:cNvSpPr/>
      </xdr:nvSpPr>
      <xdr:spPr>
        <a:xfrm rot="18818494">
          <a:off x="3235709" y="5983623"/>
          <a:ext cx="160613" cy="154935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wsDr>
</file>

<file path=xl/persons/person.xml><?xml version="1.0" encoding="utf-8"?>
<personList xmlns="http://schemas.microsoft.com/office/spreadsheetml/2018/threadedcomments" xmlns:x="http://schemas.openxmlformats.org/spreadsheetml/2006/main">
  <person displayName="Lucia Corball" id="{D9D7489D-DA05-4047-A5CD-3F4D339E8A35}" userId="S::Lucia@reforma.global::b10b1092-057d-4077-85d7-20ce8c07b5e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fano Balbo" refreshedDate="45530.58367777778" createdVersion="7" refreshedVersion="7" minRefreshableVersion="3" recordCount="27" xr:uid="{93F3A515-1A49-4978-ABA9-BBA6FA249528}">
  <cacheSource type="worksheet">
    <worksheetSource ref="A1:F28" sheet="DRC Population"/>
  </cacheSource>
  <cacheFields count="6">
    <cacheField name="Province_id" numFmtId="3">
      <sharedItems containsSemiMixedTypes="0" containsString="0" containsNumber="1" containsInteger="1" minValue="1" maxValue="27" count="27">
        <n v="1"/>
        <n v="2"/>
        <n v="3"/>
        <n v="4"/>
        <n v="5"/>
        <n v="6"/>
        <n v="7"/>
        <n v="8"/>
        <n v="9"/>
        <n v="10"/>
        <n v="11"/>
        <n v="12"/>
        <n v="13"/>
        <n v="14"/>
        <n v="15"/>
        <n v="16"/>
        <n v="17"/>
        <n v="18"/>
        <n v="19"/>
        <n v="20"/>
        <n v="21"/>
        <n v="22"/>
        <n v="23"/>
        <n v="24"/>
        <n v="25"/>
        <n v="26"/>
        <n v="27"/>
      </sharedItems>
    </cacheField>
    <cacheField name="Province" numFmtId="0">
      <sharedItems/>
    </cacheField>
    <cacheField name="Total Population, 2019" numFmtId="3">
      <sharedItems containsSemiMixedTypes="0" containsString="0" containsNumber="1" containsInteger="1" minValue="1250000" maxValue="98370000"/>
    </cacheField>
    <cacheField name="Estimated Children per Province, 2019 (14.5% of total population)" numFmtId="3">
      <sharedItems containsSemiMixedTypes="0" containsString="0" containsNumber="1" minValue="181250" maxValue="14263650"/>
    </cacheField>
    <cacheField name="Estimated Children per Province, 2024 (average 3.2% annual increase)" numFmtId="3">
      <sharedItems containsSemiMixedTypes="0" containsString="0" containsNumber="1" minValue="212166.35625000001" maxValue="16696643.571450001"/>
    </cacheField>
    <cacheField name="Share of Children per Province, 2024" numFmtId="10">
      <sharedItems containsSemiMixedTypes="0" containsString="0" containsNumber="1" minValue="1.270712615634848E-2"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s v="Kwango"/>
    <n v="2416000"/>
    <n v="350320"/>
    <n v="410075.13336000004"/>
    <n v="2.4560333434990343E-2"/>
  </r>
  <r>
    <x v="1"/>
    <s v="Kwilu"/>
    <n v="6169000"/>
    <n v="894504.99999999988"/>
    <n v="1047083.4013649999"/>
    <n v="6.2712209006811015E-2"/>
  </r>
  <r>
    <x v="2"/>
    <s v="Mai-Ndombe"/>
    <n v="2082000"/>
    <n v="301890"/>
    <n v="353384.28297"/>
    <n v="2.1164989326014027E-2"/>
  </r>
  <r>
    <x v="3"/>
    <s v="Kongo-Central"/>
    <n v="6365000"/>
    <n v="922924.99999999988"/>
    <n v="1080351.0860249999"/>
    <n v="6.4704686388126445E-2"/>
  </r>
  <r>
    <x v="4"/>
    <s v="Équateur"/>
    <n v="1712000"/>
    <n v="248239.99999999997"/>
    <n v="290583.04151999997"/>
    <n v="1.7403679983734877E-2"/>
  </r>
  <r>
    <x v="5"/>
    <s v="Mongala"/>
    <n v="1950000"/>
    <n v="282750"/>
    <n v="330979.51575000002"/>
    <n v="1.9823116803903629E-2"/>
  </r>
  <r>
    <x v="6"/>
    <s v="Nord-Ubangi"/>
    <n v="1425000"/>
    <n v="206625"/>
    <n v="241869.64612500003"/>
    <n v="1.4486123818237268E-2"/>
  </r>
  <r>
    <x v="7"/>
    <s v="Sud-Ubangi"/>
    <n v="2755000"/>
    <n v="399475"/>
    <n v="467614.64917500003"/>
    <n v="2.8006506048592051E-2"/>
  </r>
  <r>
    <x v="8"/>
    <s v="Tshuapa"/>
    <n v="1789000"/>
    <n v="259404.99999999997"/>
    <n v="303652.48906499997"/>
    <n v="1.8186438954965942E-2"/>
  </r>
  <r>
    <x v="9"/>
    <s v="Kasaï"/>
    <n v="3165000"/>
    <n v="458924.99999999994"/>
    <n v="537205.21402499999"/>
    <n v="3.2174443427874351E-2"/>
  </r>
  <r>
    <x v="10"/>
    <s v="Kasaï-Central"/>
    <n v="3743000"/>
    <n v="542735"/>
    <n v="635310.93715500005"/>
    <n v="3.805021856256989E-2"/>
  </r>
  <r>
    <x v="11"/>
    <s v="Kasaï-Oriental"/>
    <n v="3601000"/>
    <n v="522144.99999999994"/>
    <n v="611208.83908499999"/>
    <n v="3.66066890312087E-2"/>
  </r>
  <r>
    <x v="12"/>
    <s v="Lomami"/>
    <n v="2801000"/>
    <n v="406145"/>
    <n v="475422.37108500005"/>
    <n v="2.8474128291145675E-2"/>
  </r>
  <r>
    <x v="13"/>
    <s v="Sankuru"/>
    <n v="2417000"/>
    <n v="350465"/>
    <n v="410244.86644500005"/>
    <n v="2.4570499135915424E-2"/>
  </r>
  <r>
    <x v="14"/>
    <s v="Haut-Katanga"/>
    <n v="5378000"/>
    <n v="779810"/>
    <n v="912824.53113000002"/>
    <n v="5.4671139575073698E-2"/>
  </r>
  <r>
    <x v="15"/>
    <s v="Haut-Lomami"/>
    <n v="3444000"/>
    <n v="499379.99999999994"/>
    <n v="584560.74473999999"/>
    <n v="3.5010673985971331E-2"/>
  </r>
  <r>
    <x v="16"/>
    <s v="Lualaba"/>
    <n v="2993000"/>
    <n v="433984.99999999994"/>
    <n v="508011.12340499996"/>
    <n v="3.0425942868760797E-2"/>
  </r>
  <r>
    <x v="17"/>
    <s v="Tanganyika"/>
    <n v="3570000"/>
    <n v="517649.99999999994"/>
    <n v="605947.11344999995"/>
    <n v="3.6291552302531255E-2"/>
  </r>
  <r>
    <x v="18"/>
    <s v="Kinshasa"/>
    <n v="13916000"/>
    <n v="2017819.9999999998"/>
    <n v="2362005.6108599999"/>
    <n v="0.14146589407339635"/>
  </r>
  <r>
    <x v="19"/>
    <s v="Maniema"/>
    <n v="2654000"/>
    <n v="384830"/>
    <n v="450471.60759000003"/>
    <n v="2.6979770255159095E-2"/>
  </r>
  <r>
    <x v="20"/>
    <s v="Nord-Kivu"/>
    <n v="7574000"/>
    <n v="1098230"/>
    <n v="1285558.3857900002"/>
    <n v="7.6995018806546717E-2"/>
  </r>
  <r>
    <x v="21"/>
    <s v="Bas-Uele"/>
    <n v="1250000"/>
    <n v="181250"/>
    <n v="212166.35625000001"/>
    <n v="1.270712615634848E-2"/>
  </r>
  <r>
    <x v="22"/>
    <s v="Haut-Uele"/>
    <n v="2046000"/>
    <n v="296670"/>
    <n v="347273.89191000001"/>
    <n v="2.0799024092711192E-2"/>
  </r>
  <r>
    <x v="23"/>
    <s v="Ituri"/>
    <n v="4008000"/>
    <n v="581160"/>
    <n v="680290.20468000008"/>
    <n v="4.0744129307715773E-2"/>
  </r>
  <r>
    <x v="24"/>
    <s v="Tshopo"/>
    <n v="2582000"/>
    <n v="374390"/>
    <n v="438250.82547000004"/>
    <n v="2.6247839788553422E-2"/>
  </r>
  <r>
    <x v="25"/>
    <s v="Sud-Kivu"/>
    <n v="6565000"/>
    <n v="951924.99999999988"/>
    <n v="1114297.7030249999"/>
    <n v="6.6737826573142214E-2"/>
  </r>
  <r>
    <x v="26"/>
    <s v="DRC Total"/>
    <n v="98370000"/>
    <n v="14263650"/>
    <n v="16696643.57145000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226C3C-EAA6-4E19-955B-A3FA865A4E68}" name="TablaDinámica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C2:E29" firstHeaderRow="0" firstDataRow="1" firstDataCol="1"/>
  <pivotFields count="6">
    <pivotField axis="axisRow" numFmtId="3"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showAll="0"/>
    <pivotField numFmtId="3" showAll="0"/>
    <pivotField numFmtId="3" showAll="0"/>
    <pivotField dataField="1" numFmtId="3" showAll="0"/>
    <pivotField dataField="1" numFmtId="10" showAll="0"/>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2"/>
  </colFields>
  <colItems count="2">
    <i>
      <x/>
    </i>
    <i i="1">
      <x v="1"/>
    </i>
  </colItems>
  <dataFields count="2">
    <dataField name="Children" fld="4" baseField="0" baseItem="0"/>
    <dataField name="Share of Children" fld="5" baseField="0" baseItem="0"/>
  </dataFields>
  <formats count="8">
    <format dxfId="12">
      <pivotArea collapsedLevelsAreSubtotals="1" fieldPosition="0">
        <references count="2">
          <reference field="4294967294" count="1" selected="0">
            <x v="1"/>
          </reference>
          <reference field="0" count="0"/>
        </references>
      </pivotArea>
    </format>
    <format dxfId="11">
      <pivotArea collapsedLevelsAreSubtotals="1" fieldPosition="0">
        <references count="1">
          <reference field="0" count="0"/>
        </references>
      </pivotArea>
    </format>
    <format dxfId="10">
      <pivotArea field="0" type="button" dataOnly="0" labelOnly="1" outline="0" axis="axisRow" fieldPosition="0"/>
    </format>
    <format dxfId="9">
      <pivotArea dataOnly="0" labelOnly="1" fieldPosition="0">
        <references count="1">
          <reference field="0" count="0"/>
        </references>
      </pivotArea>
    </format>
    <format dxfId="8">
      <pivotArea dataOnly="0" labelOnly="1" outline="0" fieldPosition="0">
        <references count="1">
          <reference field="4294967294" count="2">
            <x v="0"/>
            <x v="1"/>
          </reference>
        </references>
      </pivotArea>
    </format>
    <format dxfId="7">
      <pivotArea collapsedLevelsAreSubtotals="1" fieldPosition="0">
        <references count="2">
          <reference field="4294967294" count="1" selected="0">
            <x v="0"/>
          </reference>
          <reference field="0" count="0"/>
        </references>
      </pivotArea>
    </format>
    <format dxfId="6">
      <pivotArea collapsedLevelsAreSubtotals="1" fieldPosition="0">
        <references count="1">
          <reference field="0" count="1">
            <x v="26"/>
          </reference>
        </references>
      </pivotArea>
    </format>
    <format dxfId="5">
      <pivotArea dataOnly="0" labelOnly="1" fieldPosition="0">
        <references count="1">
          <reference field="0" count="1">
            <x v="2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72C770-6FE7-4A11-B43E-F1549AEF4435}" name="Scenario" displayName="Scenario" ref="A9:N634" totalsRowShown="0">
  <autoFilter ref="A9:N634" xr:uid="{7A1424B7-C771-47F5-ACB9-E07F91B5595F}"/>
  <sortState xmlns:xlrd2="http://schemas.microsoft.com/office/spreadsheetml/2017/richdata2" ref="A10:M634">
    <sortCondition ref="K10:K634"/>
    <sortCondition ref="L10:L634"/>
  </sortState>
  <tableColumns count="14">
    <tableColumn id="9" xr3:uid="{FA101F00-00A7-42BE-91E9-B86904A80CF7}" name="Scenario"/>
    <tableColumn id="1" xr3:uid="{4D8F3AD0-6205-48C9-AA12-4EC85419E9D7}" name="6-23 Near Facility"/>
    <tableColumn id="2" xr3:uid="{A524319A-B528-4BB7-8A8D-216F1131532D}" name="6-23 Near Campaign"/>
    <tableColumn id="3" xr3:uid="{AB19F451-9FF8-4385-8AE5-64F3C589EDCD}" name="6-23 Away Facility"/>
    <tableColumn id="4" xr3:uid="{3F8385E7-1414-4282-9FF1-FAB63FF0626D}" name="6-23 Away Campaign"/>
    <tableColumn id="5" xr3:uid="{8E1A2512-FBF7-450D-B230-37D5ACD9CF12}" name="24-59 Near Facility"/>
    <tableColumn id="6" xr3:uid="{A7A523EA-0F31-4459-AE3B-9B93D5DBBA34}" name="24-59 Near Campaign"/>
    <tableColumn id="7" xr3:uid="{A00A6A2B-58BE-4906-947E-5647A6F2F80E}" name="24-59 Away Facility"/>
    <tableColumn id="8" xr3:uid="{9A13E1DD-EA60-4D25-AD34-B6085324EF16}" name="24-59 Away Campaign"/>
    <tableColumn id="10" xr3:uid="{4C6E2163-D93C-4515-9CDF-2E8FEF22F01E}" name="Total Cost"/>
    <tableColumn id="11" xr3:uid="{4A063A65-598F-40B2-8179-C5E283CFA962}" name="Total Coverage" dataDxfId="4">
      <calculatedColumnFormula>ROUND(($C$4*$E$4*B10*$B$7+$C$4*$E$4*C10*$C$7+$C$4*$E$5*D10*$D$7+$C$4*$E$5*E10*$E$7+($C$5*$E$4*F10*$F$7+$C$5*$E$4*G10*$G$7+$C$5*$E$5*H10*$H$7+$C$5*$E$5*I10*$I$7)),2)</calculatedColumnFormula>
    </tableColumn>
    <tableColumn id="12" xr3:uid="{F1CA3B25-BD77-4C90-9084-1965317D5F2C}" name="Cost per Coverage P.P." dataDxfId="2">
      <calculatedColumnFormula>Scenario[[#This Row],[Total Cost]]/(Scenario[[#This Row],[Total Coverage]]*100)</calculatedColumnFormula>
    </tableColumn>
    <tableColumn id="19" xr3:uid="{BA558E3B-8868-445B-950A-14DD61A6FDC7}" name="Frontier" dataDxfId="1">
      <calculatedColumnFormula array="1">IF(AND(K10=MAX(K$10:K10), L10=MIN(IF(K$10:K10=K10, L$10:L10))), 1, 0)</calculatedColumnFormula>
    </tableColumn>
    <tableColumn id="21" xr3:uid="{4FEBC8C5-B83C-4074-AD7E-D2B1D43F45DE}" name="Recommended Scenarios" dataDxfId="0">
      <calculatedColumnFormula>IF(AND(Scenario[[#This Row],[Total Coverage]]&gt;=70%,Scenario[[#This Row],[Frontier]]=1),1,0)</calculatedColumnFormula>
    </tableColum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EE40520-9561-4910-AFEB-FF375EE98D3D}" name="Table6" displayName="Table6" ref="N4:AA69" totalsRowShown="0">
  <autoFilter ref="N4:AA69" xr:uid="{EEE40520-9561-4910-AFEB-FF375EE98D3D}"/>
  <tableColumns count="14">
    <tableColumn id="1" xr3:uid="{87B6F1DF-1DF3-4149-8DF2-E8A1396075C7}" name="Scenario"/>
    <tableColumn id="2" xr3:uid="{516E4029-C51D-4F9A-BA83-FBD2ED188CC1}" name="6-23 Near Facility"/>
    <tableColumn id="3" xr3:uid="{4601E8FE-3138-489E-BF55-2DF10397A1F3}" name="6-23 Near Campaign"/>
    <tableColumn id="4" xr3:uid="{3D2D22DD-0427-42A7-A487-92C7824014AC}" name="6-23 Away Facility"/>
    <tableColumn id="5" xr3:uid="{8D18BEC7-6174-4CD8-BFAB-C40C4CE3F959}" name="6-23 Away Campaign"/>
    <tableColumn id="6" xr3:uid="{304F4B8D-5367-4D28-A279-9077385B7A0D}" name="24-59 Near Facility"/>
    <tableColumn id="7" xr3:uid="{05D4ABF9-999A-4E27-8239-9BEE46CEFC65}" name="24-59 Near Campaign"/>
    <tableColumn id="8" xr3:uid="{41753B97-F25C-4858-B3E2-CCD136CFF46D}" name="24-59 Away Facility"/>
    <tableColumn id="9" xr3:uid="{3363958F-8302-4C35-AB83-FF4A83F4E6CA}" name="24-59 Away Campaign"/>
    <tableColumn id="10" xr3:uid="{D3237197-C13A-4CA4-9652-360AA23465C1}" name="Total cost"/>
    <tableColumn id="11" xr3:uid="{EED48666-BEDA-458C-B51B-23853678E992}" name="Total Cov"/>
    <tableColumn id="12" xr3:uid="{20B8618F-B292-42C2-BC73-296AFD2E0B96}" name="Cost per percentage coverage"/>
    <tableColumn id="13" xr3:uid="{175B4AEC-CB6F-48DF-A62B-B5DDDA1BE3EC}" name="Frontier1"/>
    <tableColumn id="14" xr3:uid="{93BCBE79-EAAF-4878-8E28-9CA8FB74762C}" name="Coverage &gt;70%" dataDxfId="3">
      <calculatedColumnFormula>IF(Table6[[#This Row],[Total Cov]]&gt;=0.7,1,0)</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C223DC-F19A-4446-888A-312D7C1E1A82}" name="Tabla3" displayName="Tabla3" ref="B1:H28" totalsRowShown="0" headerRowDxfId="31" headerRowBorderDxfId="30" tableBorderDxfId="29" totalsRowBorderDxfId="28">
  <autoFilter ref="B1:H28" xr:uid="{59C223DC-F19A-4446-888A-312D7C1E1A82}"/>
  <tableColumns count="7">
    <tableColumn id="1" xr3:uid="{81CAA327-8502-432E-A6A1-6F617E0E8D09}" name="Province" dataDxfId="27"/>
    <tableColumn id="2" xr3:uid="{4F5DD6FC-0DE6-493A-B78C-D945EEADCC46}" name="Total Population, 2019" dataDxfId="26"/>
    <tableColumn id="3" xr3:uid="{CB2AF568-B6F4-4B81-A1E6-B3FBD4CC2146}" name="Estimated Children per Province, 2019 (14.5% of total population)" dataDxfId="25"/>
    <tableColumn id="4" xr3:uid="{576872E7-C0CC-4F9D-9A9C-BF35A327FE7E}" name="Estimated Children per Province, 2024 (average 3.2% annual increase)" dataDxfId="24">
      <calculatedColumnFormula>D2*1.170573</calculatedColumnFormula>
    </tableColumn>
    <tableColumn id="6" xr3:uid="{95AAF3C4-FF03-4479-BB7A-E8895C3E9AA8}" name="Share of Children per Province, 2024" dataDxfId="23">
      <calculatedColumnFormula>E2/E$28</calculatedColumnFormula>
    </tableColumn>
    <tableColumn id="5" xr3:uid="{7379E2B4-7560-4199-9DF9-5B59034CDFB4}" name="Share of Children living &lt;20km from nearest facility" dataDxfId="22"/>
    <tableColumn id="7" xr3:uid="{7990DEBB-C941-4F79-9FE2-C5E72A7783A2}" name="Share of Children living &gt;20km from nearest facility" dataDxfId="2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368DDB-4AB6-4A2A-9873-748D2FEB248A}" name="Tabla2" displayName="Tabla2" ref="B3:E5" totalsRowShown="0" headerRowDxfId="20" headerRowBorderDxfId="19" tableBorderDxfId="18" totalsRowBorderDxfId="17">
  <autoFilter ref="B3:E5" xr:uid="{EC368DDB-4AB6-4A2A-9873-748D2FEB248A}"/>
  <tableColumns count="4">
    <tableColumn id="1" xr3:uid="{739C5578-1511-413E-A592-A11FF1EF2F8B}" name="Intervention Type" dataDxfId="16"/>
    <tableColumn id="3" xr3:uid="{80402828-E8A8-4FDA-9D1F-3E2B32CCFE64}" name="6-23 months" dataDxfId="15"/>
    <tableColumn id="4" xr3:uid="{09E39850-0F8C-4FF4-B9BB-2EA37E5F36B4}" name="24-59 months" dataDxfId="14"/>
    <tableColumn id="5" xr3:uid="{1F8F1BEC-2EE7-464D-A0CE-B9B6A960A1A4}" name="Total" dataDxf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92" dT="2024-09-25T08:06:50.14" personId="{D9D7489D-DA05-4047-A5CD-3F4D339E8A35}" id="{F15B1197-9199-400B-A607-1E77AE5278E4}">
    <text>Note that we could not access the microdata so the same coverage was assumed for both age groups</text>
  </threadedComment>
  <threadedComment ref="F92" dT="2024-09-30T08:26:37.24" personId="{D9D7489D-DA05-4047-A5CD-3F4D339E8A35}" id="{59C30930-8BD2-425A-BE07-0E0FF8F3DBC8}" parentId="{F15B1197-9199-400B-A607-1E77AE5278E4}">
    <text>We reworked the coverage since the high coverages reported by the UNICEF Survey 2022 for children 6-59 contradicted what was highlighted in interviews with MOH and UNICEF CO, where concern was raised for children 24-59. According to the key informants, these children usually are not reached by facilities, and coverage tends to be low for them. We do not see that reflected in the survey estimates shared. Note there is a DHS from 2023 but has not been released yet.</text>
  </threadedComment>
  <threadedComment ref="Y166" dT="2024-09-25T08:22:25.91" personId="{D9D7489D-DA05-4047-A5CD-3F4D339E8A35}" id="{CDB5B1C2-5DA5-4AE9-88EB-483065178396}">
    <text>For the provinces with double service deliver (i.e., provicnes where HKI is active), we assumed that not all children are reached by campaing. This is based on the latest coverage data from HKI campaigns and based on the modus operandi of these campaigns modality where childrne are checked their vaccination card. We assumed that children with a vaccination card and that received the DPT3 received the intervetnion in the facility</text>
  </threadedComment>
  <threadedComment ref="J167" dT="2024-09-25T08:17:57.57" personId="{D9D7489D-DA05-4047-A5CD-3F4D339E8A35}" id="{50C2D57A-BC3F-4CFB-887E-09B0C921831E}">
    <text xml:space="preserve">Equalling the coverage of 24-59 months to that of 6-23 months in the provinces where HKI is active. The rational is that there is no evidence to support that coverage in VAS through facilities for children between 23-59 months would be higher than for children 6-23 months. In fact, the KII reflected that the coverage of facility-VAS in children between 23-59 months may be even lower but we don't know how much lower. </text>
  </threadedComment>
  <threadedComment ref="AE167" dT="2024-09-25T08:17:57.57" personId="{D9D7489D-DA05-4047-A5CD-3F4D339E8A35}" id="{9631DC17-30B1-4EF3-8CD2-E23149361ED3}">
    <text xml:space="preserve">Equalling the coverage of 24-59 months to that of 6-23 months in the provinces where HKI is active. The rational is that there is no evidence to support that coverage in VAS through facilities for children between 23-59 months would be higher than for children 6-23 months. In fact, the KII reflected that the coverage of facility-VAS in children between 23-59 months may be even lower but we don't know how much lower.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B4618-1C52-4634-BA96-915BE0BA6374}">
  <dimension ref="A1:AB79"/>
  <sheetViews>
    <sheetView tabSelected="1" zoomScale="70" zoomScaleNormal="70" workbookViewId="0">
      <selection activeCell="E27" sqref="E27"/>
    </sheetView>
  </sheetViews>
  <sheetFormatPr defaultColWidth="11.42578125" defaultRowHeight="15" x14ac:dyDescent="0.25"/>
  <cols>
    <col min="1" max="1" width="4.7109375" style="1" customWidth="1"/>
    <col min="2" max="2" width="27.7109375" style="1" bestFit="1" customWidth="1"/>
    <col min="3" max="3" width="17.7109375" style="1" bestFit="1" customWidth="1"/>
    <col min="4" max="4" width="26" style="1" bestFit="1" customWidth="1"/>
    <col min="5" max="5" width="16.42578125" style="1" bestFit="1" customWidth="1"/>
    <col min="6" max="7" width="33.5703125" style="1" bestFit="1" customWidth="1"/>
    <col min="8" max="8" width="31.140625" style="1" bestFit="1" customWidth="1"/>
    <col min="9" max="9" width="28.140625" style="1" bestFit="1" customWidth="1"/>
    <col min="10" max="10" width="36.140625" style="1" bestFit="1" customWidth="1"/>
    <col min="11" max="11" width="12.5703125" style="1" customWidth="1"/>
    <col min="12" max="12" width="29.28515625" style="1" bestFit="1" customWidth="1"/>
    <col min="13" max="13" width="16.28515625" style="1" customWidth="1"/>
    <col min="14" max="14" width="33.42578125" style="1" customWidth="1"/>
    <col min="15" max="15" width="14.28515625" style="1" customWidth="1"/>
    <col min="16" max="16" width="33.7109375" style="1" customWidth="1"/>
    <col min="17" max="17" width="13.85546875" style="1" customWidth="1"/>
    <col min="18" max="18" width="25.140625" style="1" bestFit="1" customWidth="1"/>
    <col min="19" max="19" width="27.85546875" style="1" customWidth="1"/>
    <col min="20" max="20" width="26.7109375" style="1" customWidth="1"/>
    <col min="21" max="21" width="27.5703125" style="1" bestFit="1" customWidth="1"/>
    <col min="22" max="22" width="25.5703125" style="1" customWidth="1"/>
    <col min="23" max="23" width="28.28515625" style="1" customWidth="1"/>
    <col min="24" max="24" width="30.5703125" style="1" customWidth="1"/>
    <col min="25" max="25" width="42.140625" style="1" customWidth="1"/>
    <col min="26" max="26" width="37" style="1" customWidth="1"/>
    <col min="27" max="27" width="22.85546875" style="1" customWidth="1"/>
    <col min="28" max="28" width="10.42578125" style="1" bestFit="1" customWidth="1"/>
    <col min="29" max="16384" width="11.42578125" style="1"/>
  </cols>
  <sheetData>
    <row r="1" spans="2:26" x14ac:dyDescent="0.25">
      <c r="B1" s="316"/>
      <c r="C1" s="316"/>
      <c r="D1" s="316"/>
      <c r="E1" s="316"/>
      <c r="F1" s="316"/>
      <c r="G1" s="316"/>
      <c r="H1" s="316"/>
      <c r="I1" s="316"/>
      <c r="J1" s="316"/>
      <c r="Z1" s="1" t="s">
        <v>174</v>
      </c>
    </row>
    <row r="2" spans="2:26" x14ac:dyDescent="0.25">
      <c r="B2" s="316"/>
      <c r="C2" s="316"/>
      <c r="D2" s="316"/>
      <c r="E2" s="316"/>
      <c r="F2" s="316"/>
      <c r="G2" s="316"/>
      <c r="H2" s="316"/>
      <c r="I2" s="316"/>
      <c r="J2" s="316"/>
    </row>
    <row r="3" spans="2:26" x14ac:dyDescent="0.25">
      <c r="B3" s="316"/>
      <c r="C3" s="316"/>
      <c r="D3" s="316"/>
      <c r="E3" s="316"/>
      <c r="F3" s="316"/>
      <c r="G3" s="316"/>
      <c r="H3" s="316"/>
      <c r="I3" s="316"/>
      <c r="J3" s="316"/>
    </row>
    <row r="4" spans="2:26" x14ac:dyDescent="0.25">
      <c r="B4" s="316"/>
      <c r="C4" s="316"/>
      <c r="D4" s="316"/>
      <c r="E4" s="316"/>
      <c r="F4" s="316"/>
      <c r="G4" s="316"/>
      <c r="H4" s="316"/>
      <c r="I4" s="316"/>
      <c r="J4" s="316"/>
    </row>
    <row r="5" spans="2:26" x14ac:dyDescent="0.25">
      <c r="B5" s="316"/>
      <c r="C5" s="316"/>
      <c r="D5" s="316"/>
      <c r="E5" s="316"/>
      <c r="F5" s="316"/>
      <c r="G5" s="316"/>
      <c r="H5" s="316"/>
      <c r="I5" s="316"/>
      <c r="J5" s="316"/>
    </row>
    <row r="6" spans="2:26" x14ac:dyDescent="0.25">
      <c r="B6" s="316"/>
      <c r="C6" s="316"/>
      <c r="D6" s="316"/>
      <c r="E6" s="316"/>
      <c r="F6" s="316"/>
      <c r="G6" s="316"/>
      <c r="H6" s="316"/>
      <c r="I6" s="316"/>
      <c r="J6" s="316"/>
    </row>
    <row r="7" spans="2:26" x14ac:dyDescent="0.25">
      <c r="B7" s="316"/>
      <c r="C7" s="316"/>
      <c r="D7" s="316"/>
      <c r="E7" s="316"/>
      <c r="F7" s="316"/>
      <c r="G7" s="316"/>
      <c r="H7" s="316"/>
      <c r="I7" s="316"/>
      <c r="J7" s="316"/>
    </row>
    <row r="8" spans="2:26" x14ac:dyDescent="0.25">
      <c r="B8" s="316"/>
      <c r="C8" s="316"/>
      <c r="D8" s="316"/>
      <c r="E8" s="316"/>
      <c r="F8" s="316"/>
      <c r="G8" s="316"/>
      <c r="H8" s="316"/>
      <c r="I8" s="316"/>
      <c r="J8" s="316"/>
    </row>
    <row r="9" spans="2:26" x14ac:dyDescent="0.25">
      <c r="B9" s="316"/>
      <c r="C9" s="316"/>
      <c r="D9" s="316"/>
      <c r="E9" s="316"/>
      <c r="F9" s="316"/>
      <c r="G9" s="316"/>
      <c r="H9" s="316"/>
      <c r="I9" s="316"/>
      <c r="J9" s="316"/>
    </row>
    <row r="10" spans="2:26" ht="15.75" thickBot="1" x14ac:dyDescent="0.3">
      <c r="B10" s="316"/>
      <c r="C10" s="316"/>
      <c r="D10" s="316"/>
      <c r="E10" s="316"/>
      <c r="F10" s="316"/>
      <c r="G10" s="316"/>
      <c r="H10" s="316"/>
      <c r="I10" s="316"/>
      <c r="J10" s="316"/>
    </row>
    <row r="11" spans="2:26" ht="15.75" thickTop="1" x14ac:dyDescent="0.25">
      <c r="B11" s="310" t="s">
        <v>260</v>
      </c>
      <c r="C11" s="311"/>
      <c r="D11" s="312"/>
      <c r="E11" s="316"/>
      <c r="F11" s="316"/>
      <c r="G11" s="316"/>
      <c r="H11" s="316"/>
      <c r="I11" s="316"/>
      <c r="J11" s="316"/>
    </row>
    <row r="12" spans="2:26" x14ac:dyDescent="0.25">
      <c r="B12" s="313"/>
      <c r="C12" s="302"/>
      <c r="D12" s="317">
        <v>70</v>
      </c>
      <c r="E12" s="316"/>
      <c r="F12" s="316"/>
      <c r="G12" s="316"/>
      <c r="H12" s="316"/>
      <c r="I12" s="316"/>
      <c r="J12" s="316"/>
    </row>
    <row r="13" spans="2:26" x14ac:dyDescent="0.25">
      <c r="B13" s="313"/>
      <c r="C13" s="302"/>
      <c r="D13" s="318">
        <v>98</v>
      </c>
      <c r="E13" s="316"/>
      <c r="F13" s="316"/>
      <c r="G13" s="316"/>
      <c r="H13" s="316"/>
      <c r="I13" s="316"/>
      <c r="J13" s="316"/>
    </row>
    <row r="14" spans="2:26" x14ac:dyDescent="0.25">
      <c r="B14" s="313"/>
      <c r="C14" s="302"/>
      <c r="D14" s="318">
        <v>120</v>
      </c>
      <c r="E14" s="302"/>
      <c r="F14" s="302"/>
      <c r="G14" s="302"/>
      <c r="H14" s="302"/>
      <c r="I14" s="302"/>
      <c r="J14" s="302"/>
      <c r="S14" s="49"/>
    </row>
    <row r="15" spans="2:26" x14ac:dyDescent="0.25">
      <c r="B15" s="313"/>
      <c r="C15" s="302"/>
      <c r="D15" s="318">
        <v>123</v>
      </c>
      <c r="S15" s="49"/>
    </row>
    <row r="16" spans="2:26" x14ac:dyDescent="0.25">
      <c r="B16" s="313"/>
      <c r="C16" s="302"/>
      <c r="D16" s="318">
        <v>74</v>
      </c>
      <c r="S16" s="49"/>
    </row>
    <row r="17" spans="2:22" x14ac:dyDescent="0.25">
      <c r="B17" s="313"/>
      <c r="C17" s="302"/>
      <c r="D17" s="318">
        <v>25</v>
      </c>
    </row>
    <row r="18" spans="2:22" x14ac:dyDescent="0.25">
      <c r="B18" s="313"/>
      <c r="C18" s="302"/>
      <c r="D18" s="318">
        <v>50</v>
      </c>
      <c r="L18" s="254" t="s">
        <v>238</v>
      </c>
      <c r="N18" s="253" t="s">
        <v>152</v>
      </c>
      <c r="P18" s="253" t="s">
        <v>152</v>
      </c>
      <c r="R18" s="255" t="s">
        <v>240</v>
      </c>
    </row>
    <row r="19" spans="2:22" x14ac:dyDescent="0.25">
      <c r="B19" s="313"/>
      <c r="C19" s="302"/>
      <c r="D19" s="318">
        <v>124</v>
      </c>
      <c r="L19" s="240" t="s">
        <v>236</v>
      </c>
      <c r="N19" s="306" t="s">
        <v>236</v>
      </c>
      <c r="P19" s="306" t="s">
        <v>239</v>
      </c>
    </row>
    <row r="20" spans="2:22" x14ac:dyDescent="0.25">
      <c r="B20" s="313"/>
      <c r="C20" s="251"/>
      <c r="D20" s="318">
        <v>75</v>
      </c>
      <c r="J20" s="49"/>
    </row>
    <row r="21" spans="2:22" x14ac:dyDescent="0.25">
      <c r="B21" s="313"/>
      <c r="C21" s="251"/>
      <c r="D21" s="318">
        <v>249</v>
      </c>
      <c r="J21" s="299">
        <v>2</v>
      </c>
    </row>
    <row r="22" spans="2:22" x14ac:dyDescent="0.25">
      <c r="B22" s="313"/>
      <c r="C22" s="251"/>
      <c r="D22" s="318">
        <v>200</v>
      </c>
      <c r="H22" s="50" t="s">
        <v>98</v>
      </c>
      <c r="J22" s="50" t="s">
        <v>105</v>
      </c>
      <c r="L22" s="246"/>
      <c r="P22" s="50"/>
      <c r="R22" s="3" t="s">
        <v>108</v>
      </c>
      <c r="S22" s="78" t="str">
        <f>F$44</f>
        <v>DRC Total</v>
      </c>
    </row>
    <row r="23" spans="2:22" x14ac:dyDescent="0.25">
      <c r="B23" s="313"/>
      <c r="C23" s="251"/>
      <c r="D23" s="318">
        <v>125</v>
      </c>
      <c r="H23" s="75">
        <f>VLOOKUP(D46,'DRC id'!F34:L60,6,FALSE)</f>
        <v>0.69299999999999995</v>
      </c>
      <c r="J23" s="53">
        <f>VLOOKUP($D$43,Scenario[],J21,FALSE)</f>
        <v>0.75</v>
      </c>
      <c r="L23" s="247">
        <f>VLOOKUP(D$46,'DRC id'!$E$233:$M$259,'Decision Tree'!J21)</f>
        <v>0.5169950583102505</v>
      </c>
      <c r="N23" s="252">
        <f>L23*J23</f>
        <v>0.38774629373268787</v>
      </c>
      <c r="P23" s="67">
        <f>P25/H24</f>
        <v>0.38774629373268787</v>
      </c>
      <c r="R23" s="105">
        <f>'DRC VAS Cost'!C4</f>
        <v>0.2006</v>
      </c>
      <c r="S23" s="78" t="str">
        <f>F33</f>
        <v>6-23 months old</v>
      </c>
      <c r="T23" s="78"/>
    </row>
    <row r="24" spans="2:22" x14ac:dyDescent="0.25">
      <c r="B24" s="313"/>
      <c r="C24" s="302"/>
      <c r="D24" s="318">
        <v>225</v>
      </c>
      <c r="H24" s="74">
        <f>F34*H23</f>
        <v>4104153.5360317677</v>
      </c>
      <c r="J24" s="74">
        <f>F34*H23*J23</f>
        <v>3078115.1520238258</v>
      </c>
      <c r="N24" s="50" t="s">
        <v>83</v>
      </c>
      <c r="P24" s="50" t="s">
        <v>83</v>
      </c>
      <c r="R24" s="50" t="s">
        <v>107</v>
      </c>
      <c r="S24" s="78" t="str">
        <f>J22</f>
        <v>Facility-Based</v>
      </c>
      <c r="V24" s="95"/>
    </row>
    <row r="25" spans="2:22" x14ac:dyDescent="0.25">
      <c r="B25" s="313"/>
      <c r="C25" s="302"/>
      <c r="D25" s="318">
        <v>250</v>
      </c>
      <c r="H25" s="50" t="s">
        <v>11</v>
      </c>
      <c r="N25" s="77">
        <f>H24*J23*L23</f>
        <v>1591370.3225062233</v>
      </c>
      <c r="P25" s="77">
        <f>N25*V46</f>
        <v>1591370.3225062233</v>
      </c>
      <c r="R25" s="68">
        <f>P25*R23</f>
        <v>319228.88669474842</v>
      </c>
      <c r="S25" s="79" t="str">
        <f>H22</f>
        <v>&lt; 20km to nearest facility</v>
      </c>
    </row>
    <row r="26" spans="2:22" x14ac:dyDescent="0.25">
      <c r="B26" s="313"/>
      <c r="C26" s="302"/>
      <c r="D26" s="318">
        <v>350</v>
      </c>
      <c r="H26" s="76">
        <f>VLOOKUP(D46,'DRC id'!F34:N60,8,FALSE)</f>
        <v>6.1701952383025596</v>
      </c>
      <c r="J26" s="300">
        <v>3</v>
      </c>
      <c r="P26" s="3"/>
      <c r="V26" s="95"/>
    </row>
    <row r="27" spans="2:22" x14ac:dyDescent="0.25">
      <c r="B27" s="313"/>
      <c r="C27" s="302"/>
      <c r="D27" s="318">
        <v>375</v>
      </c>
      <c r="H27" s="50" t="s">
        <v>226</v>
      </c>
      <c r="J27" s="50" t="s">
        <v>106</v>
      </c>
      <c r="P27" s="50"/>
      <c r="R27" s="3" t="s">
        <v>108</v>
      </c>
    </row>
    <row r="28" spans="2:22" x14ac:dyDescent="0.25">
      <c r="B28" s="313"/>
      <c r="C28" s="302"/>
      <c r="D28" s="318">
        <v>475</v>
      </c>
      <c r="H28" s="50" t="s">
        <v>225</v>
      </c>
      <c r="J28" s="53">
        <f>VLOOKUP($D$43,Scenario[],J26,FALSE)</f>
        <v>0.25</v>
      </c>
      <c r="L28" s="247">
        <f>VLOOKUP(D$46,'DRC id'!$E$233:$M$259,'Decision Tree'!J26)</f>
        <v>0.9</v>
      </c>
      <c r="N28" s="252">
        <f>L28*J28</f>
        <v>0.22500000000000001</v>
      </c>
      <c r="P28" s="67">
        <f>N28</f>
        <v>0.22500000000000001</v>
      </c>
      <c r="R28" s="105">
        <f>'DRC VAS Cost'!C5</f>
        <v>0.53390000000000004</v>
      </c>
    </row>
    <row r="29" spans="2:22" x14ac:dyDescent="0.25">
      <c r="B29" s="313"/>
      <c r="C29" s="302"/>
      <c r="D29" s="318">
        <v>575</v>
      </c>
      <c r="H29" s="243">
        <f>'DRC id'!G129</f>
        <v>1.0895573625834787</v>
      </c>
      <c r="J29" s="74">
        <f>F34*H23*J28</f>
        <v>1026038.3840079419</v>
      </c>
      <c r="N29" s="50" t="s">
        <v>83</v>
      </c>
      <c r="P29" s="50" t="s">
        <v>83</v>
      </c>
      <c r="R29" s="50" t="s">
        <v>107</v>
      </c>
      <c r="T29" s="73"/>
    </row>
    <row r="30" spans="2:22" x14ac:dyDescent="0.25">
      <c r="B30" s="313"/>
      <c r="C30" s="302"/>
      <c r="D30" s="318">
        <v>500</v>
      </c>
      <c r="H30" s="4"/>
      <c r="N30" s="77">
        <f>H24*J28*L28</f>
        <v>923434.54560714774</v>
      </c>
      <c r="P30" s="77">
        <f>N30</f>
        <v>923434.54560714774</v>
      </c>
      <c r="R30" s="68">
        <f>P30*R28</f>
        <v>493021.70389965619</v>
      </c>
    </row>
    <row r="31" spans="2:22" x14ac:dyDescent="0.25">
      <c r="B31" s="313"/>
      <c r="C31" s="302"/>
      <c r="D31" s="318">
        <v>600</v>
      </c>
      <c r="H31" s="4"/>
      <c r="J31" s="300"/>
    </row>
    <row r="32" spans="2:22" ht="15.75" thickBot="1" x14ac:dyDescent="0.3">
      <c r="B32" s="314"/>
      <c r="C32" s="315"/>
      <c r="D32" s="319">
        <v>625</v>
      </c>
      <c r="H32" s="4"/>
      <c r="J32" s="300">
        <v>4</v>
      </c>
      <c r="V32" s="78" t="str">
        <f>F$44</f>
        <v>DRC Total</v>
      </c>
    </row>
    <row r="33" spans="2:28" ht="19.5" customHeight="1" thickTop="1" x14ac:dyDescent="0.25">
      <c r="B33" s="320" t="s">
        <v>262</v>
      </c>
      <c r="C33" s="320"/>
      <c r="D33" s="320"/>
      <c r="F33" s="50" t="s">
        <v>3</v>
      </c>
      <c r="J33" s="50" t="s">
        <v>105</v>
      </c>
      <c r="P33" s="50"/>
      <c r="R33" s="3" t="s">
        <v>108</v>
      </c>
      <c r="S33" s="78" t="str">
        <f>F$44</f>
        <v>DRC Total</v>
      </c>
      <c r="V33" s="72" t="s">
        <v>1</v>
      </c>
    </row>
    <row r="34" spans="2:28" ht="18" customHeight="1" x14ac:dyDescent="0.25">
      <c r="B34" s="321"/>
      <c r="C34" s="321"/>
      <c r="D34" s="321"/>
      <c r="F34" s="74">
        <f>F$46*F$35</f>
        <v>5922299.4747933159</v>
      </c>
      <c r="H34" s="50" t="s">
        <v>97</v>
      </c>
      <c r="J34" s="53">
        <f>VLOOKUP($D$43,Scenario[],J32,FALSE)</f>
        <v>0</v>
      </c>
      <c r="L34" s="247">
        <f>VLOOKUP(D$46,'DRC id'!$E$233:$M$259,'Decision Tree'!J32)</f>
        <v>0.37434743934110698</v>
      </c>
      <c r="N34" s="252">
        <f>L34*J34</f>
        <v>0</v>
      </c>
      <c r="P34" s="67">
        <f>P36/H36</f>
        <v>0</v>
      </c>
      <c r="R34" s="105">
        <f>'DRC VAS Cost'!C4</f>
        <v>0.2006</v>
      </c>
      <c r="S34" s="78" t="str">
        <f>F33</f>
        <v>6-23 months old</v>
      </c>
      <c r="V34" s="256">
        <f>F46</f>
        <v>16696643.571450001</v>
      </c>
      <c r="Y34" s="217" t="str">
        <f>CONCATENATE(F$44," Summary")</f>
        <v>DRC Total Summary</v>
      </c>
      <c r="Z34" s="217"/>
      <c r="AA34" s="217"/>
      <c r="AB34" s="217"/>
    </row>
    <row r="35" spans="2:28" x14ac:dyDescent="0.25">
      <c r="B35" s="321"/>
      <c r="C35" s="321"/>
      <c r="D35" s="321"/>
      <c r="E35" s="3"/>
      <c r="F35" s="53">
        <f>'DRC Population'!K32</f>
        <v>0.35470000000000002</v>
      </c>
      <c r="H35" s="75">
        <f>VLOOKUP(D46,'DRC id'!F34:L60,7,FALSE)</f>
        <v>0.307</v>
      </c>
      <c r="J35" s="74">
        <f>F34*H35*J34</f>
        <v>0</v>
      </c>
      <c r="N35" s="50" t="s">
        <v>83</v>
      </c>
      <c r="P35" s="50" t="s">
        <v>83</v>
      </c>
      <c r="R35" s="50" t="s">
        <v>107</v>
      </c>
      <c r="S35" s="78" t="str">
        <f>J22</f>
        <v>Facility-Based</v>
      </c>
    </row>
    <row r="36" spans="2:28" x14ac:dyDescent="0.25">
      <c r="H36" s="74">
        <f>F34*H35</f>
        <v>1818145.9387615479</v>
      </c>
      <c r="N36" s="77">
        <f>H36*J34*L34</f>
        <v>0</v>
      </c>
      <c r="P36" s="77">
        <f>(N36)*V46</f>
        <v>0</v>
      </c>
      <c r="R36" s="68">
        <f>P36*R34</f>
        <v>0</v>
      </c>
      <c r="S36" s="78" t="str">
        <f>H34</f>
        <v>&gt; 20km to nearest facility</v>
      </c>
      <c r="Y36" s="117" t="s">
        <v>111</v>
      </c>
      <c r="Z36" s="118">
        <f>D43</f>
        <v>250</v>
      </c>
    </row>
    <row r="37" spans="2:28" x14ac:dyDescent="0.25">
      <c r="H37" s="50" t="s">
        <v>11</v>
      </c>
      <c r="J37" s="300">
        <v>5</v>
      </c>
      <c r="V37" s="50" t="s">
        <v>237</v>
      </c>
      <c r="Y37" s="117" t="s">
        <v>143</v>
      </c>
      <c r="Z37" s="119">
        <f>F35*H23*J23+F35*H35*J34+F67*H56*J56+F67*H66*J66</f>
        <v>0.18435532500000001</v>
      </c>
    </row>
    <row r="38" spans="2:28" x14ac:dyDescent="0.25">
      <c r="H38" s="76">
        <f>VLOOKUP(D46,'DRC id'!F34:N60,9,FALSE)</f>
        <v>36.182761094160803</v>
      </c>
      <c r="J38" s="50" t="s">
        <v>106</v>
      </c>
      <c r="P38" s="50"/>
      <c r="R38" s="3" t="s">
        <v>108</v>
      </c>
      <c r="V38" s="74">
        <f>N$25+N$36+N$58+N$68</f>
        <v>1591370.3225062233</v>
      </c>
      <c r="Y38" s="120" t="s">
        <v>144</v>
      </c>
      <c r="Z38" s="121">
        <f>F35*H23*J28+F35*H35*J39+F67*H56*J61+F67*H66*J71</f>
        <v>0.81564467499999993</v>
      </c>
    </row>
    <row r="39" spans="2:28" x14ac:dyDescent="0.25">
      <c r="H39" s="50" t="s">
        <v>227</v>
      </c>
      <c r="J39" s="53">
        <f>VLOOKUP($D$43,Scenario[],J37,FALSE)</f>
        <v>1</v>
      </c>
      <c r="L39" s="247">
        <f>VLOOKUP(D$46,'DRC id'!$E$233:$M$259,'Decision Tree'!J37)</f>
        <v>0.9</v>
      </c>
      <c r="N39" s="252">
        <f>L39*J39</f>
        <v>0.9</v>
      </c>
      <c r="P39" s="67">
        <f>N39</f>
        <v>0.9</v>
      </c>
      <c r="R39" s="105">
        <f>'DRC VAS Cost'!C5</f>
        <v>0.53390000000000004</v>
      </c>
      <c r="S39" s="4"/>
    </row>
    <row r="40" spans="2:28" x14ac:dyDescent="0.25">
      <c r="H40" s="50" t="s">
        <v>225</v>
      </c>
      <c r="J40" s="74">
        <f>F34*H35*J39</f>
        <v>1818145.9387615479</v>
      </c>
      <c r="N40" s="50" t="s">
        <v>83</v>
      </c>
      <c r="P40" s="50" t="s">
        <v>83</v>
      </c>
      <c r="R40" s="50" t="s">
        <v>107</v>
      </c>
      <c r="S40" s="78"/>
      <c r="V40" s="50" t="s">
        <v>148</v>
      </c>
      <c r="Y40" s="2" t="s">
        <v>124</v>
      </c>
      <c r="Z40" s="84">
        <f>N$25</f>
        <v>1591370.3225062233</v>
      </c>
      <c r="AA40" s="85" t="s">
        <v>130</v>
      </c>
      <c r="AB40" s="86">
        <f>N$23</f>
        <v>0.38774629373268787</v>
      </c>
    </row>
    <row r="41" spans="2:28" x14ac:dyDescent="0.25">
      <c r="H41" s="243">
        <f>'DRC id'!G131</f>
        <v>0.78893018829129569</v>
      </c>
      <c r="N41" s="77">
        <f>H36*J39*L39</f>
        <v>1636331.344885393</v>
      </c>
      <c r="P41" s="77">
        <f>N41</f>
        <v>1636331.344885393</v>
      </c>
      <c r="R41" s="68">
        <f>P41*R39</f>
        <v>873637.30503431137</v>
      </c>
      <c r="S41" s="72"/>
      <c r="V41" s="116">
        <f>D49</f>
        <v>1</v>
      </c>
      <c r="Y41" s="87" t="s">
        <v>135</v>
      </c>
      <c r="Z41" s="102">
        <f>P25</f>
        <v>1591370.3225062233</v>
      </c>
      <c r="AA41" s="100" t="s">
        <v>130</v>
      </c>
      <c r="AB41" s="101">
        <f>P23</f>
        <v>0.38774629373268787</v>
      </c>
    </row>
    <row r="42" spans="2:28" x14ac:dyDescent="0.25">
      <c r="B42" s="50" t="s">
        <v>0</v>
      </c>
      <c r="D42" s="50" t="s">
        <v>111</v>
      </c>
      <c r="F42" s="3"/>
      <c r="S42" s="72"/>
      <c r="V42" s="50" t="s">
        <v>241</v>
      </c>
      <c r="Y42" s="91" t="s">
        <v>125</v>
      </c>
      <c r="Z42" s="92">
        <f>N$36</f>
        <v>0</v>
      </c>
      <c r="AA42" s="93" t="s">
        <v>130</v>
      </c>
      <c r="AB42" s="94">
        <f>N$34</f>
        <v>0</v>
      </c>
    </row>
    <row r="43" spans="2:28" x14ac:dyDescent="0.25">
      <c r="B43" s="50" t="s">
        <v>1</v>
      </c>
      <c r="D43" s="54">
        <v>250</v>
      </c>
      <c r="F43" s="50" t="s">
        <v>13</v>
      </c>
      <c r="S43" s="72"/>
      <c r="V43" s="107" cm="1">
        <f t="array" ref="V43">_xlfn.IFS(D$49 = 'DRC id'!H5, VLOOKUP(D$46,'DRC id'!D64:K90,4,FALSE),D$49 = 'DRC id'!H6, VLOOKUP(D$46,'DRC id'!D64:K90,5,FALSE),D$49 = 'DRC id'!H7, VLOOKUP(D$46,'DRC id'!D64:K90,6,FALSE),D$49 = 'DRC id'!H8, VLOOKUP(D$46,'DRC id'!D64:K90,7,FALSE),D$49 = 'DRC id'!H9, VLOOKUP(D$46,'DRC id'!D64:K90,8,FALSE))</f>
        <v>8537387</v>
      </c>
      <c r="Y43" s="87" t="s">
        <v>136</v>
      </c>
      <c r="Z43" s="102">
        <f>P36</f>
        <v>0</v>
      </c>
      <c r="AA43" s="100" t="s">
        <v>130</v>
      </c>
      <c r="AB43" s="101">
        <f>P34</f>
        <v>0</v>
      </c>
    </row>
    <row r="44" spans="2:28" x14ac:dyDescent="0.25">
      <c r="B44" s="74">
        <f>'DRC id'!G60</f>
        <v>16696643.571450001</v>
      </c>
      <c r="F44" s="104" t="str">
        <f>VLOOKUP(D46,'DRC id'!E4:F30,2,FALSE)</f>
        <v>DRC Total</v>
      </c>
      <c r="S44" s="72"/>
      <c r="Y44" s="2" t="s">
        <v>129</v>
      </c>
      <c r="Z44" s="84">
        <f>P$30+P41</f>
        <v>2559765.8904925408</v>
      </c>
      <c r="AA44" s="85" t="s">
        <v>117</v>
      </c>
      <c r="AB44" s="86">
        <f>P$28</f>
        <v>0.22500000000000001</v>
      </c>
    </row>
    <row r="45" spans="2:28" x14ac:dyDescent="0.25">
      <c r="B45" s="4" t="s">
        <v>5</v>
      </c>
      <c r="D45" s="50" t="s">
        <v>13</v>
      </c>
      <c r="F45" s="50" t="s">
        <v>2</v>
      </c>
      <c r="S45" s="72"/>
      <c r="V45" s="50" t="s">
        <v>113</v>
      </c>
      <c r="Y45" s="122" t="s">
        <v>115</v>
      </c>
      <c r="Z45" s="123">
        <f>Z41+Z43+Z44</f>
        <v>4151136.2129987641</v>
      </c>
      <c r="AA45" s="124" t="s">
        <v>117</v>
      </c>
      <c r="AB45" s="125">
        <f>Z$45/F$34</f>
        <v>0.70093318155675266</v>
      </c>
    </row>
    <row r="46" spans="2:28" x14ac:dyDescent="0.25">
      <c r="B46" s="4" t="s">
        <v>6</v>
      </c>
      <c r="D46" s="54">
        <v>27</v>
      </c>
      <c r="F46" s="74">
        <f>VLOOKUP(D46,'DRC id'!F34:G60,2,FALSE)</f>
        <v>16696643.571450001</v>
      </c>
      <c r="S46" s="78"/>
      <c r="T46" s="114"/>
      <c r="V46" s="65">
        <f>IF(V43/(V38)&gt;1,1,V43/(V38))</f>
        <v>1</v>
      </c>
      <c r="W46" s="1" t="s">
        <v>118</v>
      </c>
    </row>
    <row r="47" spans="2:28" x14ac:dyDescent="0.25">
      <c r="F47" s="50" t="s">
        <v>93</v>
      </c>
      <c r="J47" s="49"/>
      <c r="S47" s="72"/>
      <c r="V47" s="88"/>
      <c r="Y47" s="2" t="s">
        <v>126</v>
      </c>
      <c r="Z47" s="84">
        <f>N$58</f>
        <v>0</v>
      </c>
      <c r="AA47" s="85" t="s">
        <v>130</v>
      </c>
      <c r="AB47" s="86">
        <f>N$56</f>
        <v>0</v>
      </c>
    </row>
    <row r="48" spans="2:28" x14ac:dyDescent="0.25">
      <c r="D48" s="50" t="s">
        <v>148</v>
      </c>
      <c r="F48" s="53">
        <f>VLOOKUP(D46,'DRC id'!F34:H61,3,FALSE)</f>
        <v>1</v>
      </c>
      <c r="S48" s="72"/>
      <c r="V48" s="50"/>
      <c r="Y48" s="87" t="s">
        <v>137</v>
      </c>
      <c r="Z48" s="102">
        <f>P58</f>
        <v>0</v>
      </c>
      <c r="AA48" s="100" t="s">
        <v>130</v>
      </c>
      <c r="AB48" s="101">
        <f>P56</f>
        <v>0</v>
      </c>
    </row>
    <row r="49" spans="1:28" x14ac:dyDescent="0.25">
      <c r="B49" s="4"/>
      <c r="D49" s="54">
        <v>1</v>
      </c>
      <c r="P49" s="4"/>
      <c r="U49" s="99" t="s">
        <v>149</v>
      </c>
      <c r="V49" s="81">
        <f>V43</f>
        <v>8537387</v>
      </c>
      <c r="W49" s="98" t="s">
        <v>131</v>
      </c>
      <c r="Y49" s="2" t="s">
        <v>127</v>
      </c>
      <c r="Z49" s="84">
        <f>N$68</f>
        <v>0</v>
      </c>
      <c r="AA49" s="85" t="s">
        <v>130</v>
      </c>
      <c r="AB49" s="86">
        <f>N$66</f>
        <v>0</v>
      </c>
    </row>
    <row r="50" spans="1:28" x14ac:dyDescent="0.25">
      <c r="C50" s="50"/>
      <c r="V50" s="4" t="s">
        <v>132</v>
      </c>
      <c r="W50" s="3"/>
      <c r="Y50" s="2" t="s">
        <v>138</v>
      </c>
      <c r="Z50" s="84">
        <f>P68</f>
        <v>0</v>
      </c>
      <c r="AA50" s="85" t="s">
        <v>130</v>
      </c>
      <c r="AB50" s="86">
        <f>P66</f>
        <v>0</v>
      </c>
    </row>
    <row r="51" spans="1:28" x14ac:dyDescent="0.25">
      <c r="Y51" s="2" t="s">
        <v>128</v>
      </c>
      <c r="Z51" s="84">
        <f>P$63+P73</f>
        <v>9696909.6869910173</v>
      </c>
      <c r="AA51" s="85" t="s">
        <v>117</v>
      </c>
      <c r="AB51" s="86">
        <f>P$39</f>
        <v>0.9</v>
      </c>
    </row>
    <row r="52" spans="1:28" x14ac:dyDescent="0.25">
      <c r="H52" s="50"/>
      <c r="P52" s="50"/>
      <c r="R52" s="3"/>
      <c r="S52" s="78"/>
      <c r="U52" s="99" t="str">
        <f>CONCATENATE(F$44," ","needs")</f>
        <v>DRC Total needs</v>
      </c>
      <c r="V52" s="80">
        <f>IF((V38-V43)&lt;=0,0,V38-V43)</f>
        <v>0</v>
      </c>
      <c r="W52" s="98" t="s">
        <v>133</v>
      </c>
      <c r="Y52" s="258" t="s">
        <v>116</v>
      </c>
      <c r="Z52" s="259">
        <f>Z48+Z50+Z51</f>
        <v>9696909.6869910173</v>
      </c>
      <c r="AA52" s="260" t="s">
        <v>117</v>
      </c>
      <c r="AB52" s="261">
        <f>Z$52/F$66</f>
        <v>0.9</v>
      </c>
    </row>
    <row r="53" spans="1:28" x14ac:dyDescent="0.25">
      <c r="A53" s="49"/>
      <c r="C53" s="241"/>
      <c r="H53" s="50"/>
      <c r="P53" s="50"/>
      <c r="R53" s="3"/>
      <c r="S53" s="78"/>
      <c r="V53" s="4" t="s">
        <v>134</v>
      </c>
      <c r="W53" s="3"/>
      <c r="Y53" s="2"/>
      <c r="Z53" s="84"/>
      <c r="AA53" s="85"/>
      <c r="AB53" s="86"/>
    </row>
    <row r="54" spans="1:28" x14ac:dyDescent="0.25">
      <c r="C54" s="241"/>
      <c r="H54" s="50"/>
      <c r="J54" s="301">
        <v>6</v>
      </c>
      <c r="P54" s="50"/>
      <c r="R54" s="3"/>
      <c r="S54" s="78"/>
      <c r="U54" s="99"/>
      <c r="W54" s="98"/>
      <c r="Y54" s="2"/>
      <c r="Z54" s="84"/>
      <c r="AA54" s="85"/>
      <c r="AB54" s="86"/>
    </row>
    <row r="55" spans="1:28" x14ac:dyDescent="0.25">
      <c r="C55" s="241"/>
      <c r="H55" s="50" t="s">
        <v>98</v>
      </c>
      <c r="J55" s="50" t="s">
        <v>105</v>
      </c>
      <c r="P55" s="50"/>
      <c r="R55" s="3" t="s">
        <v>108</v>
      </c>
      <c r="S55" s="78" t="str">
        <f>F$44</f>
        <v>DRC Total</v>
      </c>
      <c r="V55" s="2" t="s">
        <v>242</v>
      </c>
      <c r="Y55" s="2"/>
      <c r="Z55" s="84"/>
      <c r="AA55" s="85"/>
      <c r="AB55" s="86"/>
    </row>
    <row r="56" spans="1:28" x14ac:dyDescent="0.25">
      <c r="C56" s="241"/>
      <c r="H56" s="75">
        <f>VLOOKUP(D46,'DRC id'!F34:L60,6,FALSE)</f>
        <v>0.69299999999999995</v>
      </c>
      <c r="J56" s="53">
        <f>VLOOKUP($D$43,Scenario[],J54,FALSE)</f>
        <v>0</v>
      </c>
      <c r="L56" s="247">
        <f>VLOOKUP(D$46,'DRC id'!$E$233:$M$259,'Decision Tree'!J54)</f>
        <v>0.17171165660304474</v>
      </c>
      <c r="N56" s="252">
        <f>L56*J56</f>
        <v>0</v>
      </c>
      <c r="P56" s="67">
        <f>P58/H57</f>
        <v>0</v>
      </c>
      <c r="R56" s="105">
        <f>'DRC VAS Cost'!D4</f>
        <v>0.26040000000000002</v>
      </c>
      <c r="S56" s="72" t="str">
        <f>F$65</f>
        <v>24-59 months old</v>
      </c>
      <c r="V56" s="83">
        <f>V52*0.026</f>
        <v>0</v>
      </c>
      <c r="Y56" s="258" t="s">
        <v>114</v>
      </c>
      <c r="Z56" s="259">
        <f>Z45+Z52</f>
        <v>13848045.899989782</v>
      </c>
      <c r="AA56" s="260" t="s">
        <v>117</v>
      </c>
      <c r="AB56" s="261">
        <f>Z$56/F$46</f>
        <v>0.82939099949818029</v>
      </c>
    </row>
    <row r="57" spans="1:28" x14ac:dyDescent="0.25">
      <c r="C57" s="241"/>
      <c r="H57" s="74">
        <f>F66*H56</f>
        <v>7466620.4589830823</v>
      </c>
      <c r="J57" s="74">
        <f>F66*H56*J56</f>
        <v>0</v>
      </c>
      <c r="N57" s="50" t="s">
        <v>83</v>
      </c>
      <c r="P57" s="50" t="s">
        <v>83</v>
      </c>
      <c r="R57" s="50" t="s">
        <v>107</v>
      </c>
      <c r="S57" s="72">
        <f>H$105</f>
        <v>0</v>
      </c>
      <c r="Y57" s="262" t="s">
        <v>150</v>
      </c>
      <c r="Z57" s="263">
        <f>F46-Z56</f>
        <v>2848597.6714602187</v>
      </c>
      <c r="AA57" s="262"/>
      <c r="AB57" s="264">
        <f>1-AB56</f>
        <v>0.17060900050181971</v>
      </c>
    </row>
    <row r="58" spans="1:28" x14ac:dyDescent="0.25">
      <c r="C58" s="241"/>
      <c r="H58" s="50" t="s">
        <v>11</v>
      </c>
      <c r="N58" s="77">
        <f>H57*J56*L56</f>
        <v>0</v>
      </c>
      <c r="P58" s="77">
        <f>(N58)*V46</f>
        <v>0</v>
      </c>
      <c r="R58" s="68">
        <f>P58*R56</f>
        <v>0</v>
      </c>
      <c r="S58" s="72" t="str">
        <f>H$55</f>
        <v>&lt; 20km to nearest facility</v>
      </c>
    </row>
    <row r="59" spans="1:28" x14ac:dyDescent="0.25">
      <c r="C59" s="241"/>
      <c r="H59" s="76">
        <f>VLOOKUP(D46,'DRC id'!F34:N60,8,FALSE)</f>
        <v>6.1701952383025596</v>
      </c>
      <c r="J59" s="300">
        <v>7</v>
      </c>
      <c r="U59" s="3"/>
      <c r="V59" s="3"/>
      <c r="W59" s="3"/>
    </row>
    <row r="60" spans="1:28" x14ac:dyDescent="0.25">
      <c r="C60" s="241"/>
      <c r="H60" s="50" t="s">
        <v>226</v>
      </c>
      <c r="J60" s="50" t="s">
        <v>106</v>
      </c>
      <c r="P60" s="50"/>
      <c r="R60" s="3" t="s">
        <v>108</v>
      </c>
    </row>
    <row r="61" spans="1:28" x14ac:dyDescent="0.25">
      <c r="C61" s="241"/>
      <c r="F61" s="4"/>
      <c r="H61" s="50" t="s">
        <v>225</v>
      </c>
      <c r="J61" s="53">
        <f>VLOOKUP($D$43,Scenario[],J59,FALSE)</f>
        <v>1</v>
      </c>
      <c r="L61" s="247">
        <f>VLOOKUP(D$46,'DRC id'!$E$233:$M$259,'Decision Tree'!J59)</f>
        <v>0.9</v>
      </c>
      <c r="N61" s="252">
        <f>L61*J61</f>
        <v>0.9</v>
      </c>
      <c r="P61" s="67">
        <f>N61</f>
        <v>0.9</v>
      </c>
      <c r="R61" s="105">
        <f>'DRC VAS Cost'!D5</f>
        <v>0.54649999999999999</v>
      </c>
      <c r="S61" s="72"/>
    </row>
    <row r="62" spans="1:28" x14ac:dyDescent="0.25">
      <c r="C62" s="241"/>
      <c r="F62" s="4"/>
      <c r="H62" s="243">
        <f>'DRC id'!G129</f>
        <v>1.0895573625834787</v>
      </c>
      <c r="J62" s="74">
        <f>F66*H56*J61</f>
        <v>7466620.4589830823</v>
      </c>
      <c r="N62" s="50" t="s">
        <v>83</v>
      </c>
      <c r="P62" s="50" t="s">
        <v>83</v>
      </c>
      <c r="R62" s="50" t="s">
        <v>107</v>
      </c>
      <c r="S62" s="72"/>
      <c r="Y62" s="265" t="s">
        <v>84</v>
      </c>
      <c r="Z62" s="266">
        <f>R$25+R$36+R$58+R$68</f>
        <v>319228.88669474842</v>
      </c>
      <c r="AB62" s="49"/>
    </row>
    <row r="63" spans="1:28" x14ac:dyDescent="0.25">
      <c r="C63" s="241"/>
      <c r="H63" s="4"/>
      <c r="N63" s="77">
        <f>H57*J61*L61</f>
        <v>6719958.4130847743</v>
      </c>
      <c r="P63" s="77">
        <f>N63</f>
        <v>6719958.4130847743</v>
      </c>
      <c r="R63" s="68">
        <f>P63*R61</f>
        <v>3672457.2727508289</v>
      </c>
      <c r="S63" s="72"/>
      <c r="Y63" s="267" t="s">
        <v>85</v>
      </c>
      <c r="Z63" s="268">
        <f>R$30+R$41+R63+R73</f>
        <v>6666020.1528745573</v>
      </c>
    </row>
    <row r="64" spans="1:28" x14ac:dyDescent="0.25">
      <c r="C64" s="241"/>
      <c r="J64" s="300">
        <v>8</v>
      </c>
      <c r="S64" s="72"/>
      <c r="Y64" s="265" t="s">
        <v>107</v>
      </c>
      <c r="Z64" s="266">
        <f>SUM(Z$62:Z$63)</f>
        <v>6985249.0395693053</v>
      </c>
    </row>
    <row r="65" spans="3:27" x14ac:dyDescent="0.25">
      <c r="C65" s="241"/>
      <c r="F65" s="50" t="s">
        <v>4</v>
      </c>
      <c r="H65" s="50" t="s">
        <v>97</v>
      </c>
      <c r="J65" s="50" t="s">
        <v>105</v>
      </c>
      <c r="P65" s="50"/>
      <c r="R65" s="3" t="s">
        <v>108</v>
      </c>
      <c r="S65" s="78" t="str">
        <f>F$44</f>
        <v>DRC Total</v>
      </c>
    </row>
    <row r="66" spans="3:27" x14ac:dyDescent="0.25">
      <c r="C66" s="241"/>
      <c r="F66" s="74">
        <f>F$46*F$67</f>
        <v>10774344.096656686</v>
      </c>
      <c r="H66" s="75">
        <f>VLOOKUP(D46,'DRC id'!F34:L60,7,FALSE)</f>
        <v>0.307</v>
      </c>
      <c r="J66" s="53">
        <f>VLOOKUP($D$43,Scenario[],J64,FALSE)</f>
        <v>0</v>
      </c>
      <c r="L66" s="247">
        <f>VLOOKUP(D$46,'DRC id'!$E$233:$M$259,'Decision Tree'!J64)</f>
        <v>0.12433352683188463</v>
      </c>
      <c r="N66" s="252">
        <f>L66*J66</f>
        <v>0</v>
      </c>
      <c r="P66" s="67">
        <f>P68/H67</f>
        <v>0</v>
      </c>
      <c r="R66" s="105">
        <f>'DRC VAS Cost'!D4</f>
        <v>0.26040000000000002</v>
      </c>
      <c r="S66" s="72" t="str">
        <f>F65</f>
        <v>24-59 months old</v>
      </c>
    </row>
    <row r="67" spans="3:27" x14ac:dyDescent="0.25">
      <c r="C67" s="241"/>
      <c r="F67" s="53">
        <f>'DRC Population'!L32</f>
        <v>0.64529999999999998</v>
      </c>
      <c r="H67" s="74">
        <f>F66*H66</f>
        <v>3307723.6376736024</v>
      </c>
      <c r="J67" s="74">
        <f>F66*H66*J66</f>
        <v>0</v>
      </c>
      <c r="N67" s="50" t="s">
        <v>83</v>
      </c>
      <c r="P67" s="50" t="s">
        <v>83</v>
      </c>
      <c r="R67" s="50" t="s">
        <v>107</v>
      </c>
      <c r="S67" s="72">
        <f>H105</f>
        <v>0</v>
      </c>
      <c r="Y67" s="2" t="str">
        <f>CONCATENATE(F$44," ","has")</f>
        <v>DRC Total has</v>
      </c>
      <c r="Z67" s="81">
        <f>P$30+P$41</f>
        <v>2559765.8904925408</v>
      </c>
      <c r="AA67" s="2" t="s">
        <v>109</v>
      </c>
    </row>
    <row r="68" spans="3:27" x14ac:dyDescent="0.25">
      <c r="C68" s="241"/>
      <c r="H68" s="50" t="s">
        <v>11</v>
      </c>
      <c r="N68" s="77">
        <f>H67*J66*L66</f>
        <v>0</v>
      </c>
      <c r="P68" s="77">
        <f>(N68)*V46</f>
        <v>0</v>
      </c>
      <c r="R68" s="68">
        <f>P68*R66</f>
        <v>0</v>
      </c>
      <c r="S68" s="72" t="str">
        <f>H65</f>
        <v>&gt; 20km to nearest facility</v>
      </c>
      <c r="Y68" s="2" t="str">
        <f>CONCATENATE(F$44," would save")</f>
        <v>DRC Total would save</v>
      </c>
      <c r="Z68" s="82">
        <f>(R41+R30)-(Z67*R34)-V56</f>
        <v>853169.97130116378</v>
      </c>
      <c r="AA68" s="2" t="s">
        <v>110</v>
      </c>
    </row>
    <row r="69" spans="3:27" x14ac:dyDescent="0.25">
      <c r="C69" s="241"/>
      <c r="H69" s="76">
        <f>VLOOKUP(D46,'DRC id'!F34:N60,9,FALSE)</f>
        <v>36.182761094160803</v>
      </c>
      <c r="J69" s="300">
        <v>9</v>
      </c>
      <c r="Y69" s="2" t="str">
        <f>CONCATENATE(F$44,"'s Facility-Based costs would increase to")</f>
        <v>DRC Total's Facility-Based costs would increase to</v>
      </c>
      <c r="Z69" s="82">
        <f>Z$62+V$56</f>
        <v>319228.88669474842</v>
      </c>
      <c r="AA69" s="2" t="s">
        <v>139</v>
      </c>
    </row>
    <row r="70" spans="3:27" x14ac:dyDescent="0.25">
      <c r="C70" s="241"/>
      <c r="H70" s="50" t="s">
        <v>227</v>
      </c>
      <c r="J70" s="50" t="s">
        <v>106</v>
      </c>
      <c r="P70" s="50"/>
      <c r="R70" s="3" t="s">
        <v>108</v>
      </c>
      <c r="Y70" s="2" t="s">
        <v>140</v>
      </c>
      <c r="Z70" s="103">
        <f>Z69-Z68</f>
        <v>-533941.08460641536</v>
      </c>
      <c r="AA70" s="1" t="s">
        <v>141</v>
      </c>
    </row>
    <row r="71" spans="3:27" x14ac:dyDescent="0.25">
      <c r="C71" s="241"/>
      <c r="H71" s="50" t="s">
        <v>225</v>
      </c>
      <c r="J71" s="53">
        <f>VLOOKUP($D$43,Scenario[],J69,FALSE)</f>
        <v>1</v>
      </c>
      <c r="L71" s="247">
        <f>VLOOKUP(D$46,'DRC id'!$E$233:$M$259,'Decision Tree'!J69)</f>
        <v>0.9</v>
      </c>
      <c r="N71" s="252">
        <f>L71*J71</f>
        <v>0.9</v>
      </c>
      <c r="P71" s="67">
        <f>N71</f>
        <v>0.9</v>
      </c>
      <c r="R71" s="105">
        <f>'DRC VAS Cost'!D5</f>
        <v>0.54649999999999999</v>
      </c>
      <c r="Y71" s="2" t="str">
        <f>CONCATENATE(F$44," ","has at least")</f>
        <v>DRC Total has at least</v>
      </c>
      <c r="Z71" s="81">
        <f>H$36+H$67</f>
        <v>5125869.5764351506</v>
      </c>
      <c r="AA71" s="2" t="s">
        <v>119</v>
      </c>
    </row>
    <row r="72" spans="3:27" x14ac:dyDescent="0.25">
      <c r="C72" s="241"/>
      <c r="H72" s="243">
        <f>'DRC id'!G131</f>
        <v>0.78893018829129569</v>
      </c>
      <c r="J72" s="74">
        <f>F66*H66*J71</f>
        <v>3307723.6376736024</v>
      </c>
      <c r="N72" s="50" t="s">
        <v>83</v>
      </c>
      <c r="P72" s="50" t="s">
        <v>83</v>
      </c>
      <c r="R72" s="50" t="s">
        <v>107</v>
      </c>
      <c r="Y72" s="2" t="s">
        <v>120</v>
      </c>
      <c r="Z72" s="90">
        <f>Z$71/F$46</f>
        <v>0.30700000000000005</v>
      </c>
      <c r="AA72" s="2" t="s">
        <v>121</v>
      </c>
    </row>
    <row r="73" spans="3:27" x14ac:dyDescent="0.25">
      <c r="C73" s="241"/>
      <c r="J73" s="4"/>
      <c r="N73" s="77">
        <f>H67*J71*L71</f>
        <v>2976951.2739062421</v>
      </c>
      <c r="P73" s="77">
        <f>N73</f>
        <v>2976951.2739062421</v>
      </c>
      <c r="R73" s="68">
        <f>P73*R71</f>
        <v>1626903.8711897612</v>
      </c>
      <c r="Y73" s="2" t="s">
        <v>122</v>
      </c>
    </row>
    <row r="74" spans="3:27" x14ac:dyDescent="0.25">
      <c r="C74" s="241"/>
      <c r="J74" s="4"/>
    </row>
    <row r="75" spans="3:27" x14ac:dyDescent="0.25">
      <c r="C75" s="241"/>
      <c r="J75" s="4"/>
    </row>
    <row r="76" spans="3:27" x14ac:dyDescent="0.25">
      <c r="J76" s="4"/>
    </row>
    <row r="77" spans="3:27" x14ac:dyDescent="0.25">
      <c r="J77" s="4"/>
    </row>
    <row r="78" spans="3:27" x14ac:dyDescent="0.25">
      <c r="J78" s="4"/>
    </row>
    <row r="79" spans="3:27" x14ac:dyDescent="0.25">
      <c r="J79" s="4"/>
    </row>
  </sheetData>
  <mergeCells count="2">
    <mergeCell ref="B33:D35"/>
    <mergeCell ref="Y34:AB34"/>
  </mergeCells>
  <conditionalFormatting sqref="V46">
    <cfRule type="colorScale" priority="2">
      <colorScale>
        <cfvo type="num" val="0.5"/>
        <cfvo type="num" val="0.7"/>
        <cfvo type="num" val="0.9"/>
        <color rgb="FFF8696B"/>
        <color rgb="FFFFEB84"/>
        <color rgb="FF63BE7B"/>
      </colorScale>
    </cfRule>
  </conditionalFormatting>
  <conditionalFormatting sqref="V56">
    <cfRule type="colorScale" priority="1">
      <colorScale>
        <cfvo type="num" val="0"/>
        <cfvo type="num" val="100"/>
        <cfvo type="num" val="100"/>
        <color theme="0" tint="-0.14999847407452621"/>
        <color rgb="FFFFEB84"/>
        <color rgb="FFFFEF9C"/>
      </colorScale>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BB2CAD9C-87C3-4BE7-89CF-F68C2B96271F}">
          <x14:formula1>
            <xm:f>'DRC id'!$B$4:$B$628</xm:f>
          </x14:formula1>
          <xm:sqref>D43</xm:sqref>
        </x14:dataValidation>
        <x14:dataValidation type="list" allowBlank="1" showInputMessage="1" showErrorMessage="1" xr:uid="{24B81B02-72C0-40D7-9124-DD352E4FCAAD}">
          <x14:formula1>
            <xm:f>'DRC id'!$E$4:$E$30</xm:f>
          </x14:formula1>
          <xm:sqref>D46</xm:sqref>
        </x14:dataValidation>
        <x14:dataValidation type="list" allowBlank="1" showInputMessage="1" showErrorMessage="1" xr:uid="{64102925-39D2-4E46-AE87-2B0DF5101A90}">
          <x14:formula1>
            <xm:f>'DRC id'!$H$5:$H$9</xm:f>
          </x14:formula1>
          <xm:sqref>D49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2AC7F-E824-42A4-94CA-B16630368D7A}">
  <dimension ref="A1:N634"/>
  <sheetViews>
    <sheetView zoomScale="85" zoomScaleNormal="85" workbookViewId="0">
      <selection activeCell="E41" sqref="E41"/>
    </sheetView>
  </sheetViews>
  <sheetFormatPr defaultRowHeight="15" x14ac:dyDescent="0.25"/>
  <cols>
    <col min="1" max="1" width="20.28515625" customWidth="1"/>
    <col min="2" max="2" width="18.42578125" customWidth="1"/>
    <col min="3" max="3" width="21" customWidth="1"/>
    <col min="4" max="4" width="18.7109375" customWidth="1"/>
    <col min="5" max="5" width="21.28515625" customWidth="1"/>
    <col min="6" max="6" width="19.42578125" customWidth="1"/>
    <col min="7" max="7" width="22" customWidth="1"/>
    <col min="8" max="8" width="19.7109375" customWidth="1"/>
    <col min="9" max="9" width="22.28515625" customWidth="1"/>
    <col min="10" max="10" width="17.28515625" customWidth="1"/>
    <col min="11" max="11" width="15" customWidth="1"/>
    <col min="12" max="13" width="16.28515625" customWidth="1"/>
    <col min="14" max="14" width="22.7109375" customWidth="1"/>
  </cols>
  <sheetData>
    <row r="1" spans="1:14" x14ac:dyDescent="0.25">
      <c r="A1" s="296" t="s">
        <v>248</v>
      </c>
      <c r="B1" s="296"/>
      <c r="C1" s="273">
        <f>'Decision Tree'!D46</f>
        <v>27</v>
      </c>
      <c r="D1" s="298" t="s">
        <v>258</v>
      </c>
      <c r="F1" s="297" t="str">
        <f>VLOOKUP(C1,'DRC id'!D34:E60,2,FALSE)</f>
        <v>DRC Total</v>
      </c>
    </row>
    <row r="3" spans="1:14" x14ac:dyDescent="0.25">
      <c r="B3" s="280" t="s">
        <v>247</v>
      </c>
      <c r="C3" s="281">
        <f>'Decision Tree'!F46</f>
        <v>16696643.571450001</v>
      </c>
      <c r="D3" s="282"/>
      <c r="E3" s="282"/>
      <c r="F3" s="283" t="s">
        <v>249</v>
      </c>
      <c r="G3" s="284" t="s">
        <v>153</v>
      </c>
      <c r="H3" s="285" t="s">
        <v>168</v>
      </c>
    </row>
    <row r="4" spans="1:14" x14ac:dyDescent="0.25">
      <c r="B4" s="218" t="s">
        <v>243</v>
      </c>
      <c r="C4" s="286">
        <f>'DRC Population'!K32</f>
        <v>0.35470000000000002</v>
      </c>
      <c r="D4" s="287" t="s">
        <v>197</v>
      </c>
      <c r="E4" s="288">
        <f>'Decision Tree'!H23</f>
        <v>0.69299999999999995</v>
      </c>
      <c r="F4" s="289" t="s">
        <v>184</v>
      </c>
      <c r="G4" s="290">
        <f>'DRC VAS Cost'!C4</f>
        <v>0.2006</v>
      </c>
      <c r="H4" s="291">
        <f>'DRC VAS Cost'!D4</f>
        <v>0.26040000000000002</v>
      </c>
    </row>
    <row r="5" spans="1:14" x14ac:dyDescent="0.25">
      <c r="B5" s="219" t="s">
        <v>244</v>
      </c>
      <c r="C5" s="292">
        <f>'DRC Population'!L32</f>
        <v>0.64529999999999998</v>
      </c>
      <c r="D5" s="275" t="s">
        <v>198</v>
      </c>
      <c r="E5" s="293">
        <f>'Decision Tree'!H35</f>
        <v>0.307</v>
      </c>
      <c r="F5" s="279" t="s">
        <v>77</v>
      </c>
      <c r="G5" s="274">
        <f>'DRC VAS Cost'!C5</f>
        <v>0.53390000000000004</v>
      </c>
      <c r="H5" s="294">
        <f>'DRC VAS Cost'!D5</f>
        <v>0.54649999999999999</v>
      </c>
    </row>
    <row r="6" spans="1:14" x14ac:dyDescent="0.25">
      <c r="E6" s="232"/>
    </row>
    <row r="7" spans="1:14" x14ac:dyDescent="0.25">
      <c r="A7" s="296" t="s">
        <v>261</v>
      </c>
      <c r="B7" s="257">
        <f>'Decision Tree'!L23</f>
        <v>0.5169950583102505</v>
      </c>
      <c r="C7" s="270">
        <f>'Decision Tree'!L28</f>
        <v>0.9</v>
      </c>
      <c r="D7" s="257">
        <f>'Decision Tree'!L34</f>
        <v>0.37434743934110698</v>
      </c>
      <c r="E7" s="257">
        <f>'Decision Tree'!L39</f>
        <v>0.9</v>
      </c>
      <c r="F7" s="257">
        <f>'Decision Tree'!L56</f>
        <v>0.17171165660304474</v>
      </c>
      <c r="G7" s="257">
        <f>'Decision Tree'!L61</f>
        <v>0.9</v>
      </c>
      <c r="H7" s="257">
        <f>'Decision Tree'!L66</f>
        <v>0.12433352683188463</v>
      </c>
      <c r="I7" s="257">
        <f>'Decision Tree'!L71</f>
        <v>0.9</v>
      </c>
      <c r="J7" s="271" t="s">
        <v>255</v>
      </c>
      <c r="K7" s="269"/>
      <c r="L7" s="269"/>
      <c r="M7" s="269"/>
    </row>
    <row r="8" spans="1:14" x14ac:dyDescent="0.25">
      <c r="A8">
        <v>1</v>
      </c>
      <c r="B8">
        <v>2</v>
      </c>
      <c r="C8">
        <v>3</v>
      </c>
      <c r="D8">
        <v>4</v>
      </c>
      <c r="E8">
        <v>5</v>
      </c>
      <c r="F8">
        <v>6</v>
      </c>
      <c r="G8">
        <v>7</v>
      </c>
      <c r="H8">
        <v>8</v>
      </c>
      <c r="I8">
        <v>9</v>
      </c>
    </row>
    <row r="9" spans="1:14" x14ac:dyDescent="0.25">
      <c r="A9" t="s">
        <v>111</v>
      </c>
      <c r="B9" t="s">
        <v>228</v>
      </c>
      <c r="C9" t="s">
        <v>229</v>
      </c>
      <c r="D9" t="s">
        <v>230</v>
      </c>
      <c r="E9" t="s">
        <v>231</v>
      </c>
      <c r="F9" t="s">
        <v>232</v>
      </c>
      <c r="G9" t="s">
        <v>233</v>
      </c>
      <c r="H9" t="s">
        <v>234</v>
      </c>
      <c r="I9" t="s">
        <v>235</v>
      </c>
      <c r="J9" t="s">
        <v>107</v>
      </c>
      <c r="K9" t="s">
        <v>257</v>
      </c>
      <c r="L9" t="s">
        <v>256</v>
      </c>
      <c r="M9" t="s">
        <v>251</v>
      </c>
      <c r="N9" t="s">
        <v>267</v>
      </c>
    </row>
    <row r="10" spans="1:14" x14ac:dyDescent="0.25">
      <c r="A10">
        <v>1</v>
      </c>
      <c r="B10">
        <v>1</v>
      </c>
      <c r="C10">
        <v>0</v>
      </c>
      <c r="D10">
        <v>1</v>
      </c>
      <c r="E10">
        <v>0</v>
      </c>
      <c r="F10">
        <v>1</v>
      </c>
      <c r="G10">
        <v>0</v>
      </c>
      <c r="H10">
        <v>1</v>
      </c>
      <c r="I10">
        <v>0</v>
      </c>
      <c r="J10" s="272">
        <f>$C$3*($C$4*$E$4*B10*$B$7)*$G$4+$C$3*($C$4*$E$5*D10*$D$7)*$G$4+$C$3*($C$4*$E$4*C10*$C$7)*$G$5+$C$3*($C$4*$E$5*E10*$E$7)*$G$5+$C$3*($C$5*$E$4*F10*$F$7)*$H$4+$C$3*($C$5*$E$5*H10*$H$7)*$H$4+$C$3*($C$5*$E$5*I10*$I$7)*$H$5+$C$3*($C$5*$E$4*G10*$G$7)*$H$5</f>
        <v>1003123.2341620175</v>
      </c>
      <c r="K10" s="277">
        <f>ROUND(($C$4*$E$4*B10*$B$7+$C$4*$E$4*C10*$C$7+$C$4*$E$5*D10*$D$7+$C$4*$E$5*E10*$E$7+($C$5*$E$4*F10*$F$7+$C$5*$E$4*G10*$G$7+$C$5*$E$5*H10*$H$7+$C$5*$E$5*I10*$I$7)),2)</f>
        <v>0.27</v>
      </c>
      <c r="L10" s="276">
        <f>Scenario[[#This Row],[Total Cost]]/(Scenario[[#This Row],[Total Coverage]]*100)</f>
        <v>37152.712376371019</v>
      </c>
      <c r="M10" s="295" cm="1">
        <f t="array" ref="M10">IF(AND(K10=MAX(K$10:K10), L10=MIN(IF(K$10:K10=K10, L$10:L10))), 1, 0)</f>
        <v>1</v>
      </c>
      <c r="N10" s="295">
        <f>IF(AND(Scenario[[#This Row],[Total Coverage]]&gt;=70%,Scenario[[#This Row],[Frontier]]=1),1,0)</f>
        <v>0</v>
      </c>
    </row>
    <row r="11" spans="1:14" x14ac:dyDescent="0.25">
      <c r="A11">
        <v>26</v>
      </c>
      <c r="B11">
        <v>1</v>
      </c>
      <c r="C11">
        <v>0</v>
      </c>
      <c r="D11">
        <v>0.75</v>
      </c>
      <c r="E11">
        <v>0.25</v>
      </c>
      <c r="F11">
        <v>1</v>
      </c>
      <c r="G11">
        <v>0</v>
      </c>
      <c r="H11">
        <v>1</v>
      </c>
      <c r="I11">
        <v>0</v>
      </c>
      <c r="J11" s="272">
        <f>$C$3*($C$4*$E$4*B10*$B$7)*$G$4+$C$3*($C$4*$E$5*D11*$D$7)*$G$4+$C$3*($C$4*$E$4*C11*$C$7)*$G$5+$C$3*($C$4*$E$5*E11*$E$7)*$G$5+$C$3*($C$5*$E$4*F11*$F$7)*$H$4+$C$3*($C$5*$E$5*H11*$H$7)*$H$4+$C$3*($C$5*$E$5*I11*$I$7)*$H$5+$C$3*($C$5*$E$4*G11*$G$7)*$H$5</f>
        <v>1187399.553852926</v>
      </c>
      <c r="K11" s="277">
        <f>ROUND(($C$4*$E$4*B11*$B$7+$C$4*$E$4*C11*$C$7+$C$4*$E$5*D11*$D$7+$C$4*$E$5*E11*$E$7+($C$5*$E$4*F11*$F$7+$C$5*$E$4*G11*$G$7+$C$5*$E$5*H11*$H$7+$C$5*$E$5*I11*$I$7)),2)</f>
        <v>0.28000000000000003</v>
      </c>
      <c r="L11" s="276">
        <f>Scenario[[#This Row],[Total Cost]]/(Scenario[[#This Row],[Total Coverage]]*100)</f>
        <v>42407.126923318778</v>
      </c>
      <c r="M11" s="295" cm="1">
        <f t="array" ref="M11">IF(AND(K11=MAX(K$10:K11), L11=MIN(IF(K$10:K11=K11, L$10:L11))), 1, 0)</f>
        <v>1</v>
      </c>
      <c r="N11" s="295">
        <f>IF(AND(Scenario[[#This Row],[Total Coverage]]&gt;=70%,Scenario[[#This Row],[Frontier]]=1),1,0)</f>
        <v>0</v>
      </c>
    </row>
    <row r="12" spans="1:14" x14ac:dyDescent="0.25">
      <c r="A12">
        <v>126</v>
      </c>
      <c r="B12">
        <v>0.75</v>
      </c>
      <c r="C12">
        <v>0.25</v>
      </c>
      <c r="D12">
        <v>1</v>
      </c>
      <c r="E12">
        <v>0</v>
      </c>
      <c r="F12">
        <v>1</v>
      </c>
      <c r="G12">
        <v>0</v>
      </c>
      <c r="H12">
        <v>1</v>
      </c>
      <c r="I12">
        <v>0</v>
      </c>
      <c r="J12" s="272">
        <f>$C$3*($C$4*$E$4*B11*$B$7)*$G$4+$C$3*($C$4*$E$5*D12*$D$7)*$G$4+$C$3*($C$4*$E$4*C12*$C$7)*$G$5+$C$3*($C$4*$E$5*E12*$E$7)*$G$5+$C$3*($C$5*$E$4*F12*$F$7)*$H$4+$C$3*($C$5*$E$5*H12*$H$7)*$H$4+$C$3*($C$5*$E$5*I12*$I$7)*$H$5+$C$3*($C$5*$E$4*G12*$G$7)*$H$5</f>
        <v>1496144.9380616737</v>
      </c>
      <c r="K12" s="277">
        <f>ROUND(($C$4*$E$4*B12*$B$7+$C$4*$E$4*C12*$C$7+$C$4*$E$5*D12*$D$7+$C$4*$E$5*E12*$E$7+($C$5*$E$4*F12*$F$7+$C$5*$E$4*G12*$G$7+$C$5*$E$5*H12*$H$7+$C$5*$E$5*I12*$I$7)),2)</f>
        <v>0.28999999999999998</v>
      </c>
      <c r="L12" s="276">
        <f>Scenario[[#This Row],[Total Cost]]/(Scenario[[#This Row],[Total Coverage]]*100)</f>
        <v>51591.204760747372</v>
      </c>
      <c r="M12" s="295" cm="1">
        <f t="array" ref="M12">IF(AND(K12=MAX(K$10:K12), L12=MIN(IF(K$10:K12=K12, L$10:L12))), 1, 0)</f>
        <v>1</v>
      </c>
      <c r="N12" s="295">
        <f>IF(AND(Scenario[[#This Row],[Total Coverage]]&gt;=70%,Scenario[[#This Row],[Frontier]]=1),1,0)</f>
        <v>0</v>
      </c>
    </row>
    <row r="13" spans="1:14" x14ac:dyDescent="0.25">
      <c r="A13">
        <v>51</v>
      </c>
      <c r="B13">
        <v>1</v>
      </c>
      <c r="C13">
        <v>0</v>
      </c>
      <c r="D13">
        <v>0.5</v>
      </c>
      <c r="E13">
        <v>0.5</v>
      </c>
      <c r="F13">
        <v>1</v>
      </c>
      <c r="G13">
        <v>0</v>
      </c>
      <c r="H13">
        <v>1</v>
      </c>
      <c r="I13">
        <v>0</v>
      </c>
      <c r="J13" s="272">
        <f>$C$3*($C$4*$E$4*B12*$B$7)*$G$4+$C$3*($C$4*$E$5*D13*$D$7)*$G$4+$C$3*($C$4*$E$4*C13*$C$7)*$G$5+$C$3*($C$4*$E$5*E13*$E$7)*$G$5+$C$3*($C$5*$E$4*F13*$F$7)*$H$4+$C$3*($C$5*$E$5*H13*$H$7)*$H$4+$C$3*($C$5*$E$5*I13*$I$7)*$H$5+$C$3*($C$5*$E$4*G13*$G$7)*$H$5</f>
        <v>1265266.2446455848</v>
      </c>
      <c r="K13" s="277">
        <f>ROUND(($C$4*$E$4*B13*$B$7+$C$4*$E$4*C13*$C$7+$C$4*$E$5*D13*$D$7+$C$4*$E$5*E13*$E$7+($C$5*$E$4*F13*$F$7+$C$5*$E$4*G13*$G$7+$C$5*$E$5*H13*$H$7+$C$5*$E$5*I13*$I$7)),2)</f>
        <v>0.3</v>
      </c>
      <c r="L13" s="276">
        <f>Scenario[[#This Row],[Total Cost]]/(Scenario[[#This Row],[Total Coverage]]*100)</f>
        <v>42175.541488186158</v>
      </c>
      <c r="M13" s="295" cm="1">
        <f t="array" ref="M13">IF(AND(K13=MAX(K$10:K13), L13=MIN(IF(K$10:K13=K13, L$10:L13))), 1, 0)</f>
        <v>1</v>
      </c>
      <c r="N13" s="295">
        <f>IF(AND(Scenario[[#This Row],[Total Coverage]]&gt;=70%,Scenario[[#This Row],[Frontier]]=1),1,0)</f>
        <v>0</v>
      </c>
    </row>
    <row r="14" spans="1:14" x14ac:dyDescent="0.25">
      <c r="A14">
        <v>2</v>
      </c>
      <c r="B14">
        <v>1</v>
      </c>
      <c r="C14">
        <v>0</v>
      </c>
      <c r="D14">
        <v>1</v>
      </c>
      <c r="E14">
        <v>0</v>
      </c>
      <c r="F14">
        <v>1</v>
      </c>
      <c r="G14">
        <v>0</v>
      </c>
      <c r="H14">
        <v>0.75</v>
      </c>
      <c r="I14">
        <v>0.25</v>
      </c>
      <c r="J14" s="272">
        <f>$C$3*($C$4*$E$4*B13*$B$7)*$G$4+$C$3*($C$4*$E$5*D14*$D$7)*$G$4+$C$3*($C$4*$E$4*C14*$C$7)*$G$5+$C$3*($C$4*$E$5*E14*$E$7)*$G$5+$C$3*($C$5*$E$4*F14*$F$7)*$H$4+$C$3*($C$5*$E$5*H14*$H$7)*$H$4+$C$3*($C$5*$E$5*I14*$I$7)*$H$5+$C$3*($C$5*$E$4*G14*$G$7)*$H$5</f>
        <v>1383076.1143971775</v>
      </c>
      <c r="K14" s="277">
        <f>ROUND(($C$4*$E$4*B14*$B$7+$C$4*$E$4*C14*$C$7+$C$4*$E$5*D14*$D$7+$C$4*$E$5*E14*$E$7+($C$5*$E$4*F14*$F$7+$C$5*$E$4*G14*$G$7+$C$5*$E$5*H14*$H$7+$C$5*$E$5*I14*$I$7)),2)</f>
        <v>0.31</v>
      </c>
      <c r="L14" s="276">
        <f>Scenario[[#This Row],[Total Cost]]/(Scenario[[#This Row],[Total Coverage]]*100)</f>
        <v>44615.358528941208</v>
      </c>
      <c r="M14" s="295" cm="1">
        <f t="array" ref="M14">IF(AND(K14=MAX(K$10:K14), L14=MIN(IF(K$10:K14=K14, L$10:L14))), 1, 0)</f>
        <v>1</v>
      </c>
      <c r="N14" s="295">
        <f>IF(AND(Scenario[[#This Row],[Total Coverage]]&gt;=70%,Scenario[[#This Row],[Frontier]]=1),1,0)</f>
        <v>0</v>
      </c>
    </row>
    <row r="15" spans="1:14" x14ac:dyDescent="0.25">
      <c r="A15">
        <v>76</v>
      </c>
      <c r="B15">
        <v>1</v>
      </c>
      <c r="C15">
        <v>0</v>
      </c>
      <c r="D15">
        <v>0.25</v>
      </c>
      <c r="E15">
        <v>0.75</v>
      </c>
      <c r="F15">
        <v>1</v>
      </c>
      <c r="G15">
        <v>0</v>
      </c>
      <c r="H15">
        <v>1</v>
      </c>
      <c r="I15">
        <v>0</v>
      </c>
      <c r="J15" s="272">
        <f>$C$3*($C$4*$E$4*B14*$B$7)*$G$4+$C$3*($C$4*$E$5*D15*$D$7)*$G$4+$C$3*($C$4*$E$4*C15*$C$7)*$G$5+$C$3*($C$4*$E$5*E15*$E$7)*$G$5+$C$3*($C$5*$E$4*F15*$F$7)*$H$4+$C$3*($C$5*$E$5*H15*$H$7)*$H$4+$C$3*($C$5*$E$5*I15*$I$7)*$H$5+$C$3*($C$5*$E$4*G15*$G$7)*$H$5</f>
        <v>1555952.1932347429</v>
      </c>
      <c r="K15" s="277">
        <f>ROUND(($C$4*$E$4*B15*$B$7+$C$4*$E$4*C15*$C$7+$C$4*$E$5*D15*$D$7+$C$4*$E$5*E15*$E$7+($C$5*$E$4*F15*$F$7+$C$5*$E$4*G15*$G$7+$C$5*$E$5*H15*$H$7+$C$5*$E$5*I15*$I$7)),2)</f>
        <v>0.31</v>
      </c>
      <c r="L15" s="276">
        <f>Scenario[[#This Row],[Total Cost]]/(Scenario[[#This Row],[Total Coverage]]*100)</f>
        <v>50192.006233378801</v>
      </c>
      <c r="M15" s="295" cm="1">
        <f t="array" ref="M15">IF(AND(K15=MAX(K$10:K15), L15=MIN(IF(K$10:K15=K15, L$10:L15))), 1, 0)</f>
        <v>0</v>
      </c>
      <c r="N15" s="295">
        <f>IF(AND(Scenario[[#This Row],[Total Coverage]]&gt;=70%,Scenario[[#This Row],[Frontier]]=1),1,0)</f>
        <v>0</v>
      </c>
    </row>
    <row r="16" spans="1:14" x14ac:dyDescent="0.25">
      <c r="A16">
        <v>151</v>
      </c>
      <c r="B16">
        <v>0.75</v>
      </c>
      <c r="C16">
        <v>0.25</v>
      </c>
      <c r="D16">
        <v>0.75</v>
      </c>
      <c r="E16">
        <v>0.25</v>
      </c>
      <c r="F16">
        <v>1</v>
      </c>
      <c r="G16">
        <v>0</v>
      </c>
      <c r="H16">
        <v>1</v>
      </c>
      <c r="I16">
        <v>0</v>
      </c>
      <c r="J16" s="272">
        <f>$C$3*($C$4*$E$4*B15*$B$7)*$G$4+$C$3*($C$4*$E$5*D16*$D$7)*$G$4+$C$3*($C$4*$E$4*C16*$C$7)*$G$5+$C$3*($C$4*$E$5*E16*$E$7)*$G$5+$C$3*($C$5*$E$4*F16*$F$7)*$H$4+$C$3*($C$5*$E$5*H16*$H$7)*$H$4+$C$3*($C$5*$E$5*I16*$I$7)*$H$5+$C$3*($C$5*$E$4*G16*$G$7)*$H$5</f>
        <v>1680421.2577525822</v>
      </c>
      <c r="K16" s="277">
        <f>ROUND(($C$4*$E$4*B16*$B$7+$C$4*$E$4*C16*$C$7+$C$4*$E$5*D16*$D$7+$C$4*$E$5*E16*$E$7+($C$5*$E$4*F16*$F$7+$C$5*$E$4*G16*$G$7+$C$5*$E$5*H16*$H$7+$C$5*$E$5*I16*$I$7)),2)</f>
        <v>0.31</v>
      </c>
      <c r="L16" s="276">
        <f>Scenario[[#This Row],[Total Cost]]/(Scenario[[#This Row],[Total Coverage]]*100)</f>
        <v>54207.137346857489</v>
      </c>
      <c r="M16" s="295" cm="1">
        <f t="array" ref="M16">IF(AND(K16=MAX(K$10:K16), L16=MIN(IF(K$10:K16=K16, L$10:L16))), 1, 0)</f>
        <v>0</v>
      </c>
      <c r="N16" s="295">
        <f>IF(AND(Scenario[[#This Row],[Total Coverage]]&gt;=70%,Scenario[[#This Row],[Frontier]]=1),1,0)</f>
        <v>0</v>
      </c>
    </row>
    <row r="17" spans="1:14" x14ac:dyDescent="0.25">
      <c r="A17">
        <v>27</v>
      </c>
      <c r="B17">
        <v>1</v>
      </c>
      <c r="C17">
        <v>0</v>
      </c>
      <c r="D17">
        <v>0.75</v>
      </c>
      <c r="E17">
        <v>0.25</v>
      </c>
      <c r="F17">
        <v>1</v>
      </c>
      <c r="G17">
        <v>0</v>
      </c>
      <c r="H17">
        <v>0.75</v>
      </c>
      <c r="I17">
        <v>0.25</v>
      </c>
      <c r="J17" s="272">
        <f>$C$3*($C$4*$E$4*B16*$B$7)*$G$4+$C$3*($C$4*$E$5*D17*$D$7)*$G$4+$C$3*($C$4*$E$4*C17*$C$7)*$G$5+$C$3*($C$4*$E$5*E17*$E$7)*$G$5+$C$3*($C$5*$E$4*F17*$F$7)*$H$4+$C$3*($C$5*$E$5*H17*$H$7)*$H$4+$C$3*($C$5*$E$5*I17*$I$7)*$H$5+$C$3*($C$5*$E$4*G17*$G$7)*$H$5</f>
        <v>1460942.8051898363</v>
      </c>
      <c r="K17" s="277">
        <f>ROUND(($C$4*$E$4*B17*$B$7+$C$4*$E$4*C17*$C$7+$C$4*$E$5*D17*$D$7+$C$4*$E$5*E17*$E$7+($C$5*$E$4*F17*$F$7+$C$5*$E$4*G17*$G$7+$C$5*$E$5*H17*$H$7+$C$5*$E$5*I17*$I$7)),2)</f>
        <v>0.32</v>
      </c>
      <c r="L17" s="276">
        <f>Scenario[[#This Row],[Total Cost]]/(Scenario[[#This Row],[Total Coverage]]*100)</f>
        <v>45654.462662182385</v>
      </c>
      <c r="M17" s="295" cm="1">
        <f t="array" ref="M17">IF(AND(K17=MAX(K$10:K17), L17=MIN(IF(K$10:K17=K17, L$10:L17))), 1, 0)</f>
        <v>1</v>
      </c>
      <c r="N17" s="295">
        <f>IF(AND(Scenario[[#This Row],[Total Coverage]]&gt;=70%,Scenario[[#This Row],[Frontier]]=1),1,0)</f>
        <v>0</v>
      </c>
    </row>
    <row r="18" spans="1:14" x14ac:dyDescent="0.25">
      <c r="A18">
        <v>176</v>
      </c>
      <c r="B18">
        <v>0.75</v>
      </c>
      <c r="C18">
        <v>0.25</v>
      </c>
      <c r="D18">
        <v>0.5</v>
      </c>
      <c r="E18">
        <v>0.5</v>
      </c>
      <c r="F18">
        <v>1</v>
      </c>
      <c r="G18">
        <v>0</v>
      </c>
      <c r="H18">
        <v>1</v>
      </c>
      <c r="I18">
        <v>0</v>
      </c>
      <c r="J18" s="272">
        <f>$C$3*($C$4*$E$4*B17*$B$7)*$G$4+$C$3*($C$4*$E$5*D18*$D$7)*$G$4+$C$3*($C$4*$E$4*C18*$C$7)*$G$5+$C$3*($C$4*$E$5*E18*$E$7)*$G$5+$C$3*($C$5*$E$4*F18*$F$7)*$H$4+$C$3*($C$5*$E$5*H18*$H$7)*$H$4+$C$3*($C$5*$E$5*I18*$I$7)*$H$5+$C$3*($C$5*$E$4*G18*$G$7)*$H$5</f>
        <v>1864697.5774434905</v>
      </c>
      <c r="K18" s="277">
        <f>ROUND(($C$4*$E$4*B18*$B$7+$C$4*$E$4*C18*$C$7+$C$4*$E$5*D18*$D$7+$C$4*$E$5*E18*$E$7+($C$5*$E$4*F18*$F$7+$C$5*$E$4*G18*$G$7+$C$5*$E$5*H18*$H$7+$C$5*$E$5*I18*$I$7)),2)</f>
        <v>0.32</v>
      </c>
      <c r="L18" s="276">
        <f>Scenario[[#This Row],[Total Cost]]/(Scenario[[#This Row],[Total Coverage]]*100)</f>
        <v>58271.799295109078</v>
      </c>
      <c r="M18" s="295" cm="1">
        <f t="array" ref="M18">IF(AND(K18=MAX(K$10:K18), L18=MIN(IF(K$10:K18=K18, L$10:L18))), 1, 0)</f>
        <v>0</v>
      </c>
      <c r="N18" s="295">
        <f>IF(AND(Scenario[[#This Row],[Total Coverage]]&gt;=70%,Scenario[[#This Row],[Frontier]]=1),1,0)</f>
        <v>0</v>
      </c>
    </row>
    <row r="19" spans="1:14" x14ac:dyDescent="0.25">
      <c r="A19">
        <v>251</v>
      </c>
      <c r="B19">
        <v>0.5</v>
      </c>
      <c r="C19">
        <v>0.5</v>
      </c>
      <c r="D19">
        <v>1</v>
      </c>
      <c r="E19">
        <v>0</v>
      </c>
      <c r="F19">
        <v>1</v>
      </c>
      <c r="G19">
        <v>0</v>
      </c>
      <c r="H19">
        <v>1</v>
      </c>
      <c r="I19">
        <v>0</v>
      </c>
      <c r="J19" s="272">
        <f>$C$3*($C$4*$E$4*B18*$B$7)*$G$4+$C$3*($C$4*$E$5*D19*$D$7)*$G$4+$C$3*($C$4*$E$4*C19*$C$7)*$G$5+$C$3*($C$4*$E$5*E19*$E$7)*$G$5+$C$3*($C$5*$E$4*F19*$F$7)*$H$4+$C$3*($C$5*$E$5*H19*$H$7)*$H$4+$C$3*($C$5*$E$5*I19*$I$7)*$H$5+$C$3*($C$5*$E$4*G19*$G$7)*$H$5</f>
        <v>1882757.0130630804</v>
      </c>
      <c r="K19" s="277">
        <f>ROUND(($C$4*$E$4*B19*$B$7+$C$4*$E$4*C19*$C$7+$C$4*$E$5*D19*$D$7+$C$4*$E$5*E19*$E$7+($C$5*$E$4*F19*$F$7+$C$5*$E$4*G19*$G$7+$C$5*$E$5*H19*$H$7+$C$5*$E$5*I19*$I$7)),2)</f>
        <v>0.32</v>
      </c>
      <c r="L19" s="276">
        <f>Scenario[[#This Row],[Total Cost]]/(Scenario[[#This Row],[Total Coverage]]*100)</f>
        <v>58836.156658221262</v>
      </c>
      <c r="M19" s="295" cm="1">
        <f t="array" ref="M19">IF(AND(K19=MAX(K$10:K19), L19=MIN(IF(K$10:K19=K19, L$10:L19))), 1, 0)</f>
        <v>0</v>
      </c>
      <c r="N19" s="295">
        <f>IF(AND(Scenario[[#This Row],[Total Coverage]]&gt;=70%,Scenario[[#This Row],[Frontier]]=1),1,0)</f>
        <v>0</v>
      </c>
    </row>
    <row r="20" spans="1:14" x14ac:dyDescent="0.25">
      <c r="A20">
        <v>127</v>
      </c>
      <c r="B20">
        <v>0.75</v>
      </c>
      <c r="C20">
        <v>0.25</v>
      </c>
      <c r="D20">
        <v>1</v>
      </c>
      <c r="E20">
        <v>0</v>
      </c>
      <c r="F20">
        <v>1</v>
      </c>
      <c r="G20">
        <v>0</v>
      </c>
      <c r="H20">
        <v>0.75</v>
      </c>
      <c r="I20">
        <v>0.25</v>
      </c>
      <c r="J20" s="272">
        <f>$C$3*($C$4*$E$4*B19*$B$7)*$G$4+$C$3*($C$4*$E$5*D20*$D$7)*$G$4+$C$3*($C$4*$E$4*C20*$C$7)*$G$5+$C$3*($C$4*$E$5*E20*$E$7)*$G$5+$C$3*($C$5*$E$4*F20*$F$7)*$H$4+$C$3*($C$5*$E$5*H20*$H$7)*$H$4+$C$3*($C$5*$E$5*I20*$I$7)*$H$5+$C$3*($C$5*$E$4*G20*$G$7)*$H$5</f>
        <v>1663278.5605003345</v>
      </c>
      <c r="K20" s="277">
        <f>ROUND(($C$4*$E$4*B20*$B$7+$C$4*$E$4*C20*$C$7+$C$4*$E$5*D20*$D$7+$C$4*$E$5*E20*$E$7+($C$5*$E$4*F20*$F$7+$C$5*$E$4*G20*$G$7+$C$5*$E$5*H20*$H$7+$C$5*$E$5*I20*$I$7)),2)</f>
        <v>0.33</v>
      </c>
      <c r="L20" s="276">
        <f>Scenario[[#This Row],[Total Cost]]/(Scenario[[#This Row],[Total Coverage]]*100)</f>
        <v>50402.380621222255</v>
      </c>
      <c r="M20" s="295" cm="1">
        <f t="array" ref="M20">IF(AND(K20=MAX(K$10:K20), L20=MIN(IF(K$10:K20=K20, L$10:L20))), 1, 0)</f>
        <v>1</v>
      </c>
      <c r="N20" s="295">
        <f>IF(AND(Scenario[[#This Row],[Total Coverage]]&gt;=70%,Scenario[[#This Row],[Frontier]]=1),1,0)</f>
        <v>0</v>
      </c>
    </row>
    <row r="21" spans="1:14" x14ac:dyDescent="0.25">
      <c r="A21">
        <v>101</v>
      </c>
      <c r="B21">
        <v>1</v>
      </c>
      <c r="C21">
        <v>0</v>
      </c>
      <c r="D21">
        <v>0</v>
      </c>
      <c r="E21">
        <v>1</v>
      </c>
      <c r="F21">
        <v>1</v>
      </c>
      <c r="G21">
        <v>0</v>
      </c>
      <c r="H21">
        <v>1</v>
      </c>
      <c r="I21">
        <v>0</v>
      </c>
      <c r="J21" s="272">
        <f>$C$3*($C$4*$E$4*B20*$B$7)*$G$4+$C$3*($C$4*$E$5*D21*$D$7)*$G$4+$C$3*($C$4*$E$4*C21*$C$7)*$G$5+$C$3*($C$4*$E$5*E21*$E$7)*$G$5+$C$3*($C$5*$E$4*F21*$F$7)*$H$4+$C$3*($C$5*$E$5*H21*$H$7)*$H$4+$C$3*($C$5*$E$5*I21*$I$7)*$H$5+$C$3*($C$5*$E$4*G21*$G$7)*$H$5</f>
        <v>1633818.8840274017</v>
      </c>
      <c r="K21" s="277">
        <f>ROUND(($C$4*$E$4*B21*$B$7+$C$4*$E$4*C21*$C$7+$C$4*$E$5*D21*$D$7+$C$4*$E$5*E21*$E$7+($C$5*$E$4*F21*$F$7+$C$5*$E$4*G21*$G$7+$C$5*$E$5*H21*$H$7+$C$5*$E$5*I21*$I$7)),2)</f>
        <v>0.33</v>
      </c>
      <c r="L21" s="276">
        <f>Scenario[[#This Row],[Total Cost]]/(Scenario[[#This Row],[Total Coverage]]*100)</f>
        <v>49509.663152345507</v>
      </c>
      <c r="M21" s="295" cm="1">
        <f t="array" ref="M21">IF(AND(K21=MAX(K$10:K21), L21=MIN(IF(K$10:K21=K21, L$10:L21))), 1, 0)</f>
        <v>1</v>
      </c>
      <c r="N21" s="295">
        <f>IF(AND(Scenario[[#This Row],[Total Coverage]]&gt;=70%,Scenario[[#This Row],[Frontier]]=1),1,0)</f>
        <v>0</v>
      </c>
    </row>
    <row r="22" spans="1:14" x14ac:dyDescent="0.25">
      <c r="A22">
        <v>276</v>
      </c>
      <c r="B22">
        <v>0.5</v>
      </c>
      <c r="C22">
        <v>0.5</v>
      </c>
      <c r="D22">
        <v>0.75</v>
      </c>
      <c r="E22">
        <v>0.25</v>
      </c>
      <c r="F22">
        <v>1</v>
      </c>
      <c r="G22">
        <v>0</v>
      </c>
      <c r="H22">
        <v>1</v>
      </c>
      <c r="I22">
        <v>0</v>
      </c>
      <c r="J22" s="272">
        <f>$C$3*($C$4*$E$4*B21*$B$7)*$G$4+$C$3*($C$4*$E$5*D22*$D$7)*$G$4+$C$3*($C$4*$E$4*C22*$C$7)*$G$5+$C$3*($C$4*$E$5*E22*$E$7)*$G$5+$C$3*($C$5*$E$4*F22*$F$7)*$H$4+$C$3*($C$5*$E$5*H22*$H$7)*$H$4+$C$3*($C$5*$E$5*I22*$I$7)*$H$5+$C$3*($C$5*$E$4*G22*$G$7)*$H$5</f>
        <v>2173442.9616522379</v>
      </c>
      <c r="K22" s="277">
        <f>ROUND(($C$4*$E$4*B22*$B$7+$C$4*$E$4*C22*$C$7+$C$4*$E$5*D22*$D$7+$C$4*$E$5*E22*$E$7+($C$5*$E$4*F22*$F$7+$C$5*$E$4*G22*$G$7+$C$5*$E$5*H22*$H$7+$C$5*$E$5*I22*$I$7)),2)</f>
        <v>0.33</v>
      </c>
      <c r="L22" s="276">
        <f>Scenario[[#This Row],[Total Cost]]/(Scenario[[#This Row],[Total Coverage]]*100)</f>
        <v>65861.907928855697</v>
      </c>
      <c r="M22" s="295" cm="1">
        <f t="array" ref="M22">IF(AND(K22=MAX(K$10:K22), L22=MIN(IF(K$10:K22=K22, L$10:L22))), 1, 0)</f>
        <v>0</v>
      </c>
      <c r="N22" s="295">
        <f>IF(AND(Scenario[[#This Row],[Total Coverage]]&gt;=70%,Scenario[[#This Row],[Frontier]]=1),1,0)</f>
        <v>0</v>
      </c>
    </row>
    <row r="23" spans="1:14" x14ac:dyDescent="0.25">
      <c r="A23">
        <v>52</v>
      </c>
      <c r="B23">
        <v>1</v>
      </c>
      <c r="C23">
        <v>0</v>
      </c>
      <c r="D23">
        <v>0.5</v>
      </c>
      <c r="E23">
        <v>0.5</v>
      </c>
      <c r="F23">
        <v>1</v>
      </c>
      <c r="G23">
        <v>0</v>
      </c>
      <c r="H23">
        <v>0.75</v>
      </c>
      <c r="I23">
        <v>0.25</v>
      </c>
      <c r="J23" s="272">
        <f>$C$3*($C$4*$E$4*B22*$B$7)*$G$4+$C$3*($C$4*$E$5*D23*$D$7)*$G$4+$C$3*($C$4*$E$4*C23*$C$7)*$G$5+$C$3*($C$4*$E$5*E23*$E$7)*$G$5+$C$3*($C$5*$E$4*F23*$F$7)*$H$4+$C$3*($C$5*$E$5*H23*$H$7)*$H$4+$C$3*($C$5*$E$5*I23*$I$7)*$H$5+$C$3*($C$5*$E$4*G23*$G$7)*$H$5</f>
        <v>1538809.4959824951</v>
      </c>
      <c r="K23" s="277">
        <f>ROUND(($C$4*$E$4*B23*$B$7+$C$4*$E$4*C23*$C$7+$C$4*$E$5*D23*$D$7+$C$4*$E$5*E23*$E$7+($C$5*$E$4*F23*$F$7+$C$5*$E$4*G23*$G$7+$C$5*$E$5*H23*$H$7+$C$5*$E$5*I23*$I$7)),2)</f>
        <v>0.34</v>
      </c>
      <c r="L23" s="276">
        <f>Scenario[[#This Row],[Total Cost]]/(Scenario[[#This Row],[Total Coverage]]*100)</f>
        <v>45259.10282301456</v>
      </c>
      <c r="M23" s="295" cm="1">
        <f t="array" ref="M23">IF(AND(K23=MAX(K$10:K23), L23=MIN(IF(K$10:K23=K23, L$10:L23))), 1, 0)</f>
        <v>1</v>
      </c>
      <c r="N23" s="295">
        <f>IF(AND(Scenario[[#This Row],[Total Coverage]]&gt;=70%,Scenario[[#This Row],[Frontier]]=1),1,0)</f>
        <v>0</v>
      </c>
    </row>
    <row r="24" spans="1:14" x14ac:dyDescent="0.25">
      <c r="A24">
        <v>201</v>
      </c>
      <c r="B24">
        <v>0.75</v>
      </c>
      <c r="C24">
        <v>0.25</v>
      </c>
      <c r="D24">
        <v>0.25</v>
      </c>
      <c r="E24">
        <v>0.75</v>
      </c>
      <c r="F24">
        <v>1</v>
      </c>
      <c r="G24">
        <v>0</v>
      </c>
      <c r="H24">
        <v>1</v>
      </c>
      <c r="I24">
        <v>0</v>
      </c>
      <c r="J24" s="272">
        <f>$C$3*($C$4*$E$4*B23*$B$7)*$G$4+$C$3*($C$4*$E$5*D24*$D$7)*$G$4+$C$3*($C$4*$E$4*C24*$C$7)*$G$5+$C$3*($C$4*$E$5*E24*$E$7)*$G$5+$C$3*($C$5*$E$4*F24*$F$7)*$H$4+$C$3*($C$5*$E$5*H24*$H$7)*$H$4+$C$3*($C$5*$E$5*I24*$I$7)*$H$5+$C$3*($C$5*$E$4*G24*$G$7)*$H$5</f>
        <v>2048973.8971343988</v>
      </c>
      <c r="K24" s="277">
        <f>ROUND(($C$4*$E$4*B24*$B$7+$C$4*$E$4*C24*$C$7+$C$4*$E$5*D24*$D$7+$C$4*$E$5*E24*$E$7+($C$5*$E$4*F24*$F$7+$C$5*$E$4*G24*$G$7+$C$5*$E$5*H24*$H$7+$C$5*$E$5*I24*$I$7)),2)</f>
        <v>0.34</v>
      </c>
      <c r="L24" s="276">
        <f>Scenario[[#This Row],[Total Cost]]/(Scenario[[#This Row],[Total Coverage]]*100)</f>
        <v>60263.938151011731</v>
      </c>
      <c r="M24" s="295" cm="1">
        <f t="array" ref="M24">IF(AND(K24=MAX(K$10:K24), L24=MIN(IF(K$10:K24=K24, L$10:L24))), 1, 0)</f>
        <v>0</v>
      </c>
      <c r="N24" s="295">
        <f>IF(AND(Scenario[[#This Row],[Total Coverage]]&gt;=70%,Scenario[[#This Row],[Frontier]]=1),1,0)</f>
        <v>0</v>
      </c>
    </row>
    <row r="25" spans="1:14" x14ac:dyDescent="0.25">
      <c r="A25">
        <v>301</v>
      </c>
      <c r="B25">
        <v>0.5</v>
      </c>
      <c r="C25">
        <v>0.5</v>
      </c>
      <c r="D25">
        <v>0.5</v>
      </c>
      <c r="E25">
        <v>0.5</v>
      </c>
      <c r="F25">
        <v>1</v>
      </c>
      <c r="G25">
        <v>0</v>
      </c>
      <c r="H25">
        <v>1</v>
      </c>
      <c r="I25">
        <v>0</v>
      </c>
      <c r="J25" s="272">
        <f>$C$3*($C$4*$E$4*B24*$B$7)*$G$4+$C$3*($C$4*$E$5*D25*$D$7)*$G$4+$C$3*($C$4*$E$4*C25*$C$7)*$G$5+$C$3*($C$4*$E$5*E25*$E$7)*$G$5+$C$3*($C$5*$E$4*F25*$F$7)*$H$4+$C$3*($C$5*$E$5*H25*$H$7)*$H$4+$C$3*($C$5*$E$5*I25*$I$7)*$H$5+$C$3*($C$5*$E$4*G25*$G$7)*$H$5</f>
        <v>2251309.6524448972</v>
      </c>
      <c r="K25" s="277">
        <f>ROUND(($C$4*$E$4*B25*$B$7+$C$4*$E$4*C25*$C$7+$C$4*$E$5*D25*$D$7+$C$4*$E$5*E25*$E$7+($C$5*$E$4*F25*$F$7+$C$5*$E$4*G25*$G$7+$C$5*$E$5*H25*$H$7+$C$5*$E$5*I25*$I$7)),2)</f>
        <v>0.34</v>
      </c>
      <c r="L25" s="276">
        <f>Scenario[[#This Row],[Total Cost]]/(Scenario[[#This Row],[Total Coverage]]*100)</f>
        <v>66214.989777791096</v>
      </c>
      <c r="M25" s="295" cm="1">
        <f t="array" ref="M25">IF(AND(K25=MAX(K$10:K25), L25=MIN(IF(K$10:K25=K25, L$10:L25))), 1, 0)</f>
        <v>0</v>
      </c>
      <c r="N25" s="295">
        <f>IF(AND(Scenario[[#This Row],[Total Coverage]]&gt;=70%,Scenario[[#This Row],[Frontier]]=1),1,0)</f>
        <v>0</v>
      </c>
    </row>
    <row r="26" spans="1:14" x14ac:dyDescent="0.25">
      <c r="A26">
        <v>376</v>
      </c>
      <c r="B26">
        <v>0.25</v>
      </c>
      <c r="C26">
        <v>0.75</v>
      </c>
      <c r="D26">
        <v>1</v>
      </c>
      <c r="E26">
        <v>0</v>
      </c>
      <c r="F26">
        <v>1</v>
      </c>
      <c r="G26">
        <v>0</v>
      </c>
      <c r="H26">
        <v>1</v>
      </c>
      <c r="I26">
        <v>0</v>
      </c>
      <c r="J26" s="272">
        <f>$C$3*($C$4*$E$4*B25*$B$7)*$G$4+$C$3*($C$4*$E$5*D26*$D$7)*$G$4+$C$3*($C$4*$E$4*C26*$C$7)*$G$5+$C$3*($C$4*$E$5*E26*$E$7)*$G$5+$C$3*($C$5*$E$4*F26*$F$7)*$H$4+$C$3*($C$5*$E$5*H26*$H$7)*$H$4+$C$3*($C$5*$E$5*I26*$I$7)*$H$5+$C$3*($C$5*$E$4*G26*$G$7)*$H$5</f>
        <v>2269369.0880644871</v>
      </c>
      <c r="K26" s="277">
        <f>ROUND(($C$4*$E$4*B26*$B$7+$C$4*$E$4*C26*$C$7+$C$4*$E$5*D26*$D$7+$C$4*$E$5*E26*$E$7+($C$5*$E$4*F26*$F$7+$C$5*$E$4*G26*$G$7+$C$5*$E$5*H26*$H$7+$C$5*$E$5*I26*$I$7)),2)</f>
        <v>0.34</v>
      </c>
      <c r="L26" s="276">
        <f>Scenario[[#This Row],[Total Cost]]/(Scenario[[#This Row],[Total Coverage]]*100)</f>
        <v>66746.149648955499</v>
      </c>
      <c r="M26" s="295" cm="1">
        <f t="array" ref="M26">IF(AND(K26=MAX(K$10:K26), L26=MIN(IF(K$10:K26=K26, L$10:L26))), 1, 0)</f>
        <v>0</v>
      </c>
      <c r="N26" s="295">
        <f>IF(AND(Scenario[[#This Row],[Total Coverage]]&gt;=70%,Scenario[[#This Row],[Frontier]]=1),1,0)</f>
        <v>0</v>
      </c>
    </row>
    <row r="27" spans="1:14" x14ac:dyDescent="0.25">
      <c r="A27">
        <v>3</v>
      </c>
      <c r="B27">
        <v>1</v>
      </c>
      <c r="C27">
        <v>0</v>
      </c>
      <c r="D27">
        <v>1</v>
      </c>
      <c r="E27">
        <v>0</v>
      </c>
      <c r="F27">
        <v>1</v>
      </c>
      <c r="G27">
        <v>0</v>
      </c>
      <c r="H27">
        <v>0.5</v>
      </c>
      <c r="I27">
        <v>0.5</v>
      </c>
      <c r="J27" s="272">
        <f>$C$3*($C$4*$E$4*B26*$B$7)*$G$4+$C$3*($C$4*$E$5*D27*$D$7)*$G$4+$C$3*($C$4*$E$4*C27*$C$7)*$G$5+$C$3*($C$4*$E$5*E27*$E$7)*$G$5+$C$3*($C$5*$E$4*F27*$F$7)*$H$4+$C$3*($C$5*$E$5*H27*$H$7)*$H$4+$C$3*($C$5*$E$5*I27*$I$7)*$H$5+$C$3*($C$5*$E$4*G27*$G$7)*$H$5</f>
        <v>1443800.1079375888</v>
      </c>
      <c r="K27" s="277">
        <f>ROUND(($C$4*$E$4*B27*$B$7+$C$4*$E$4*C27*$C$7+$C$4*$E$5*D27*$D$7+$C$4*$E$5*E27*$E$7+($C$5*$E$4*F27*$F$7+$C$5*$E$4*G27*$G$7+$C$5*$E$5*H27*$H$7+$C$5*$E$5*I27*$I$7)),2)</f>
        <v>0.35</v>
      </c>
      <c r="L27" s="276">
        <f>Scenario[[#This Row],[Total Cost]]/(Scenario[[#This Row],[Total Coverage]]*100)</f>
        <v>41251.43165535968</v>
      </c>
      <c r="M27" s="295" cm="1">
        <f t="array" ref="M27">IF(AND(K27=MAX(K$10:K27), L27=MIN(IF(K$10:K27=K27, L$10:L27))), 1, 0)</f>
        <v>1</v>
      </c>
      <c r="N27" s="295">
        <f>IF(AND(Scenario[[#This Row],[Total Coverage]]&gt;=70%,Scenario[[#This Row],[Frontier]]=1),1,0)</f>
        <v>0</v>
      </c>
    </row>
    <row r="28" spans="1:14" x14ac:dyDescent="0.25">
      <c r="A28">
        <v>77</v>
      </c>
      <c r="B28">
        <v>1</v>
      </c>
      <c r="C28">
        <v>0</v>
      </c>
      <c r="D28">
        <v>0.25</v>
      </c>
      <c r="E28">
        <v>0.75</v>
      </c>
      <c r="F28">
        <v>1</v>
      </c>
      <c r="G28">
        <v>0</v>
      </c>
      <c r="H28">
        <v>0.75</v>
      </c>
      <c r="I28">
        <v>0.25</v>
      </c>
      <c r="J28" s="272">
        <f>$C$3*($C$4*$E$4*B27*$B$7)*$G$4+$C$3*($C$4*$E$5*D28*$D$7)*$G$4+$C$3*($C$4*$E$4*C28*$C$7)*$G$5+$C$3*($C$4*$E$5*E28*$E$7)*$G$5+$C$3*($C$5*$E$4*F28*$F$7)*$H$4+$C$3*($C$5*$E$5*H28*$H$7)*$H$4+$C$3*($C$5*$E$5*I28*$I$7)*$H$5+$C$3*($C$5*$E$4*G28*$G$7)*$H$5</f>
        <v>1935905.0734699026</v>
      </c>
      <c r="K28" s="277">
        <f>ROUND(($C$4*$E$4*B28*$B$7+$C$4*$E$4*C28*$C$7+$C$4*$E$5*D28*$D$7+$C$4*$E$5*E28*$E$7+($C$5*$E$4*F28*$F$7+$C$5*$E$4*G28*$G$7+$C$5*$E$5*H28*$H$7+$C$5*$E$5*I28*$I$7)),2)</f>
        <v>0.35</v>
      </c>
      <c r="L28" s="276">
        <f>Scenario[[#This Row],[Total Cost]]/(Scenario[[#This Row],[Total Coverage]]*100)</f>
        <v>55311.573527711502</v>
      </c>
      <c r="M28" s="295" cm="1">
        <f t="array" ref="M28">IF(AND(K28=MAX(K$10:K28), L28=MIN(IF(K$10:K28=K28, L$10:L28))), 1, 0)</f>
        <v>0</v>
      </c>
      <c r="N28" s="295">
        <f>IF(AND(Scenario[[#This Row],[Total Coverage]]&gt;=70%,Scenario[[#This Row],[Frontier]]=1),1,0)</f>
        <v>0</v>
      </c>
    </row>
    <row r="29" spans="1:14" x14ac:dyDescent="0.25">
      <c r="A29">
        <v>6</v>
      </c>
      <c r="B29">
        <v>1</v>
      </c>
      <c r="C29">
        <v>0</v>
      </c>
      <c r="D29">
        <v>1</v>
      </c>
      <c r="E29">
        <v>0</v>
      </c>
      <c r="F29">
        <v>0.75</v>
      </c>
      <c r="G29">
        <v>0.25</v>
      </c>
      <c r="H29">
        <v>1</v>
      </c>
      <c r="I29">
        <v>0</v>
      </c>
      <c r="J29" s="272">
        <f>$C$3*($C$4*$E$4*B28*$B$7)*$G$4+$C$3*($C$4*$E$5*D29*$D$7)*$G$4+$C$3*($C$4*$E$4*C29*$C$7)*$G$5+$C$3*($C$4*$E$5*E29*$E$7)*$G$5+$C$3*($C$5*$E$4*F29*$F$7)*$H$4+$C$3*($C$5*$E$5*H29*$H$7)*$H$4+$C$3*($C$5*$E$5*I29*$I$7)*$H$5+$C$3*($C$5*$E$4*G29*$G$7)*$H$5</f>
        <v>1837772.4668374197</v>
      </c>
      <c r="K29" s="277">
        <f>ROUND(($C$4*$E$4*B29*$B$7+$C$4*$E$4*C29*$C$7+$C$4*$E$5*D29*$D$7+$C$4*$E$5*E29*$E$7+($C$5*$E$4*F29*$F$7+$C$5*$E$4*G29*$G$7+$C$5*$E$5*H29*$H$7+$C$5*$E$5*I29*$I$7)),2)</f>
        <v>0.35</v>
      </c>
      <c r="L29" s="276">
        <f>Scenario[[#This Row],[Total Cost]]/(Scenario[[#This Row],[Total Coverage]]*100)</f>
        <v>52507.784766783421</v>
      </c>
      <c r="M29" s="295" cm="1">
        <f t="array" ref="M29">IF(AND(K29=MAX(K$10:K29), L29=MIN(IF(K$10:K29=K29, L$10:L29))), 1, 0)</f>
        <v>0</v>
      </c>
      <c r="N29" s="295">
        <f>IF(AND(Scenario[[#This Row],[Total Coverage]]&gt;=70%,Scenario[[#This Row],[Frontier]]=1),1,0)</f>
        <v>0</v>
      </c>
    </row>
    <row r="30" spans="1:14" x14ac:dyDescent="0.25">
      <c r="A30">
        <v>152</v>
      </c>
      <c r="B30">
        <v>0.75</v>
      </c>
      <c r="C30">
        <v>0.25</v>
      </c>
      <c r="D30">
        <v>0.75</v>
      </c>
      <c r="E30">
        <v>0.25</v>
      </c>
      <c r="F30">
        <v>1</v>
      </c>
      <c r="G30">
        <v>0</v>
      </c>
      <c r="H30">
        <v>0.75</v>
      </c>
      <c r="I30">
        <v>0.25</v>
      </c>
      <c r="J30" s="272">
        <f>$C$3*($C$4*$E$4*B29*$B$7)*$G$4+$C$3*($C$4*$E$5*D30*$D$7)*$G$4+$C$3*($C$4*$E$4*C30*$C$7)*$G$5+$C$3*($C$4*$E$5*E30*$E$7)*$G$5+$C$3*($C$5*$E$4*F30*$F$7)*$H$4+$C$3*($C$5*$E$5*H30*$H$7)*$H$4+$C$3*($C$5*$E$5*I30*$I$7)*$H$5+$C$3*($C$5*$E$4*G30*$G$7)*$H$5</f>
        <v>2060374.137987742</v>
      </c>
      <c r="K30" s="277">
        <f>ROUND(($C$4*$E$4*B30*$B$7+$C$4*$E$4*C30*$C$7+$C$4*$E$5*D30*$D$7+$C$4*$E$5*E30*$E$7+($C$5*$E$4*F30*$F$7+$C$5*$E$4*G30*$G$7+$C$5*$E$5*H30*$H$7+$C$5*$E$5*I30*$I$7)),2)</f>
        <v>0.35</v>
      </c>
      <c r="L30" s="276">
        <f>Scenario[[#This Row],[Total Cost]]/(Scenario[[#This Row],[Total Coverage]]*100)</f>
        <v>58867.832513935486</v>
      </c>
      <c r="M30" s="295" cm="1">
        <f t="array" ref="M30">IF(AND(K30=MAX(K$10:K30), L30=MIN(IF(K$10:K30=K30, L$10:L30))), 1, 0)</f>
        <v>0</v>
      </c>
      <c r="N30" s="295">
        <f>IF(AND(Scenario[[#This Row],[Total Coverage]]&gt;=70%,Scenario[[#This Row],[Frontier]]=1),1,0)</f>
        <v>0</v>
      </c>
    </row>
    <row r="31" spans="1:14" x14ac:dyDescent="0.25">
      <c r="A31">
        <v>252</v>
      </c>
      <c r="B31">
        <v>0.5</v>
      </c>
      <c r="C31">
        <v>0.5</v>
      </c>
      <c r="D31">
        <v>1</v>
      </c>
      <c r="E31">
        <v>0</v>
      </c>
      <c r="F31">
        <v>1</v>
      </c>
      <c r="G31">
        <v>0</v>
      </c>
      <c r="H31">
        <v>0.75</v>
      </c>
      <c r="I31">
        <v>0.25</v>
      </c>
      <c r="J31" s="272">
        <f>$C$3*($C$4*$E$4*B30*$B$7)*$G$4+$C$3*($C$4*$E$5*D31*$D$7)*$G$4+$C$3*($C$4*$E$4*C31*$C$7)*$G$5+$C$3*($C$4*$E$5*E31*$E$7)*$G$5+$C$3*($C$5*$E$4*F31*$F$7)*$H$4+$C$3*($C$5*$E$5*H31*$H$7)*$H$4+$C$3*($C$5*$E$5*I31*$I$7)*$H$5+$C$3*($C$5*$E$4*G31*$G$7)*$H$5</f>
        <v>2262709.8932982404</v>
      </c>
      <c r="K31" s="277">
        <f>ROUND(($C$4*$E$4*B31*$B$7+$C$4*$E$4*C31*$C$7+$C$4*$E$5*D31*$D$7+$C$4*$E$5*E31*$E$7+($C$5*$E$4*F31*$F$7+$C$5*$E$4*G31*$G$7+$C$5*$E$5*H31*$H$7+$C$5*$E$5*I31*$I$7)),2)</f>
        <v>0.35</v>
      </c>
      <c r="L31" s="276">
        <f>Scenario[[#This Row],[Total Cost]]/(Scenario[[#This Row],[Total Coverage]]*100)</f>
        <v>64648.854094235438</v>
      </c>
      <c r="M31" s="295" cm="1">
        <f t="array" ref="M31">IF(AND(K31=MAX(K$10:K31), L31=MIN(IF(K$10:K31=K31, L$10:L31))), 1, 0)</f>
        <v>0</v>
      </c>
      <c r="N31" s="295">
        <f>IF(AND(Scenario[[#This Row],[Total Coverage]]&gt;=70%,Scenario[[#This Row],[Frontier]]=1),1,0)</f>
        <v>0</v>
      </c>
    </row>
    <row r="32" spans="1:14" x14ac:dyDescent="0.25">
      <c r="A32">
        <v>226</v>
      </c>
      <c r="B32">
        <v>0.75</v>
      </c>
      <c r="C32">
        <v>0.25</v>
      </c>
      <c r="D32">
        <v>0</v>
      </c>
      <c r="E32">
        <v>1</v>
      </c>
      <c r="F32">
        <v>1</v>
      </c>
      <c r="G32">
        <v>0</v>
      </c>
      <c r="H32">
        <v>1</v>
      </c>
      <c r="I32">
        <v>0</v>
      </c>
      <c r="J32" s="272">
        <f>$C$3*($C$4*$E$4*B31*$B$7)*$G$4+$C$3*($C$4*$E$5*D32*$D$7)*$G$4+$C$3*($C$4*$E$4*C32*$C$7)*$G$5+$C$3*($C$4*$E$5*E32*$E$7)*$G$5+$C$3*($C$5*$E$4*F32*$F$7)*$H$4+$C$3*($C$5*$E$5*H32*$H$7)*$H$4+$C$3*($C$5*$E$5*I32*$I$7)*$H$5+$C$3*($C$5*$E$4*G32*$G$7)*$H$5</f>
        <v>2020430.9590288082</v>
      </c>
      <c r="K32" s="277">
        <f>ROUND(($C$4*$E$4*B32*$B$7+$C$4*$E$4*C32*$C$7+$C$4*$E$5*D32*$D$7+$C$4*$E$5*E32*$E$7+($C$5*$E$4*F32*$F$7+$C$5*$E$4*G32*$G$7+$C$5*$E$5*H32*$H$7+$C$5*$E$5*I32*$I$7)),2)</f>
        <v>0.35</v>
      </c>
      <c r="L32" s="276">
        <f>Scenario[[#This Row],[Total Cost]]/(Scenario[[#This Row],[Total Coverage]]*100)</f>
        <v>57726.598829394519</v>
      </c>
      <c r="M32" s="295" cm="1">
        <f t="array" ref="M32">IF(AND(K32=MAX(K$10:K32), L32=MIN(IF(K$10:K32=K32, L$10:L32))), 1, 0)</f>
        <v>0</v>
      </c>
      <c r="N32" s="295">
        <f>IF(AND(Scenario[[#This Row],[Total Coverage]]&gt;=70%,Scenario[[#This Row],[Frontier]]=1),1,0)</f>
        <v>0</v>
      </c>
    </row>
    <row r="33" spans="1:14" x14ac:dyDescent="0.25">
      <c r="A33">
        <v>401</v>
      </c>
      <c r="B33">
        <v>0.25</v>
      </c>
      <c r="C33">
        <v>0.75</v>
      </c>
      <c r="D33">
        <v>0.75</v>
      </c>
      <c r="E33">
        <v>0.25</v>
      </c>
      <c r="F33">
        <v>1</v>
      </c>
      <c r="G33">
        <v>0</v>
      </c>
      <c r="H33">
        <v>1</v>
      </c>
      <c r="I33">
        <v>0</v>
      </c>
      <c r="J33" s="272">
        <f>$C$3*($C$4*$E$4*B32*$B$7)*$G$4+$C$3*($C$4*$E$5*D33*$D$7)*$G$4+$C$3*($C$4*$E$4*C33*$C$7)*$G$5+$C$3*($C$4*$E$5*E33*$E$7)*$G$5+$C$3*($C$5*$E$4*F33*$F$7)*$H$4+$C$3*($C$5*$E$5*H33*$H$7)*$H$4+$C$3*($C$5*$E$5*I33*$I$7)*$H$5+$C$3*($C$5*$E$4*G33*$G$7)*$H$5</f>
        <v>2560055.0366536453</v>
      </c>
      <c r="K33" s="277">
        <f>ROUND(($C$4*$E$4*B33*$B$7+$C$4*$E$4*C33*$C$7+$C$4*$E$5*D33*$D$7+$C$4*$E$5*E33*$E$7+($C$5*$E$4*F33*$F$7+$C$5*$E$4*G33*$G$7+$C$5*$E$5*H33*$H$7+$C$5*$E$5*I33*$I$7)),2)</f>
        <v>0.35</v>
      </c>
      <c r="L33" s="276">
        <f>Scenario[[#This Row],[Total Cost]]/(Scenario[[#This Row],[Total Coverage]]*100)</f>
        <v>73144.429618675582</v>
      </c>
      <c r="M33" s="295" cm="1">
        <f t="array" ref="M33">IF(AND(K33=MAX(K$10:K33), L33=MIN(IF(K$10:K33=K33, L$10:L33))), 1, 0)</f>
        <v>0</v>
      </c>
      <c r="N33" s="295">
        <f>IF(AND(Scenario[[#This Row],[Total Coverage]]&gt;=70%,Scenario[[#This Row],[Frontier]]=1),1,0)</f>
        <v>0</v>
      </c>
    </row>
    <row r="34" spans="1:14" x14ac:dyDescent="0.25">
      <c r="A34">
        <v>102</v>
      </c>
      <c r="B34">
        <v>1</v>
      </c>
      <c r="C34">
        <v>0</v>
      </c>
      <c r="D34">
        <v>0</v>
      </c>
      <c r="E34">
        <v>1</v>
      </c>
      <c r="F34">
        <v>1</v>
      </c>
      <c r="G34">
        <v>0</v>
      </c>
      <c r="H34">
        <v>0.75</v>
      </c>
      <c r="I34">
        <v>0.25</v>
      </c>
      <c r="J34" s="272">
        <f>$C$3*($C$4*$E$4*B33*$B$7)*$G$4+$C$3*($C$4*$E$5*D34*$D$7)*$G$4+$C$3*($C$4*$E$4*C34*$C$7)*$G$5+$C$3*($C$4*$E$5*E34*$E$7)*$G$5+$C$3*($C$5*$E$4*F34*$F$7)*$H$4+$C$3*($C$5*$E$5*H34*$H$7)*$H$4+$C$3*($C$5*$E$5*I34*$I$7)*$H$5+$C$3*($C$5*$E$4*G34*$G$7)*$H$5</f>
        <v>1800952.5064660623</v>
      </c>
      <c r="K34" s="277">
        <f>ROUND(($C$4*$E$4*B34*$B$7+$C$4*$E$4*C34*$C$7+$C$4*$E$5*D34*$D$7+$C$4*$E$5*E34*$E$7+($C$5*$E$4*F34*$F$7+$C$5*$E$4*G34*$G$7+$C$5*$E$5*H34*$H$7+$C$5*$E$5*I34*$I$7)),2)</f>
        <v>0.36</v>
      </c>
      <c r="L34" s="276">
        <f>Scenario[[#This Row],[Total Cost]]/(Scenario[[#This Row],[Total Coverage]]*100)</f>
        <v>50026.458512946178</v>
      </c>
      <c r="M34" s="295" cm="1">
        <f t="array" ref="M34">IF(AND(K34=MAX(K$10:K34), L34=MIN(IF(K$10:K34=K34, L$10:L34))), 1, 0)</f>
        <v>1</v>
      </c>
      <c r="N34" s="295">
        <f>IF(AND(Scenario[[#This Row],[Total Coverage]]&gt;=70%,Scenario[[#This Row],[Frontier]]=1),1,0)</f>
        <v>0</v>
      </c>
    </row>
    <row r="35" spans="1:14" x14ac:dyDescent="0.25">
      <c r="A35">
        <v>28</v>
      </c>
      <c r="B35">
        <v>1</v>
      </c>
      <c r="C35">
        <v>0</v>
      </c>
      <c r="D35">
        <v>0.75</v>
      </c>
      <c r="E35">
        <v>0.25</v>
      </c>
      <c r="F35">
        <v>1</v>
      </c>
      <c r="G35">
        <v>0</v>
      </c>
      <c r="H35">
        <v>0.5</v>
      </c>
      <c r="I35">
        <v>0.5</v>
      </c>
      <c r="J35" s="272">
        <f>$C$3*($C$4*$E$4*B34*$B$7)*$G$4+$C$3*($C$4*$E$5*D35*$D$7)*$G$4+$C$3*($C$4*$E$4*C35*$C$7)*$G$5+$C$3*($C$4*$E$5*E35*$E$7)*$G$5+$C$3*($C$5*$E$4*F35*$F$7)*$H$4+$C$3*($C$5*$E$5*H35*$H$7)*$H$4+$C$3*($C$5*$E$5*I35*$I$7)*$H$5+$C$3*($C$5*$E$4*G35*$G$7)*$H$5</f>
        <v>1947305.3143232455</v>
      </c>
      <c r="K35" s="277">
        <f>ROUND(($C$4*$E$4*B35*$B$7+$C$4*$E$4*C35*$C$7+$C$4*$E$5*D35*$D$7+$C$4*$E$5*E35*$E$7+($C$5*$E$4*F35*$F$7+$C$5*$E$4*G35*$G$7+$C$5*$E$5*H35*$H$7+$C$5*$E$5*I35*$I$7)),2)</f>
        <v>0.36</v>
      </c>
      <c r="L35" s="276">
        <f>Scenario[[#This Row],[Total Cost]]/(Scenario[[#This Row],[Total Coverage]]*100)</f>
        <v>54091.814286756824</v>
      </c>
      <c r="M35" s="295" cm="1">
        <f t="array" ref="M35">IF(AND(K35=MAX(K$10:K35), L35=MIN(IF(K$10:K35=K35, L$10:L35))), 1, 0)</f>
        <v>0</v>
      </c>
      <c r="N35" s="295">
        <f>IF(AND(Scenario[[#This Row],[Total Coverage]]&gt;=70%,Scenario[[#This Row],[Frontier]]=1),1,0)</f>
        <v>0</v>
      </c>
    </row>
    <row r="36" spans="1:14" x14ac:dyDescent="0.25">
      <c r="A36">
        <v>31</v>
      </c>
      <c r="B36">
        <v>1</v>
      </c>
      <c r="C36">
        <v>0</v>
      </c>
      <c r="D36">
        <v>0.75</v>
      </c>
      <c r="E36">
        <v>0.25</v>
      </c>
      <c r="F36">
        <v>0.75</v>
      </c>
      <c r="G36">
        <v>0.25</v>
      </c>
      <c r="H36">
        <v>1</v>
      </c>
      <c r="I36">
        <v>0</v>
      </c>
      <c r="J36" s="272">
        <f>$C$3*($C$4*$E$4*B35*$B$7)*$G$4+$C$3*($C$4*$E$5*D36*$D$7)*$G$4+$C$3*($C$4*$E$4*C36*$C$7)*$G$5+$C$3*($C$4*$E$5*E36*$E$7)*$G$5+$C$3*($C$5*$E$4*F36*$F$7)*$H$4+$C$3*($C$5*$E$5*H36*$H$7)*$H$4+$C$3*($C$5*$E$5*I36*$I$7)*$H$5+$C$3*($C$5*$E$4*G36*$G$7)*$H$5</f>
        <v>2022048.786528328</v>
      </c>
      <c r="K36" s="277">
        <f>ROUND(($C$4*$E$4*B36*$B$7+$C$4*$E$4*C36*$C$7+$C$4*$E$5*D36*$D$7+$C$4*$E$5*E36*$E$7+($C$5*$E$4*F36*$F$7+$C$5*$E$4*G36*$G$7+$C$5*$E$5*H36*$H$7+$C$5*$E$5*I36*$I$7)),2)</f>
        <v>0.36</v>
      </c>
      <c r="L36" s="276">
        <f>Scenario[[#This Row],[Total Cost]]/(Scenario[[#This Row],[Total Coverage]]*100)</f>
        <v>56168.021848009113</v>
      </c>
      <c r="M36" s="295" cm="1">
        <f t="array" ref="M36">IF(AND(K36=MAX(K$10:K36), L36=MIN(IF(K$10:K36=K36, L$10:L36))), 1, 0)</f>
        <v>0</v>
      </c>
      <c r="N36" s="295">
        <f>IF(AND(Scenario[[#This Row],[Total Coverage]]&gt;=70%,Scenario[[#This Row],[Frontier]]=1),1,0)</f>
        <v>0</v>
      </c>
    </row>
    <row r="37" spans="1:14" x14ac:dyDescent="0.25">
      <c r="A37">
        <v>177</v>
      </c>
      <c r="B37">
        <v>0.75</v>
      </c>
      <c r="C37">
        <v>0.25</v>
      </c>
      <c r="D37">
        <v>0.5</v>
      </c>
      <c r="E37">
        <v>0.5</v>
      </c>
      <c r="F37">
        <v>1</v>
      </c>
      <c r="G37">
        <v>0</v>
      </c>
      <c r="H37">
        <v>0.75</v>
      </c>
      <c r="I37">
        <v>0.25</v>
      </c>
      <c r="J37" s="272">
        <f>$C$3*($C$4*$E$4*B36*$B$7)*$G$4+$C$3*($C$4*$E$5*D37*$D$7)*$G$4+$C$3*($C$4*$E$4*C37*$C$7)*$G$5+$C$3*($C$4*$E$5*E37*$E$7)*$G$5+$C$3*($C$5*$E$4*F37*$F$7)*$H$4+$C$3*($C$5*$E$5*H37*$H$7)*$H$4+$C$3*($C$5*$E$5*I37*$I$7)*$H$5+$C$3*($C$5*$E$4*G37*$G$7)*$H$5</f>
        <v>2244650.4576786505</v>
      </c>
      <c r="K37" s="277">
        <f>ROUND(($C$4*$E$4*B37*$B$7+$C$4*$E$4*C37*$C$7+$C$4*$E$5*D37*$D$7+$C$4*$E$5*E37*$E$7+($C$5*$E$4*F37*$F$7+$C$5*$E$4*G37*$G$7+$C$5*$E$5*H37*$H$7+$C$5*$E$5*I37*$I$7)),2)</f>
        <v>0.36</v>
      </c>
      <c r="L37" s="276">
        <f>Scenario[[#This Row],[Total Cost]]/(Scenario[[#This Row],[Total Coverage]]*100)</f>
        <v>62351.401602184735</v>
      </c>
      <c r="M37" s="295" cm="1">
        <f t="array" ref="M37">IF(AND(K37=MAX(K$10:K37), L37=MIN(IF(K$10:K37=K37, L$10:L37))), 1, 0)</f>
        <v>0</v>
      </c>
      <c r="N37" s="295">
        <f>IF(AND(Scenario[[#This Row],[Total Coverage]]&gt;=70%,Scenario[[#This Row],[Frontier]]=1),1,0)</f>
        <v>0</v>
      </c>
    </row>
    <row r="38" spans="1:14" x14ac:dyDescent="0.25">
      <c r="A38">
        <v>326</v>
      </c>
      <c r="B38">
        <v>0.5</v>
      </c>
      <c r="C38">
        <v>0.5</v>
      </c>
      <c r="D38">
        <v>0.25</v>
      </c>
      <c r="E38">
        <v>0.75</v>
      </c>
      <c r="F38">
        <v>1</v>
      </c>
      <c r="G38">
        <v>0</v>
      </c>
      <c r="H38">
        <v>1</v>
      </c>
      <c r="I38">
        <v>0</v>
      </c>
      <c r="J38" s="272">
        <f>$C$3*($C$4*$E$4*B37*$B$7)*$G$4+$C$3*($C$4*$E$5*D38*$D$7)*$G$4+$C$3*($C$4*$E$4*C38*$C$7)*$G$5+$C$3*($C$4*$E$5*E38*$E$7)*$G$5+$C$3*($C$5*$E$4*F38*$F$7)*$H$4+$C$3*($C$5*$E$5*H38*$H$7)*$H$4+$C$3*($C$5*$E$5*I38*$I$7)*$H$5+$C$3*($C$5*$E$4*G38*$G$7)*$H$5</f>
        <v>2435585.9721358055</v>
      </c>
      <c r="K38" s="277">
        <f>ROUND(($C$4*$E$4*B38*$B$7+$C$4*$E$4*C38*$C$7+$C$4*$E$5*D38*$D$7+$C$4*$E$5*E38*$E$7+($C$5*$E$4*F38*$F$7+$C$5*$E$4*G38*$G$7+$C$5*$E$5*H38*$H$7+$C$5*$E$5*I38*$I$7)),2)</f>
        <v>0.36</v>
      </c>
      <c r="L38" s="276">
        <f>Scenario[[#This Row],[Total Cost]]/(Scenario[[#This Row],[Total Coverage]]*100)</f>
        <v>67655.165892661258</v>
      </c>
      <c r="M38" s="295" cm="1">
        <f t="array" ref="M38">IF(AND(K38=MAX(K$10:K38), L38=MIN(IF(K$10:K38=K38, L$10:L38))), 1, 0)</f>
        <v>0</v>
      </c>
      <c r="N38" s="295">
        <f>IF(AND(Scenario[[#This Row],[Total Coverage]]&gt;=70%,Scenario[[#This Row],[Frontier]]=1),1,0)</f>
        <v>0</v>
      </c>
    </row>
    <row r="39" spans="1:14" x14ac:dyDescent="0.25">
      <c r="A39">
        <v>501</v>
      </c>
      <c r="B39">
        <v>0</v>
      </c>
      <c r="C39">
        <v>1</v>
      </c>
      <c r="D39">
        <v>1</v>
      </c>
      <c r="E39">
        <v>0</v>
      </c>
      <c r="F39">
        <v>1</v>
      </c>
      <c r="G39">
        <v>0</v>
      </c>
      <c r="H39">
        <v>1</v>
      </c>
      <c r="I39">
        <v>0</v>
      </c>
      <c r="J39" s="272">
        <f>$C$3*($C$4*$E$4*B38*$B$7)*$G$4+$C$3*($C$4*$E$5*D39*$D$7)*$G$4+$C$3*($C$4*$E$4*C39*$C$7)*$G$5+$C$3*($C$4*$E$5*E39*$E$7)*$G$5+$C$3*($C$5*$E$4*F39*$F$7)*$H$4+$C$3*($C$5*$E$5*H39*$H$7)*$H$4+$C$3*($C$5*$E$5*I39*$I$7)*$H$5+$C$3*($C$5*$E$4*G39*$G$7)*$H$5</f>
        <v>2762390.7919641435</v>
      </c>
      <c r="K39" s="277">
        <f>ROUND(($C$4*$E$4*B39*$B$7+$C$4*$E$4*C39*$C$7+$C$4*$E$5*D39*$D$7+$C$4*$E$5*E39*$E$7+($C$5*$E$4*F39*$F$7+$C$5*$E$4*G39*$G$7+$C$5*$E$5*H39*$H$7+$C$5*$E$5*I39*$I$7)),2)</f>
        <v>0.36</v>
      </c>
      <c r="L39" s="276">
        <f>Scenario[[#This Row],[Total Cost]]/(Scenario[[#This Row],[Total Coverage]]*100)</f>
        <v>76733.077554559539</v>
      </c>
      <c r="M39" s="295" cm="1">
        <f t="array" ref="M39">IF(AND(K39=MAX(K$10:K39), L39=MIN(IF(K$10:K39=K39, L$10:L39))), 1, 0)</f>
        <v>0</v>
      </c>
      <c r="N39" s="295">
        <f>IF(AND(Scenario[[#This Row],[Total Coverage]]&gt;=70%,Scenario[[#This Row],[Frontier]]=1),1,0)</f>
        <v>0</v>
      </c>
    </row>
    <row r="40" spans="1:14" x14ac:dyDescent="0.25">
      <c r="A40">
        <v>53</v>
      </c>
      <c r="B40">
        <v>1</v>
      </c>
      <c r="C40">
        <v>0</v>
      </c>
      <c r="D40">
        <v>0.5</v>
      </c>
      <c r="E40">
        <v>0.5</v>
      </c>
      <c r="F40">
        <v>1</v>
      </c>
      <c r="G40">
        <v>0</v>
      </c>
      <c r="H40">
        <v>0.5</v>
      </c>
      <c r="I40">
        <v>0.5</v>
      </c>
      <c r="J40" s="272">
        <f>$C$3*($C$4*$E$4*B39*$B$7)*$G$4+$C$3*($C$4*$E$5*D40*$D$7)*$G$4+$C$3*($C$4*$E$4*C40*$C$7)*$G$5+$C$3*($C$4*$E$5*E40*$E$7)*$G$5+$C$3*($C$5*$E$4*F40*$F$7)*$H$4+$C$3*($C$5*$E$5*H40*$H$7)*$H$4+$C$3*($C$5*$E$5*I40*$I$7)*$H$5+$C$3*($C$5*$E$4*G40*$G$7)*$H$5</f>
        <v>1705943.118421156</v>
      </c>
      <c r="K40" s="277">
        <f>ROUND(($C$4*$E$4*B40*$B$7+$C$4*$E$4*C40*$C$7+$C$4*$E$5*D40*$D$7+$C$4*$E$5*E40*$E$7+($C$5*$E$4*F40*$F$7+$C$5*$E$4*G40*$G$7+$C$5*$E$5*H40*$H$7+$C$5*$E$5*I40*$I$7)),2)</f>
        <v>0.37</v>
      </c>
      <c r="L40" s="276">
        <f>Scenario[[#This Row],[Total Cost]]/(Scenario[[#This Row],[Total Coverage]]*100)</f>
        <v>46106.570768139347</v>
      </c>
      <c r="M40" s="295" cm="1">
        <f t="array" ref="M40">IF(AND(K40=MAX(K$10:K40), L40=MIN(IF(K$10:K40=K40, L$10:L40))), 1, 0)</f>
        <v>1</v>
      </c>
      <c r="N40" s="295">
        <f>IF(AND(Scenario[[#This Row],[Total Coverage]]&gt;=70%,Scenario[[#This Row],[Frontier]]=1),1,0)</f>
        <v>0</v>
      </c>
    </row>
    <row r="41" spans="1:14" x14ac:dyDescent="0.25">
      <c r="A41">
        <v>128</v>
      </c>
      <c r="B41">
        <v>0.75</v>
      </c>
      <c r="C41">
        <v>0.25</v>
      </c>
      <c r="D41">
        <v>1</v>
      </c>
      <c r="E41">
        <v>0</v>
      </c>
      <c r="F41">
        <v>1</v>
      </c>
      <c r="G41">
        <v>0</v>
      </c>
      <c r="H41">
        <v>0.5</v>
      </c>
      <c r="I41">
        <v>0.5</v>
      </c>
      <c r="J41" s="272">
        <f>$C$3*($C$4*$E$4*B40*$B$7)*$G$4+$C$3*($C$4*$E$5*D41*$D$7)*$G$4+$C$3*($C$4*$E$4*C41*$C$7)*$G$5+$C$3*($C$4*$E$5*E41*$E$7)*$G$5+$C$3*($C$5*$E$4*F41*$F$7)*$H$4+$C$3*($C$5*$E$5*H41*$H$7)*$H$4+$C$3*($C$5*$E$5*I41*$I$7)*$H$5+$C$3*($C$5*$E$4*G41*$G$7)*$H$5</f>
        <v>2256050.6985319932</v>
      </c>
      <c r="K41" s="277">
        <f>ROUND(($C$4*$E$4*B41*$B$7+$C$4*$E$4*C41*$C$7+$C$4*$E$5*D41*$D$7+$C$4*$E$5*E41*$E$7+($C$5*$E$4*F41*$F$7+$C$5*$E$4*G41*$G$7+$C$5*$E$5*H41*$H$7+$C$5*$E$5*I41*$I$7)),2)</f>
        <v>0.37</v>
      </c>
      <c r="L41" s="276">
        <f>Scenario[[#This Row],[Total Cost]]/(Scenario[[#This Row],[Total Coverage]]*100)</f>
        <v>60974.343203567383</v>
      </c>
      <c r="M41" s="295" cm="1">
        <f t="array" ref="M41">IF(AND(K41=MAX(K$10:K41), L41=MIN(IF(K$10:K41=K41, L$10:L41))), 1, 0)</f>
        <v>0</v>
      </c>
      <c r="N41" s="295">
        <f>IF(AND(Scenario[[#This Row],[Total Coverage]]&gt;=70%,Scenario[[#This Row],[Frontier]]=1),1,0)</f>
        <v>0</v>
      </c>
    </row>
    <row r="42" spans="1:14" x14ac:dyDescent="0.25">
      <c r="A42">
        <v>202</v>
      </c>
      <c r="B42">
        <v>0.75</v>
      </c>
      <c r="C42">
        <v>0.25</v>
      </c>
      <c r="D42">
        <v>0.25</v>
      </c>
      <c r="E42">
        <v>0.75</v>
      </c>
      <c r="F42">
        <v>1</v>
      </c>
      <c r="G42">
        <v>0</v>
      </c>
      <c r="H42">
        <v>0.75</v>
      </c>
      <c r="I42">
        <v>0.25</v>
      </c>
      <c r="J42" s="272">
        <f>$C$3*($C$4*$E$4*B41*$B$7)*$G$4+$C$3*($C$4*$E$5*D42*$D$7)*$G$4+$C$3*($C$4*$E$4*C42*$C$7)*$G$5+$C$3*($C$4*$E$5*E42*$E$7)*$G$5+$C$3*($C$5*$E$4*F42*$F$7)*$H$4+$C$3*($C$5*$E$5*H42*$H$7)*$H$4+$C$3*($C$5*$E$5*I42*$I$7)*$H$5+$C$3*($C$5*$E$4*G42*$G$7)*$H$5</f>
        <v>2322517.1484713093</v>
      </c>
      <c r="K42" s="277">
        <f>ROUND(($C$4*$E$4*B42*$B$7+$C$4*$E$4*C42*$C$7+$C$4*$E$5*D42*$D$7+$C$4*$E$5*E42*$E$7+($C$5*$E$4*F42*$F$7+$C$5*$E$4*G42*$G$7+$C$5*$E$5*H42*$H$7+$C$5*$E$5*I42*$I$7)),2)</f>
        <v>0.37</v>
      </c>
      <c r="L42" s="276">
        <f>Scenario[[#This Row],[Total Cost]]/(Scenario[[#This Row],[Total Coverage]]*100)</f>
        <v>62770.733742467819</v>
      </c>
      <c r="M42" s="295" cm="1">
        <f t="array" ref="M42">IF(AND(K42=MAX(K$10:K42), L42=MIN(IF(K$10:K42=K42, L$10:L42))), 1, 0)</f>
        <v>0</v>
      </c>
      <c r="N42" s="295">
        <f>IF(AND(Scenario[[#This Row],[Total Coverage]]&gt;=70%,Scenario[[#This Row],[Frontier]]=1),1,0)</f>
        <v>0</v>
      </c>
    </row>
    <row r="43" spans="1:14" x14ac:dyDescent="0.25">
      <c r="A43">
        <v>131</v>
      </c>
      <c r="B43">
        <v>0.75</v>
      </c>
      <c r="C43">
        <v>0.25</v>
      </c>
      <c r="D43">
        <v>1</v>
      </c>
      <c r="E43">
        <v>0</v>
      </c>
      <c r="F43">
        <v>0.75</v>
      </c>
      <c r="G43">
        <v>0.25</v>
      </c>
      <c r="H43">
        <v>1</v>
      </c>
      <c r="I43">
        <v>0</v>
      </c>
      <c r="J43" s="272">
        <f>$C$3*($C$4*$E$4*B42*$B$7)*$G$4+$C$3*($C$4*$E$5*D43*$D$7)*$G$4+$C$3*($C$4*$E$4*C43*$C$7)*$G$5+$C$3*($C$4*$E$5*E43*$E$7)*$G$5+$C$3*($C$5*$E$4*F43*$F$7)*$H$4+$C$3*($C$5*$E$5*H43*$H$7)*$H$4+$C$3*($C$5*$E$5*I43*$I$7)*$H$5+$C$3*($C$5*$E$4*G43*$G$7)*$H$5</f>
        <v>2224384.5418388266</v>
      </c>
      <c r="K43" s="277">
        <f>ROUND(($C$4*$E$4*B43*$B$7+$C$4*$E$4*C43*$C$7+$C$4*$E$5*D43*$D$7+$C$4*$E$5*E43*$E$7+($C$5*$E$4*F43*$F$7+$C$5*$E$4*G43*$G$7+$C$5*$E$5*H43*$H$7+$C$5*$E$5*I43*$I$7)),2)</f>
        <v>0.37</v>
      </c>
      <c r="L43" s="276">
        <f>Scenario[[#This Row],[Total Cost]]/(Scenario[[#This Row],[Total Coverage]]*100)</f>
        <v>60118.501130779099</v>
      </c>
      <c r="M43" s="295" cm="1">
        <f t="array" ref="M43">IF(AND(K43=MAX(K$10:K43), L43=MIN(IF(K$10:K43=K43, L$10:L43))), 1, 0)</f>
        <v>0</v>
      </c>
      <c r="N43" s="295">
        <f>IF(AND(Scenario[[#This Row],[Total Coverage]]&gt;=70%,Scenario[[#This Row],[Frontier]]=1),1,0)</f>
        <v>0</v>
      </c>
    </row>
    <row r="44" spans="1:14" x14ac:dyDescent="0.25">
      <c r="A44">
        <v>277</v>
      </c>
      <c r="B44">
        <v>0.5</v>
      </c>
      <c r="C44">
        <v>0.5</v>
      </c>
      <c r="D44">
        <v>0.75</v>
      </c>
      <c r="E44">
        <v>0.25</v>
      </c>
      <c r="F44">
        <v>1</v>
      </c>
      <c r="G44">
        <v>0</v>
      </c>
      <c r="H44">
        <v>0.75</v>
      </c>
      <c r="I44">
        <v>0.25</v>
      </c>
      <c r="J44" s="272">
        <f>$C$3*($C$4*$E$4*B43*$B$7)*$G$4+$C$3*($C$4*$E$5*D44*$D$7)*$G$4+$C$3*($C$4*$E$4*C44*$C$7)*$G$5+$C$3*($C$4*$E$5*E44*$E$7)*$G$5+$C$3*($C$5*$E$4*F44*$F$7)*$H$4+$C$3*($C$5*$E$5*H44*$H$7)*$H$4+$C$3*($C$5*$E$5*I44*$I$7)*$H$5+$C$3*($C$5*$E$4*G44*$G$7)*$H$5</f>
        <v>2446986.2129891487</v>
      </c>
      <c r="K44" s="277">
        <f>ROUND(($C$4*$E$4*B44*$B$7+$C$4*$E$4*C44*$C$7+$C$4*$E$5*D44*$D$7+$C$4*$E$5*E44*$E$7+($C$5*$E$4*F44*$F$7+$C$5*$E$4*G44*$G$7+$C$5*$E$5*H44*$H$7+$C$5*$E$5*I44*$I$7)),2)</f>
        <v>0.37</v>
      </c>
      <c r="L44" s="276">
        <f>Scenario[[#This Row],[Total Cost]]/(Scenario[[#This Row],[Total Coverage]]*100)</f>
        <v>66134.762513220237</v>
      </c>
      <c r="M44" s="295" cm="1">
        <f t="array" ref="M44">IF(AND(K44=MAX(K$10:K44), L44=MIN(IF(K$10:K44=K44, L$10:L44))), 1, 0)</f>
        <v>0</v>
      </c>
      <c r="N44" s="295">
        <f>IF(AND(Scenario[[#This Row],[Total Coverage]]&gt;=70%,Scenario[[#This Row],[Frontier]]=1),1,0)</f>
        <v>0</v>
      </c>
    </row>
    <row r="45" spans="1:14" x14ac:dyDescent="0.25">
      <c r="A45">
        <v>351</v>
      </c>
      <c r="B45">
        <v>0.5</v>
      </c>
      <c r="C45">
        <v>0.5</v>
      </c>
      <c r="D45">
        <v>0</v>
      </c>
      <c r="E45">
        <v>1</v>
      </c>
      <c r="F45">
        <v>1</v>
      </c>
      <c r="G45">
        <v>0</v>
      </c>
      <c r="H45">
        <v>1</v>
      </c>
      <c r="I45">
        <v>0</v>
      </c>
      <c r="J45" s="272">
        <f>$C$3*($C$4*$E$4*B44*$B$7)*$G$4+$C$3*($C$4*$E$5*D45*$D$7)*$G$4+$C$3*($C$4*$E$4*C45*$C$7)*$G$5+$C$3*($C$4*$E$5*E45*$E$7)*$G$5+$C$3*($C$5*$E$4*F45*$F$7)*$H$4+$C$3*($C$5*$E$5*H45*$H$7)*$H$4+$C$3*($C$5*$E$5*I45*$I$7)*$H$5+$C$3*($C$5*$E$4*G45*$G$7)*$H$5</f>
        <v>2513452.6629284639</v>
      </c>
      <c r="K45" s="277">
        <f>ROUND(($C$4*$E$4*B45*$B$7+$C$4*$E$4*C45*$C$7+$C$4*$E$5*D45*$D$7+$C$4*$E$5*E45*$E$7+($C$5*$E$4*F45*$F$7+$C$5*$E$4*G45*$G$7+$C$5*$E$5*H45*$H$7+$C$5*$E$5*I45*$I$7)),2)</f>
        <v>0.37</v>
      </c>
      <c r="L45" s="276">
        <f>Scenario[[#This Row],[Total Cost]]/(Scenario[[#This Row],[Total Coverage]]*100)</f>
        <v>67931.153052120644</v>
      </c>
      <c r="M45" s="295" cm="1">
        <f t="array" ref="M45">IF(AND(K45=MAX(K$10:K45), L45=MIN(IF(K$10:K45=K45, L$10:L45))), 1, 0)</f>
        <v>0</v>
      </c>
      <c r="N45" s="295">
        <f>IF(AND(Scenario[[#This Row],[Total Coverage]]&gt;=70%,Scenario[[#This Row],[Frontier]]=1),1,0)</f>
        <v>0</v>
      </c>
    </row>
    <row r="46" spans="1:14" x14ac:dyDescent="0.25">
      <c r="A46">
        <v>426</v>
      </c>
      <c r="B46">
        <v>0.25</v>
      </c>
      <c r="C46">
        <v>0.75</v>
      </c>
      <c r="D46">
        <v>0.5</v>
      </c>
      <c r="E46">
        <v>0.5</v>
      </c>
      <c r="F46">
        <v>1</v>
      </c>
      <c r="G46">
        <v>0</v>
      </c>
      <c r="H46">
        <v>1</v>
      </c>
      <c r="I46">
        <v>0</v>
      </c>
      <c r="J46" s="272">
        <f>$C$3*($C$4*$E$4*B45*$B$7)*$G$4+$C$3*($C$4*$E$5*D46*$D$7)*$G$4+$C$3*($C$4*$E$4*C46*$C$7)*$G$5+$C$3*($C$4*$E$5*E46*$E$7)*$G$5+$C$3*($C$5*$E$4*F46*$F$7)*$H$4+$C$3*($C$5*$E$5*H46*$H$7)*$H$4+$C$3*($C$5*$E$5*I46*$I$7)*$H$5+$C$3*($C$5*$E$4*G46*$G$7)*$H$5</f>
        <v>2637921.7274463037</v>
      </c>
      <c r="K46" s="277">
        <f>ROUND(($C$4*$E$4*B46*$B$7+$C$4*$E$4*C46*$C$7+$C$4*$E$5*D46*$D$7+$C$4*$E$5*E46*$E$7+($C$5*$E$4*F46*$F$7+$C$5*$E$4*G46*$G$7+$C$5*$E$5*H46*$H$7+$C$5*$E$5*I46*$I$7)),2)</f>
        <v>0.37</v>
      </c>
      <c r="L46" s="276">
        <f>Scenario[[#This Row],[Total Cost]]/(Scenario[[#This Row],[Total Coverage]]*100)</f>
        <v>71295.18182287307</v>
      </c>
      <c r="M46" s="295" cm="1">
        <f t="array" ref="M46">IF(AND(K46=MAX(K$10:K46), L46=MIN(IF(K$10:K46=K46, L$10:L46))), 1, 0)</f>
        <v>0</v>
      </c>
      <c r="N46" s="295">
        <f>IF(AND(Scenario[[#This Row],[Total Coverage]]&gt;=70%,Scenario[[#This Row],[Frontier]]=1),1,0)</f>
        <v>0</v>
      </c>
    </row>
    <row r="47" spans="1:14" x14ac:dyDescent="0.25">
      <c r="A47">
        <v>56</v>
      </c>
      <c r="B47">
        <v>1</v>
      </c>
      <c r="C47">
        <v>0</v>
      </c>
      <c r="D47">
        <v>0.5</v>
      </c>
      <c r="E47">
        <v>0.5</v>
      </c>
      <c r="F47">
        <v>0.75</v>
      </c>
      <c r="G47">
        <v>0.25</v>
      </c>
      <c r="H47">
        <v>1</v>
      </c>
      <c r="I47">
        <v>0</v>
      </c>
      <c r="J47" s="272">
        <f>$C$3*($C$4*$E$4*B46*$B$7)*$G$4+$C$3*($C$4*$E$5*D47*$D$7)*$G$4+$C$3*($C$4*$E$4*C47*$C$7)*$G$5+$C$3*($C$4*$E$5*E47*$E$7)*$G$5+$C$3*($C$5*$E$4*F47*$F$7)*$H$4+$C$3*($C$5*$E$5*H47*$H$7)*$H$4+$C$3*($C$5*$E$5*I47*$I$7)*$H$5+$C$3*($C$5*$E$4*G47*$G$7)*$H$5</f>
        <v>1887096.2195244879</v>
      </c>
      <c r="K47" s="277">
        <f>ROUND(($C$4*$E$4*B47*$B$7+$C$4*$E$4*C47*$C$7+$C$4*$E$5*D47*$D$7+$C$4*$E$5*E47*$E$7+($C$5*$E$4*F47*$F$7+$C$5*$E$4*G47*$G$7+$C$5*$E$5*H47*$H$7+$C$5*$E$5*I47*$I$7)),2)</f>
        <v>0.38</v>
      </c>
      <c r="L47" s="276">
        <f>Scenario[[#This Row],[Total Cost]]/(Scenario[[#This Row],[Total Coverage]]*100)</f>
        <v>49660.426829591786</v>
      </c>
      <c r="M47" s="295" cm="1">
        <f t="array" ref="M47">IF(AND(K47=MAX(K$10:K47), L47=MIN(IF(K$10:K47=K47, L$10:L47))), 1, 0)</f>
        <v>1</v>
      </c>
      <c r="N47" s="295">
        <f>IF(AND(Scenario[[#This Row],[Total Coverage]]&gt;=70%,Scenario[[#This Row],[Frontier]]=1),1,0)</f>
        <v>0</v>
      </c>
    </row>
    <row r="48" spans="1:14" x14ac:dyDescent="0.25">
      <c r="A48">
        <v>4</v>
      </c>
      <c r="B48">
        <v>1</v>
      </c>
      <c r="C48">
        <v>0</v>
      </c>
      <c r="D48">
        <v>1</v>
      </c>
      <c r="E48">
        <v>0</v>
      </c>
      <c r="F48">
        <v>1</v>
      </c>
      <c r="G48">
        <v>0</v>
      </c>
      <c r="H48">
        <v>0.25</v>
      </c>
      <c r="I48">
        <v>0.75</v>
      </c>
      <c r="J48" s="272">
        <f>$C$3*($C$4*$E$4*B47*$B$7)*$G$4+$C$3*($C$4*$E$5*D48*$D$7)*$G$4+$C$3*($C$4*$E$4*C48*$C$7)*$G$5+$C$3*($C$4*$E$5*E48*$E$7)*$G$5+$C$3*($C$5*$E$4*F48*$F$7)*$H$4+$C$3*($C$5*$E$5*H48*$H$7)*$H$4+$C$3*($C$5*$E$5*I48*$I$7)*$H$5+$C$3*($C$5*$E$4*G48*$G$7)*$H$5</f>
        <v>2142981.874867497</v>
      </c>
      <c r="K48" s="277">
        <f>ROUND(($C$4*$E$4*B48*$B$7+$C$4*$E$4*C48*$C$7+$C$4*$E$5*D48*$D$7+$C$4*$E$5*E48*$E$7+($C$5*$E$4*F48*$F$7+$C$5*$E$4*G48*$G$7+$C$5*$E$5*H48*$H$7+$C$5*$E$5*I48*$I$7)),2)</f>
        <v>0.38</v>
      </c>
      <c r="L48" s="276">
        <f>Scenario[[#This Row],[Total Cost]]/(Scenario[[#This Row],[Total Coverage]]*100)</f>
        <v>56394.259864934131</v>
      </c>
      <c r="M48" s="295" cm="1">
        <f t="array" ref="M48">IF(AND(K48=MAX(K$10:K48), L48=MIN(IF(K$10:K48=K48, L$10:L48))), 1, 0)</f>
        <v>0</v>
      </c>
      <c r="N48" s="295">
        <f>IF(AND(Scenario[[#This Row],[Total Coverage]]&gt;=70%,Scenario[[#This Row],[Frontier]]=1),1,0)</f>
        <v>0</v>
      </c>
    </row>
    <row r="49" spans="1:14" x14ac:dyDescent="0.25">
      <c r="A49">
        <v>153</v>
      </c>
      <c r="B49">
        <v>0.75</v>
      </c>
      <c r="C49">
        <v>0.25</v>
      </c>
      <c r="D49">
        <v>0.75</v>
      </c>
      <c r="E49">
        <v>0.25</v>
      </c>
      <c r="F49">
        <v>1</v>
      </c>
      <c r="G49">
        <v>0</v>
      </c>
      <c r="H49">
        <v>0.5</v>
      </c>
      <c r="I49">
        <v>0.5</v>
      </c>
      <c r="J49" s="272">
        <f>$C$3*($C$4*$E$4*B48*$B$7)*$G$4+$C$3*($C$4*$E$5*D49*$D$7)*$G$4+$C$3*($C$4*$E$4*C49*$C$7)*$G$5+$C$3*($C$4*$E$5*E49*$E$7)*$G$5+$C$3*($C$5*$E$4*F49*$F$7)*$H$4+$C$3*($C$5*$E$5*H49*$H$7)*$H$4+$C$3*($C$5*$E$5*I49*$I$7)*$H$5+$C$3*($C$5*$E$4*G49*$G$7)*$H$5</f>
        <v>2440327.018222902</v>
      </c>
      <c r="K49" s="277">
        <f>ROUND(($C$4*$E$4*B49*$B$7+$C$4*$E$4*C49*$C$7+$C$4*$E$5*D49*$D$7+$C$4*$E$5*E49*$E$7+($C$5*$E$4*F49*$F$7+$C$5*$E$4*G49*$G$7+$C$5*$E$5*H49*$H$7+$C$5*$E$5*I49*$I$7)),2)</f>
        <v>0.38</v>
      </c>
      <c r="L49" s="276">
        <f>Scenario[[#This Row],[Total Cost]]/(Scenario[[#This Row],[Total Coverage]]*100)</f>
        <v>64219.132058497424</v>
      </c>
      <c r="M49" s="295" cm="1">
        <f t="array" ref="M49">IF(AND(K49=MAX(K$10:K49), L49=MIN(IF(K$10:K49=K49, L$10:L49))), 1, 0)</f>
        <v>0</v>
      </c>
      <c r="N49" s="295">
        <f>IF(AND(Scenario[[#This Row],[Total Coverage]]&gt;=70%,Scenario[[#This Row],[Frontier]]=1),1,0)</f>
        <v>0</v>
      </c>
    </row>
    <row r="50" spans="1:14" x14ac:dyDescent="0.25">
      <c r="A50">
        <v>302</v>
      </c>
      <c r="B50">
        <v>0.5</v>
      </c>
      <c r="C50">
        <v>0.5</v>
      </c>
      <c r="D50">
        <v>0.5</v>
      </c>
      <c r="E50">
        <v>0.5</v>
      </c>
      <c r="F50">
        <v>1</v>
      </c>
      <c r="G50">
        <v>0</v>
      </c>
      <c r="H50">
        <v>0.75</v>
      </c>
      <c r="I50">
        <v>0.25</v>
      </c>
      <c r="J50" s="272">
        <f>$C$3*($C$4*$E$4*B49*$B$7)*$G$4+$C$3*($C$4*$E$5*D50*$D$7)*$G$4+$C$3*($C$4*$E$4*C50*$C$7)*$G$5+$C$3*($C$4*$E$5*E50*$E$7)*$G$5+$C$3*($C$5*$E$4*F50*$F$7)*$H$4+$C$3*($C$5*$E$5*H50*$H$7)*$H$4+$C$3*($C$5*$E$5*I50*$I$7)*$H$5+$C$3*($C$5*$E$4*G50*$G$7)*$H$5</f>
        <v>2631262.532680057</v>
      </c>
      <c r="K50" s="277">
        <f>ROUND(($C$4*$E$4*B50*$B$7+$C$4*$E$4*C50*$C$7+$C$4*$E$5*D50*$D$7+$C$4*$E$5*E50*$E$7+($C$5*$E$4*F50*$F$7+$C$5*$E$4*G50*$G$7+$C$5*$E$5*H50*$H$7+$C$5*$E$5*I50*$I$7)),2)</f>
        <v>0.38</v>
      </c>
      <c r="L50" s="276">
        <f>Scenario[[#This Row],[Total Cost]]/(Scenario[[#This Row],[Total Coverage]]*100)</f>
        <v>69243.750860001499</v>
      </c>
      <c r="M50" s="295" cm="1">
        <f t="array" ref="M50">IF(AND(K50=MAX(K$10:K50), L50=MIN(IF(K$10:K50=K50, L$10:L50))), 1, 0)</f>
        <v>0</v>
      </c>
      <c r="N50" s="295">
        <f>IF(AND(Scenario[[#This Row],[Total Coverage]]&gt;=70%,Scenario[[#This Row],[Frontier]]=1),1,0)</f>
        <v>0</v>
      </c>
    </row>
    <row r="51" spans="1:14" x14ac:dyDescent="0.25">
      <c r="A51">
        <v>377</v>
      </c>
      <c r="B51">
        <v>0.25</v>
      </c>
      <c r="C51">
        <v>0.75</v>
      </c>
      <c r="D51">
        <v>1</v>
      </c>
      <c r="E51">
        <v>0</v>
      </c>
      <c r="F51">
        <v>1</v>
      </c>
      <c r="G51">
        <v>0</v>
      </c>
      <c r="H51">
        <v>0.75</v>
      </c>
      <c r="I51">
        <v>0.25</v>
      </c>
      <c r="J51" s="272">
        <f>$C$3*($C$4*$E$4*B50*$B$7)*$G$4+$C$3*($C$4*$E$5*D51*$D$7)*$G$4+$C$3*($C$4*$E$4*C51*$C$7)*$G$5+$C$3*($C$4*$E$5*E51*$E$7)*$G$5+$C$3*($C$5*$E$4*F51*$F$7)*$H$4+$C$3*($C$5*$E$5*H51*$H$7)*$H$4+$C$3*($C$5*$E$5*I51*$I$7)*$H$5+$C$3*($C$5*$E$4*G51*$G$7)*$H$5</f>
        <v>2649321.9682996469</v>
      </c>
      <c r="K51" s="277">
        <f>ROUND(($C$4*$E$4*B51*$B$7+$C$4*$E$4*C51*$C$7+$C$4*$E$5*D51*$D$7+$C$4*$E$5*E51*$E$7+($C$5*$E$4*F51*$F$7+$C$5*$E$4*G51*$G$7+$C$5*$E$5*H51*$H$7+$C$5*$E$5*I51*$I$7)),2)</f>
        <v>0.38</v>
      </c>
      <c r="L51" s="276">
        <f>Scenario[[#This Row],[Total Cost]]/(Scenario[[#This Row],[Total Coverage]]*100)</f>
        <v>69718.999165780187</v>
      </c>
      <c r="M51" s="295" cm="1">
        <f t="array" ref="M51">IF(AND(K51=MAX(K$10:K51), L51=MIN(IF(K$10:K51=K51, L$10:L51))), 1, 0)</f>
        <v>0</v>
      </c>
      <c r="N51" s="295">
        <f>IF(AND(Scenario[[#This Row],[Total Coverage]]&gt;=70%,Scenario[[#This Row],[Frontier]]=1),1,0)</f>
        <v>0</v>
      </c>
    </row>
    <row r="52" spans="1:14" x14ac:dyDescent="0.25">
      <c r="A52">
        <v>451</v>
      </c>
      <c r="B52">
        <v>0.25</v>
      </c>
      <c r="C52">
        <v>0.75</v>
      </c>
      <c r="D52">
        <v>0.25</v>
      </c>
      <c r="E52">
        <v>0.75</v>
      </c>
      <c r="F52">
        <v>1</v>
      </c>
      <c r="G52">
        <v>0</v>
      </c>
      <c r="H52">
        <v>1</v>
      </c>
      <c r="I52">
        <v>0</v>
      </c>
      <c r="J52" s="272">
        <f>$C$3*($C$4*$E$4*B51*$B$7)*$G$4+$C$3*($C$4*$E$5*D52*$D$7)*$G$4+$C$3*($C$4*$E$4*C52*$C$7)*$G$5+$C$3*($C$4*$E$5*E52*$E$7)*$G$5+$C$3*($C$5*$E$4*F52*$F$7)*$H$4+$C$3*($C$5*$E$5*H52*$H$7)*$H$4+$C$3*($C$5*$E$5*I52*$I$7)*$H$5+$C$3*($C$5*$E$4*G52*$G$7)*$H$5</f>
        <v>2715788.418238963</v>
      </c>
      <c r="K52" s="277">
        <f>ROUND(($C$4*$E$4*B52*$B$7+$C$4*$E$4*C52*$C$7+$C$4*$E$5*D52*$D$7+$C$4*$E$5*E52*$E$7+($C$5*$E$4*F52*$F$7+$C$5*$E$4*G52*$G$7+$C$5*$E$5*H52*$H$7+$C$5*$E$5*I52*$I$7)),2)</f>
        <v>0.38</v>
      </c>
      <c r="L52" s="276">
        <f>Scenario[[#This Row],[Total Cost]]/(Scenario[[#This Row],[Total Coverage]]*100)</f>
        <v>71468.1162694464</v>
      </c>
      <c r="M52" s="295" cm="1">
        <f t="array" ref="M52">IF(AND(K52=MAX(K$10:K52), L52=MIN(IF(K$10:K52=K52, L$10:L52))), 1, 0)</f>
        <v>0</v>
      </c>
      <c r="N52" s="295">
        <f>IF(AND(Scenario[[#This Row],[Total Coverage]]&gt;=70%,Scenario[[#This Row],[Frontier]]=1),1,0)</f>
        <v>0</v>
      </c>
    </row>
    <row r="53" spans="1:14" x14ac:dyDescent="0.25">
      <c r="A53">
        <v>526</v>
      </c>
      <c r="B53">
        <v>0</v>
      </c>
      <c r="C53">
        <v>1</v>
      </c>
      <c r="D53">
        <v>0.75</v>
      </c>
      <c r="E53">
        <v>0.25</v>
      </c>
      <c r="F53">
        <v>1</v>
      </c>
      <c r="G53">
        <v>0</v>
      </c>
      <c r="H53">
        <v>1</v>
      </c>
      <c r="I53">
        <v>0</v>
      </c>
      <c r="J53" s="272">
        <f>$C$3*($C$4*$E$4*B52*$B$7)*$G$4+$C$3*($C$4*$E$5*D53*$D$7)*$G$4+$C$3*($C$4*$E$4*C53*$C$7)*$G$5+$C$3*($C$4*$E$5*E53*$E$7)*$G$5+$C$3*($C$5*$E$4*F53*$F$7)*$H$4+$C$3*($C$5*$E$5*H53*$H$7)*$H$4+$C$3*($C$5*$E$5*I53*$I$7)*$H$5+$C$3*($C$5*$E$4*G53*$G$7)*$H$5</f>
        <v>2840257.4827568019</v>
      </c>
      <c r="K53" s="277">
        <f>ROUND(($C$4*$E$4*B53*$B$7+$C$4*$E$4*C53*$C$7+$C$4*$E$5*D53*$D$7+$C$4*$E$5*E53*$E$7+($C$5*$E$4*F53*$F$7+$C$5*$E$4*G53*$G$7+$C$5*$E$5*H53*$H$7+$C$5*$E$5*I53*$I$7)),2)</f>
        <v>0.38</v>
      </c>
      <c r="L53" s="276">
        <f>Scenario[[#This Row],[Total Cost]]/(Scenario[[#This Row],[Total Coverage]]*100)</f>
        <v>74743.617967284255</v>
      </c>
      <c r="M53" s="295" cm="1">
        <f t="array" ref="M53">IF(AND(K53=MAX(K$10:K53), L53=MIN(IF(K$10:K53=K53, L$10:L53))), 1, 0)</f>
        <v>0</v>
      </c>
      <c r="N53" s="295">
        <f>IF(AND(Scenario[[#This Row],[Total Coverage]]&gt;=70%,Scenario[[#This Row],[Frontier]]=1),1,0)</f>
        <v>0</v>
      </c>
    </row>
    <row r="54" spans="1:14" x14ac:dyDescent="0.25">
      <c r="A54">
        <v>81</v>
      </c>
      <c r="B54">
        <v>1</v>
      </c>
      <c r="C54">
        <v>0</v>
      </c>
      <c r="D54">
        <v>0.25</v>
      </c>
      <c r="E54">
        <v>0.75</v>
      </c>
      <c r="F54">
        <v>0.75</v>
      </c>
      <c r="G54">
        <v>0.25</v>
      </c>
      <c r="H54">
        <v>1</v>
      </c>
      <c r="I54">
        <v>0</v>
      </c>
      <c r="J54" s="272">
        <f>$C$3*($C$4*$E$4*B53*$B$7)*$G$4+$C$3*($C$4*$E$5*D54*$D$7)*$G$4+$C$3*($C$4*$E$4*C54*$C$7)*$G$5+$C$3*($C$4*$E$5*E54*$E$7)*$G$5+$C$3*($C$5*$E$4*F54*$F$7)*$H$4+$C$3*($C$5*$E$5*H54*$H$7)*$H$4+$C$3*($C$5*$E$5*I54*$I$7)*$H$5+$C$3*($C$5*$E$4*G54*$G$7)*$H$5</f>
        <v>1964962.9103171469</v>
      </c>
      <c r="K54" s="277">
        <f>ROUND(($C$4*$E$4*B54*$B$7+$C$4*$E$4*C54*$C$7+$C$4*$E$5*D54*$D$7+$C$4*$E$5*E54*$E$7+($C$5*$E$4*F54*$F$7+$C$5*$E$4*G54*$G$7+$C$5*$E$5*H54*$H$7+$C$5*$E$5*I54*$I$7)),2)</f>
        <v>0.39</v>
      </c>
      <c r="L54" s="276">
        <f>Scenario[[#This Row],[Total Cost]]/(Scenario[[#This Row],[Total Coverage]]*100)</f>
        <v>50383.664367106328</v>
      </c>
      <c r="M54" s="295" cm="1">
        <f t="array" ref="M54">IF(AND(K54=MAX(K$10:K54), L54=MIN(IF(K$10:K54=K54, L$10:L54))), 1, 0)</f>
        <v>1</v>
      </c>
      <c r="N54" s="295">
        <f>IF(AND(Scenario[[#This Row],[Total Coverage]]&gt;=70%,Scenario[[#This Row],[Frontier]]=1),1,0)</f>
        <v>0</v>
      </c>
    </row>
    <row r="55" spans="1:14" x14ac:dyDescent="0.25">
      <c r="A55">
        <v>78</v>
      </c>
      <c r="B55">
        <v>1</v>
      </c>
      <c r="C55">
        <v>0</v>
      </c>
      <c r="D55">
        <v>0.25</v>
      </c>
      <c r="E55">
        <v>0.75</v>
      </c>
      <c r="F55">
        <v>1</v>
      </c>
      <c r="G55">
        <v>0</v>
      </c>
      <c r="H55">
        <v>0.5</v>
      </c>
      <c r="I55">
        <v>0.5</v>
      </c>
      <c r="J55" s="272">
        <f>$C$3*($C$4*$E$4*B54*$B$7)*$G$4+$C$3*($C$4*$E$5*D55*$D$7)*$G$4+$C$3*($C$4*$E$4*C55*$C$7)*$G$5+$C$3*($C$4*$E$5*E55*$E$7)*$G$5+$C$3*($C$5*$E$4*F55*$F$7)*$H$4+$C$3*($C$5*$E$5*H55*$H$7)*$H$4+$C$3*($C$5*$E$5*I55*$I$7)*$H$5+$C$3*($C$5*$E$4*G55*$G$7)*$H$5</f>
        <v>2315857.9537050626</v>
      </c>
      <c r="K55" s="277">
        <f>ROUND(($C$4*$E$4*B55*$B$7+$C$4*$E$4*C55*$C$7+$C$4*$E$5*D55*$D$7+$C$4*$E$5*E55*$E$7+($C$5*$E$4*F55*$F$7+$C$5*$E$4*G55*$G$7+$C$5*$E$5*H55*$H$7+$C$5*$E$5*I55*$I$7)),2)</f>
        <v>0.39</v>
      </c>
      <c r="L55" s="276">
        <f>Scenario[[#This Row],[Total Cost]]/(Scenario[[#This Row],[Total Coverage]]*100)</f>
        <v>59380.973171924685</v>
      </c>
      <c r="M55" s="295" cm="1">
        <f t="array" ref="M55">IF(AND(K55=MAX(K$10:K55), L55=MIN(IF(K$10:K55=K55, L$10:L55))), 1, 0)</f>
        <v>0</v>
      </c>
      <c r="N55" s="295">
        <f>IF(AND(Scenario[[#This Row],[Total Coverage]]&gt;=70%,Scenario[[#This Row],[Frontier]]=1),1,0)</f>
        <v>0</v>
      </c>
    </row>
    <row r="56" spans="1:14" x14ac:dyDescent="0.25">
      <c r="A56">
        <v>7</v>
      </c>
      <c r="B56">
        <v>1</v>
      </c>
      <c r="C56">
        <v>0</v>
      </c>
      <c r="D56">
        <v>1</v>
      </c>
      <c r="E56">
        <v>0</v>
      </c>
      <c r="F56">
        <v>0.75</v>
      </c>
      <c r="G56">
        <v>0.25</v>
      </c>
      <c r="H56">
        <v>0.75</v>
      </c>
      <c r="I56">
        <v>0.25</v>
      </c>
      <c r="J56" s="272">
        <f>$C$3*($C$4*$E$4*B55*$B$7)*$G$4+$C$3*($C$4*$E$5*D56*$D$7)*$G$4+$C$3*($C$4*$E$4*C56*$C$7)*$G$5+$C$3*($C$4*$E$5*E56*$E$7)*$G$5+$C$3*($C$5*$E$4*F56*$F$7)*$H$4+$C$3*($C$5*$E$5*H56*$H$7)*$H$4+$C$3*($C$5*$E$5*I56*$I$7)*$H$5+$C$3*($C$5*$E$4*G56*$G$7)*$H$5</f>
        <v>2217725.3470725794</v>
      </c>
      <c r="K56" s="277">
        <f>ROUND(($C$4*$E$4*B56*$B$7+$C$4*$E$4*C56*$C$7+$C$4*$E$5*D56*$D$7+$C$4*$E$5*E56*$E$7+($C$5*$E$4*F56*$F$7+$C$5*$E$4*G56*$G$7+$C$5*$E$5*H56*$H$7+$C$5*$E$5*I56*$I$7)),2)</f>
        <v>0.39</v>
      </c>
      <c r="L56" s="276">
        <f>Scenario[[#This Row],[Total Cost]]/(Scenario[[#This Row],[Total Coverage]]*100)</f>
        <v>56864.752489040497</v>
      </c>
      <c r="M56" s="295" cm="1">
        <f t="array" ref="M56">IF(AND(K56=MAX(K$10:K56), L56=MIN(IF(K$10:K56=K56, L$10:L56))), 1, 0)</f>
        <v>0</v>
      </c>
      <c r="N56" s="295">
        <f>IF(AND(Scenario[[#This Row],[Total Coverage]]&gt;=70%,Scenario[[#This Row],[Frontier]]=1),1,0)</f>
        <v>0</v>
      </c>
    </row>
    <row r="57" spans="1:14" x14ac:dyDescent="0.25">
      <c r="A57">
        <v>156</v>
      </c>
      <c r="B57">
        <v>0.75</v>
      </c>
      <c r="C57">
        <v>0.25</v>
      </c>
      <c r="D57">
        <v>0.75</v>
      </c>
      <c r="E57">
        <v>0.25</v>
      </c>
      <c r="F57">
        <v>0.75</v>
      </c>
      <c r="G57">
        <v>0.25</v>
      </c>
      <c r="H57">
        <v>1</v>
      </c>
      <c r="I57">
        <v>0</v>
      </c>
      <c r="J57" s="272">
        <f>$C$3*($C$4*$E$4*B56*$B$7)*$G$4+$C$3*($C$4*$E$5*D57*$D$7)*$G$4+$C$3*($C$4*$E$4*C57*$C$7)*$G$5+$C$3*($C$4*$E$5*E57*$E$7)*$G$5+$C$3*($C$5*$E$4*F57*$F$7)*$H$4+$C$3*($C$5*$E$5*H57*$H$7)*$H$4+$C$3*($C$5*$E$5*I57*$I$7)*$H$5+$C$3*($C$5*$E$4*G57*$G$7)*$H$5</f>
        <v>2515070.4904279844</v>
      </c>
      <c r="K57" s="277">
        <f>ROUND(($C$4*$E$4*B57*$B$7+$C$4*$E$4*C57*$C$7+$C$4*$E$5*D57*$D$7+$C$4*$E$5*E57*$E$7+($C$5*$E$4*F57*$F$7+$C$5*$E$4*G57*$G$7+$C$5*$E$5*H57*$H$7+$C$5*$E$5*I57*$I$7)),2)</f>
        <v>0.39</v>
      </c>
      <c r="L57" s="276">
        <f>Scenario[[#This Row],[Total Cost]]/(Scenario[[#This Row],[Total Coverage]]*100)</f>
        <v>64488.986934050881</v>
      </c>
      <c r="M57" s="295" cm="1">
        <f t="array" ref="M57">IF(AND(K57=MAX(K$10:K57), L57=MIN(IF(K$10:K57=K57, L$10:L57))), 1, 0)</f>
        <v>0</v>
      </c>
      <c r="N57" s="295">
        <f>IF(AND(Scenario[[#This Row],[Total Coverage]]&gt;=70%,Scenario[[#This Row],[Frontier]]=1),1,0)</f>
        <v>0</v>
      </c>
    </row>
    <row r="58" spans="1:14" x14ac:dyDescent="0.25">
      <c r="A58">
        <v>253</v>
      </c>
      <c r="B58">
        <v>0.5</v>
      </c>
      <c r="C58">
        <v>0.5</v>
      </c>
      <c r="D58">
        <v>1</v>
      </c>
      <c r="E58">
        <v>0</v>
      </c>
      <c r="F58">
        <v>1</v>
      </c>
      <c r="G58">
        <v>0</v>
      </c>
      <c r="H58">
        <v>0.5</v>
      </c>
      <c r="I58">
        <v>0.5</v>
      </c>
      <c r="J58" s="272">
        <f>$C$3*($C$4*$E$4*B57*$B$7)*$G$4+$C$3*($C$4*$E$5*D58*$D$7)*$G$4+$C$3*($C$4*$E$4*C58*$C$7)*$G$5+$C$3*($C$4*$E$5*E58*$E$7)*$G$5+$C$3*($C$5*$E$4*F58*$F$7)*$H$4+$C$3*($C$5*$E$5*H58*$H$7)*$H$4+$C$3*($C$5*$E$5*I58*$I$7)*$H$5+$C$3*($C$5*$E$4*G58*$G$7)*$H$5</f>
        <v>2642662.7735334001</v>
      </c>
      <c r="K58" s="277">
        <f>ROUND(($C$4*$E$4*B58*$B$7+$C$4*$E$4*C58*$C$7+$C$4*$E$5*D58*$D$7+$C$4*$E$5*E58*$E$7+($C$5*$E$4*F58*$F$7+$C$5*$E$4*G58*$G$7+$C$5*$E$5*H58*$H$7+$C$5*$E$5*I58*$I$7)),2)</f>
        <v>0.39</v>
      </c>
      <c r="L58" s="276">
        <f>Scenario[[#This Row],[Total Cost]]/(Scenario[[#This Row],[Total Coverage]]*100)</f>
        <v>67760.583936753843</v>
      </c>
      <c r="M58" s="295" cm="1">
        <f t="array" ref="M58">IF(AND(K58=MAX(K$10:K58), L58=MIN(IF(K$10:K58=K58, L$10:L58))), 1, 0)</f>
        <v>0</v>
      </c>
      <c r="N58" s="295">
        <f>IF(AND(Scenario[[#This Row],[Total Coverage]]&gt;=70%,Scenario[[#This Row],[Frontier]]=1),1,0)</f>
        <v>0</v>
      </c>
    </row>
    <row r="59" spans="1:14" x14ac:dyDescent="0.25">
      <c r="A59">
        <v>227</v>
      </c>
      <c r="B59">
        <v>0.75</v>
      </c>
      <c r="C59">
        <v>0.25</v>
      </c>
      <c r="D59">
        <v>0</v>
      </c>
      <c r="E59">
        <v>1</v>
      </c>
      <c r="F59">
        <v>1</v>
      </c>
      <c r="G59">
        <v>0</v>
      </c>
      <c r="H59">
        <v>0.75</v>
      </c>
      <c r="I59">
        <v>0.25</v>
      </c>
      <c r="J59" s="272">
        <f>$C$3*($C$4*$E$4*B58*$B$7)*$G$4+$C$3*($C$4*$E$5*D59*$D$7)*$G$4+$C$3*($C$4*$E$4*C59*$C$7)*$G$5+$C$3*($C$4*$E$5*E59*$E$7)*$G$5+$C$3*($C$5*$E$4*F59*$F$7)*$H$4+$C$3*($C$5*$E$5*H59*$H$7)*$H$4+$C$3*($C$5*$E$5*I59*$I$7)*$H$5+$C$3*($C$5*$E$4*G59*$G$7)*$H$5</f>
        <v>2400383.8392639682</v>
      </c>
      <c r="K59" s="277">
        <f>ROUND(($C$4*$E$4*B59*$B$7+$C$4*$E$4*C59*$C$7+$C$4*$E$5*D59*$D$7+$C$4*$E$5*E59*$E$7+($C$5*$E$4*F59*$F$7+$C$5*$E$4*G59*$G$7+$C$5*$E$5*H59*$H$7+$C$5*$E$5*I59*$I$7)),2)</f>
        <v>0.39</v>
      </c>
      <c r="L59" s="276">
        <f>Scenario[[#This Row],[Total Cost]]/(Scenario[[#This Row],[Total Coverage]]*100)</f>
        <v>61548.303570870979</v>
      </c>
      <c r="M59" s="295" cm="1">
        <f t="array" ref="M59">IF(AND(K59=MAX(K$10:K59), L59=MIN(IF(K$10:K59=K59, L$10:L59))), 1, 0)</f>
        <v>0</v>
      </c>
      <c r="N59" s="295">
        <f>IF(AND(Scenario[[#This Row],[Total Coverage]]&gt;=70%,Scenario[[#This Row],[Frontier]]=1),1,0)</f>
        <v>0</v>
      </c>
    </row>
    <row r="60" spans="1:14" x14ac:dyDescent="0.25">
      <c r="A60">
        <v>402</v>
      </c>
      <c r="B60">
        <v>0.25</v>
      </c>
      <c r="C60">
        <v>0.75</v>
      </c>
      <c r="D60">
        <v>0.75</v>
      </c>
      <c r="E60">
        <v>0.25</v>
      </c>
      <c r="F60">
        <v>1</v>
      </c>
      <c r="G60">
        <v>0</v>
      </c>
      <c r="H60">
        <v>0.75</v>
      </c>
      <c r="I60">
        <v>0.25</v>
      </c>
      <c r="J60" s="272">
        <f>$C$3*($C$4*$E$4*B59*$B$7)*$G$4+$C$3*($C$4*$E$5*D60*$D$7)*$G$4+$C$3*($C$4*$E$4*C60*$C$7)*$G$5+$C$3*($C$4*$E$5*E60*$E$7)*$G$5+$C$3*($C$5*$E$4*F60*$F$7)*$H$4+$C$3*($C$5*$E$5*H60*$H$7)*$H$4+$C$3*($C$5*$E$5*I60*$I$7)*$H$5+$C$3*($C$5*$E$4*G60*$G$7)*$H$5</f>
        <v>2940007.9168888051</v>
      </c>
      <c r="K60" s="277">
        <f>ROUND(($C$4*$E$4*B60*$B$7+$C$4*$E$4*C60*$C$7+$C$4*$E$5*D60*$D$7+$C$4*$E$5*E60*$E$7+($C$5*$E$4*F60*$F$7+$C$5*$E$4*G60*$G$7+$C$5*$E$5*H60*$H$7+$C$5*$E$5*I60*$I$7)),2)</f>
        <v>0.39</v>
      </c>
      <c r="L60" s="276">
        <f>Scenario[[#This Row],[Total Cost]]/(Scenario[[#This Row],[Total Coverage]]*100)</f>
        <v>75384.818381764228</v>
      </c>
      <c r="M60" s="295" cm="1">
        <f t="array" ref="M60">IF(AND(K60=MAX(K$10:K60), L60=MIN(IF(K$10:K60=K60, L$10:L60))), 1, 0)</f>
        <v>0</v>
      </c>
      <c r="N60" s="295">
        <f>IF(AND(Scenario[[#This Row],[Total Coverage]]&gt;=70%,Scenario[[#This Row],[Frontier]]=1),1,0)</f>
        <v>0</v>
      </c>
    </row>
    <row r="61" spans="1:14" x14ac:dyDescent="0.25">
      <c r="A61">
        <v>551</v>
      </c>
      <c r="B61">
        <v>0</v>
      </c>
      <c r="C61">
        <v>1</v>
      </c>
      <c r="D61">
        <v>0.5</v>
      </c>
      <c r="E61">
        <v>0.5</v>
      </c>
      <c r="F61">
        <v>1</v>
      </c>
      <c r="G61">
        <v>0</v>
      </c>
      <c r="H61">
        <v>1</v>
      </c>
      <c r="I61">
        <v>0</v>
      </c>
      <c r="J61" s="272">
        <f>$C$3*($C$4*$E$4*B60*$B$7)*$G$4+$C$3*($C$4*$E$5*D61*$D$7)*$G$4+$C$3*($C$4*$E$4*C61*$C$7)*$G$5+$C$3*($C$4*$E$5*E61*$E$7)*$G$5+$C$3*($C$5*$E$4*F61*$F$7)*$H$4+$C$3*($C$5*$E$5*H61*$H$7)*$H$4+$C$3*($C$5*$E$5*I61*$I$7)*$H$5+$C$3*($C$5*$E$4*G61*$G$7)*$H$5</f>
        <v>3024533.8024477102</v>
      </c>
      <c r="K61" s="277">
        <f>ROUND(($C$4*$E$4*B61*$B$7+$C$4*$E$4*C61*$C$7+$C$4*$E$5*D61*$D$7+$C$4*$E$5*E61*$E$7+($C$5*$E$4*F61*$F$7+$C$5*$E$4*G61*$G$7+$C$5*$E$5*H61*$H$7+$C$5*$E$5*I61*$I$7)),2)</f>
        <v>0.39</v>
      </c>
      <c r="L61" s="276">
        <f>Scenario[[#This Row],[Total Cost]]/(Scenario[[#This Row],[Total Coverage]]*100)</f>
        <v>77552.148780710515</v>
      </c>
      <c r="M61" s="295" cm="1">
        <f t="array" ref="M61">IF(AND(K61=MAX(K$10:K61), L61=MIN(IF(K$10:K61=K61, L$10:L61))), 1, 0)</f>
        <v>0</v>
      </c>
      <c r="N61" s="295">
        <f>IF(AND(Scenario[[#This Row],[Total Coverage]]&gt;=70%,Scenario[[#This Row],[Frontier]]=1),1,0)</f>
        <v>0</v>
      </c>
    </row>
    <row r="62" spans="1:14" x14ac:dyDescent="0.25">
      <c r="A62">
        <v>29</v>
      </c>
      <c r="B62">
        <v>1</v>
      </c>
      <c r="C62">
        <v>0</v>
      </c>
      <c r="D62">
        <v>0.75</v>
      </c>
      <c r="E62">
        <v>0.25</v>
      </c>
      <c r="F62">
        <v>1</v>
      </c>
      <c r="G62">
        <v>0</v>
      </c>
      <c r="H62">
        <v>0.25</v>
      </c>
      <c r="I62">
        <v>0.75</v>
      </c>
      <c r="J62" s="272">
        <f>$C$3*($C$4*$E$4*B61*$B$7)*$G$4+$C$3*($C$4*$E$5*D62*$D$7)*$G$4+$C$3*($C$4*$E$4*C62*$C$7)*$G$5+$C$3*($C$4*$E$5*E62*$E$7)*$G$5+$C$3*($C$5*$E$4*F62*$F$7)*$H$4+$C$3*($C$5*$E$5*H62*$H$7)*$H$4+$C$3*($C$5*$E$5*I62*$I$7)*$H$5+$C$3*($C$5*$E$4*G62*$G$7)*$H$5</f>
        <v>1901619.6789654074</v>
      </c>
      <c r="K62" s="277">
        <f>ROUND(($C$4*$E$4*B62*$B$7+$C$4*$E$4*C62*$C$7+$C$4*$E$5*D62*$D$7+$C$4*$E$5*E62*$E$7+($C$5*$E$4*F62*$F$7+$C$5*$E$4*G62*$G$7+$C$5*$E$5*H62*$H$7+$C$5*$E$5*I62*$I$7)),2)</f>
        <v>0.4</v>
      </c>
      <c r="L62" s="276">
        <f>Scenario[[#This Row],[Total Cost]]/(Scenario[[#This Row],[Total Coverage]]*100)</f>
        <v>47540.491974135184</v>
      </c>
      <c r="M62" s="295" cm="1">
        <f t="array" ref="M62">IF(AND(K62=MAX(K$10:K62), L62=MIN(IF(K$10:K62=K62, L$10:L62))), 1, 0)</f>
        <v>1</v>
      </c>
      <c r="N62" s="295">
        <f>IF(AND(Scenario[[#This Row],[Total Coverage]]&gt;=70%,Scenario[[#This Row],[Frontier]]=1),1,0)</f>
        <v>0</v>
      </c>
    </row>
    <row r="63" spans="1:14" x14ac:dyDescent="0.25">
      <c r="A63">
        <v>181</v>
      </c>
      <c r="B63">
        <v>0.75</v>
      </c>
      <c r="C63">
        <v>0.25</v>
      </c>
      <c r="D63">
        <v>0.5</v>
      </c>
      <c r="E63">
        <v>0.5</v>
      </c>
      <c r="F63">
        <v>0.75</v>
      </c>
      <c r="G63">
        <v>0.25</v>
      </c>
      <c r="H63">
        <v>1</v>
      </c>
      <c r="I63">
        <v>0</v>
      </c>
      <c r="J63" s="272">
        <f>$C$3*($C$4*$E$4*B62*$B$7)*$G$4+$C$3*($C$4*$E$5*D63*$D$7)*$G$4+$C$3*($C$4*$E$4*C63*$C$7)*$G$5+$C$3*($C$4*$E$5*E63*$E$7)*$G$5+$C$3*($C$5*$E$4*F63*$F$7)*$H$4+$C$3*($C$5*$E$5*H63*$H$7)*$H$4+$C$3*($C$5*$E$5*I63*$I$7)*$H$5+$C$3*($C$5*$E$4*G63*$G$7)*$H$5</f>
        <v>2699346.8101188927</v>
      </c>
      <c r="K63" s="277">
        <f>ROUND(($C$4*$E$4*B63*$B$7+$C$4*$E$4*C63*$C$7+$C$4*$E$5*D63*$D$7+$C$4*$E$5*E63*$E$7+($C$5*$E$4*F63*$F$7+$C$5*$E$4*G63*$G$7+$C$5*$E$5*H63*$H$7+$C$5*$E$5*I63*$I$7)),2)</f>
        <v>0.4</v>
      </c>
      <c r="L63" s="276">
        <f>Scenario[[#This Row],[Total Cost]]/(Scenario[[#This Row],[Total Coverage]]*100)</f>
        <v>67483.670252972312</v>
      </c>
      <c r="M63" s="295" cm="1">
        <f t="array" ref="M63">IF(AND(K63=MAX(K$10:K63), L63=MIN(IF(K$10:K63=K63, L$10:L63))), 1, 0)</f>
        <v>0</v>
      </c>
      <c r="N63" s="295">
        <f>IF(AND(Scenario[[#This Row],[Total Coverage]]&gt;=70%,Scenario[[#This Row],[Frontier]]=1),1,0)</f>
        <v>0</v>
      </c>
    </row>
    <row r="64" spans="1:14" x14ac:dyDescent="0.25">
      <c r="A64">
        <v>103</v>
      </c>
      <c r="B64">
        <v>1</v>
      </c>
      <c r="C64">
        <v>0</v>
      </c>
      <c r="D64">
        <v>0</v>
      </c>
      <c r="E64">
        <v>1</v>
      </c>
      <c r="F64">
        <v>1</v>
      </c>
      <c r="G64">
        <v>0</v>
      </c>
      <c r="H64">
        <v>0.5</v>
      </c>
      <c r="I64">
        <v>0.5</v>
      </c>
      <c r="J64" s="272">
        <f>$C$3*($C$4*$E$4*B63*$B$7)*$G$4+$C$3*($C$4*$E$5*D64*$D$7)*$G$4+$C$3*($C$4*$E$4*C64*$C$7)*$G$5+$C$3*($C$4*$E$5*E64*$E$7)*$G$5+$C$3*($C$5*$E$4*F64*$F$7)*$H$4+$C$3*($C$5*$E$5*H64*$H$7)*$H$4+$C$3*($C$5*$E$5*I64*$I$7)*$H$5+$C$3*($C$5*$E$4*G64*$G$7)*$H$5</f>
        <v>2393724.6444977215</v>
      </c>
      <c r="K64" s="277">
        <f>ROUND(($C$4*$E$4*B64*$B$7+$C$4*$E$4*C64*$C$7+$C$4*$E$5*D64*$D$7+$C$4*$E$5*E64*$E$7+($C$5*$E$4*F64*$F$7+$C$5*$E$4*G64*$G$7+$C$5*$E$5*H64*$H$7+$C$5*$E$5*I64*$I$7)),2)</f>
        <v>0.4</v>
      </c>
      <c r="L64" s="276">
        <f>Scenario[[#This Row],[Total Cost]]/(Scenario[[#This Row],[Total Coverage]]*100)</f>
        <v>59843.116112443036</v>
      </c>
      <c r="M64" s="295" cm="1">
        <f t="array" ref="M64">IF(AND(K64=MAX(K$10:K64), L64=MIN(IF(K$10:K64=K64, L$10:L64))), 1, 0)</f>
        <v>0</v>
      </c>
      <c r="N64" s="295">
        <f>IF(AND(Scenario[[#This Row],[Total Coverage]]&gt;=70%,Scenario[[#This Row],[Frontier]]=1),1,0)</f>
        <v>0</v>
      </c>
    </row>
    <row r="65" spans="1:14" x14ac:dyDescent="0.25">
      <c r="A65">
        <v>32</v>
      </c>
      <c r="B65">
        <v>1</v>
      </c>
      <c r="C65">
        <v>0</v>
      </c>
      <c r="D65">
        <v>0.75</v>
      </c>
      <c r="E65">
        <v>0.25</v>
      </c>
      <c r="F65">
        <v>0.75</v>
      </c>
      <c r="G65">
        <v>0.25</v>
      </c>
      <c r="H65">
        <v>0.75</v>
      </c>
      <c r="I65">
        <v>0.25</v>
      </c>
      <c r="J65" s="272">
        <f>$C$3*($C$4*$E$4*B64*$B$7)*$G$4+$C$3*($C$4*$E$5*D65*$D$7)*$G$4+$C$3*($C$4*$E$4*C65*$C$7)*$G$5+$C$3*($C$4*$E$5*E65*$E$7)*$G$5+$C$3*($C$5*$E$4*F65*$F$7)*$H$4+$C$3*($C$5*$E$5*H65*$H$7)*$H$4+$C$3*($C$5*$E$5*I65*$I$7)*$H$5+$C$3*($C$5*$E$4*G65*$G$7)*$H$5</f>
        <v>2402001.6667634877</v>
      </c>
      <c r="K65" s="277">
        <f>ROUND(($C$4*$E$4*B65*$B$7+$C$4*$E$4*C65*$C$7+$C$4*$E$5*D65*$D$7+$C$4*$E$5*E65*$E$7+($C$5*$E$4*F65*$F$7+$C$5*$E$4*G65*$G$7+$C$5*$E$5*H65*$H$7+$C$5*$E$5*I65*$I$7)),2)</f>
        <v>0.4</v>
      </c>
      <c r="L65" s="276">
        <f>Scenario[[#This Row],[Total Cost]]/(Scenario[[#This Row],[Total Coverage]]*100)</f>
        <v>60050.041669087193</v>
      </c>
      <c r="M65" s="295" cm="1">
        <f t="array" ref="M65">IF(AND(K65=MAX(K$10:K65), L65=MIN(IF(K$10:K65=K65, L$10:L65))), 1, 0)</f>
        <v>0</v>
      </c>
      <c r="N65" s="295">
        <f>IF(AND(Scenario[[#This Row],[Total Coverage]]&gt;=70%,Scenario[[#This Row],[Frontier]]=1),1,0)</f>
        <v>0</v>
      </c>
    </row>
    <row r="66" spans="1:14" x14ac:dyDescent="0.25">
      <c r="A66">
        <v>178</v>
      </c>
      <c r="B66">
        <v>0.75</v>
      </c>
      <c r="C66">
        <v>0.25</v>
      </c>
      <c r="D66">
        <v>0.5</v>
      </c>
      <c r="E66">
        <v>0.5</v>
      </c>
      <c r="F66">
        <v>1</v>
      </c>
      <c r="G66">
        <v>0</v>
      </c>
      <c r="H66">
        <v>0.5</v>
      </c>
      <c r="I66">
        <v>0.5</v>
      </c>
      <c r="J66" s="272">
        <f>$C$3*($C$4*$E$4*B65*$B$7)*$G$4+$C$3*($C$4*$E$5*D66*$D$7)*$G$4+$C$3*($C$4*$E$4*C66*$C$7)*$G$5+$C$3*($C$4*$E$5*E66*$E$7)*$G$5+$C$3*($C$5*$E$4*F66*$F$7)*$H$4+$C$3*($C$5*$E$5*H66*$H$7)*$H$4+$C$3*($C$5*$E$5*I66*$I$7)*$H$5+$C$3*($C$5*$E$4*G66*$G$7)*$H$5</f>
        <v>2624603.3379138103</v>
      </c>
      <c r="K66" s="277">
        <f>ROUND(($C$4*$E$4*B66*$B$7+$C$4*$E$4*C66*$C$7+$C$4*$E$5*D66*$D$7+$C$4*$E$5*E66*$E$7+($C$5*$E$4*F66*$F$7+$C$5*$E$4*G66*$G$7+$C$5*$E$5*H66*$H$7+$C$5*$E$5*I66*$I$7)),2)</f>
        <v>0.4</v>
      </c>
      <c r="L66" s="276">
        <f>Scenario[[#This Row],[Total Cost]]/(Scenario[[#This Row],[Total Coverage]]*100)</f>
        <v>65615.08344784526</v>
      </c>
      <c r="M66" s="295" cm="1">
        <f t="array" ref="M66">IF(AND(K66=MAX(K$10:K66), L66=MIN(IF(K$10:K66=K66, L$10:L66))), 1, 0)</f>
        <v>0</v>
      </c>
      <c r="N66" s="295">
        <f>IF(AND(Scenario[[#This Row],[Total Coverage]]&gt;=70%,Scenario[[#This Row],[Frontier]]=1),1,0)</f>
        <v>0</v>
      </c>
    </row>
    <row r="67" spans="1:14" x14ac:dyDescent="0.25">
      <c r="A67">
        <v>327</v>
      </c>
      <c r="B67">
        <v>0.5</v>
      </c>
      <c r="C67">
        <v>0.5</v>
      </c>
      <c r="D67">
        <v>0.25</v>
      </c>
      <c r="E67">
        <v>0.75</v>
      </c>
      <c r="F67">
        <v>1</v>
      </c>
      <c r="G67">
        <v>0</v>
      </c>
      <c r="H67">
        <v>0.75</v>
      </c>
      <c r="I67">
        <v>0.25</v>
      </c>
      <c r="J67" s="272">
        <f>$C$3*($C$4*$E$4*B66*$B$7)*$G$4+$C$3*($C$4*$E$5*D67*$D$7)*$G$4+$C$3*($C$4*$E$4*C67*$C$7)*$G$5+$C$3*($C$4*$E$5*E67*$E$7)*$G$5+$C$3*($C$5*$E$4*F67*$F$7)*$H$4+$C$3*($C$5*$E$5*H67*$H$7)*$H$4+$C$3*($C$5*$E$5*I67*$I$7)*$H$5+$C$3*($C$5*$E$4*G67*$G$7)*$H$5</f>
        <v>2815538.8523709653</v>
      </c>
      <c r="K67" s="277">
        <f>ROUND(($C$4*$E$4*B67*$B$7+$C$4*$E$4*C67*$C$7+$C$4*$E$5*D67*$D$7+$C$4*$E$5*E67*$E$7+($C$5*$E$4*F67*$F$7+$C$5*$E$4*G67*$G$7+$C$5*$E$5*H67*$H$7+$C$5*$E$5*I67*$I$7)),2)</f>
        <v>0.4</v>
      </c>
      <c r="L67" s="276">
        <f>Scenario[[#This Row],[Total Cost]]/(Scenario[[#This Row],[Total Coverage]]*100)</f>
        <v>70388.471309274129</v>
      </c>
      <c r="M67" s="295" cm="1">
        <f t="array" ref="M67">IF(AND(K67=MAX(K$10:K67), L67=MIN(IF(K$10:K67=K67, L$10:L67))), 1, 0)</f>
        <v>0</v>
      </c>
      <c r="N67" s="295">
        <f>IF(AND(Scenario[[#This Row],[Total Coverage]]&gt;=70%,Scenario[[#This Row],[Frontier]]=1),1,0)</f>
        <v>0</v>
      </c>
    </row>
    <row r="68" spans="1:14" x14ac:dyDescent="0.25">
      <c r="A68">
        <v>256</v>
      </c>
      <c r="B68">
        <v>0.5</v>
      </c>
      <c r="C68">
        <v>0.5</v>
      </c>
      <c r="D68">
        <v>1</v>
      </c>
      <c r="E68">
        <v>0</v>
      </c>
      <c r="F68">
        <v>0.75</v>
      </c>
      <c r="G68">
        <v>0.25</v>
      </c>
      <c r="H68">
        <v>1</v>
      </c>
      <c r="I68">
        <v>0</v>
      </c>
      <c r="J68" s="272">
        <f>$C$3*($C$4*$E$4*B67*$B$7)*$G$4+$C$3*($C$4*$E$5*D68*$D$7)*$G$4+$C$3*($C$4*$E$4*C68*$C$7)*$G$5+$C$3*($C$4*$E$5*E68*$E$7)*$G$5+$C$3*($C$5*$E$4*F68*$F$7)*$H$4+$C$3*($C$5*$E$5*H68*$H$7)*$H$4+$C$3*($C$5*$E$5*I68*$I$7)*$H$5+$C$3*($C$5*$E$4*G68*$G$7)*$H$5</f>
        <v>2610996.6168402331</v>
      </c>
      <c r="K68" s="277">
        <f>ROUND(($C$4*$E$4*B68*$B$7+$C$4*$E$4*C68*$C$7+$C$4*$E$5*D68*$D$7+$C$4*$E$5*E68*$E$7+($C$5*$E$4*F68*$F$7+$C$5*$E$4*G68*$G$7+$C$5*$E$5*H68*$H$7+$C$5*$E$5*I68*$I$7)),2)</f>
        <v>0.4</v>
      </c>
      <c r="L68" s="276">
        <f>Scenario[[#This Row],[Total Cost]]/(Scenario[[#This Row],[Total Coverage]]*100)</f>
        <v>65274.915421005826</v>
      </c>
      <c r="M68" s="295" cm="1">
        <f t="array" ref="M68">IF(AND(K68=MAX(K$10:K68), L68=MIN(IF(K$10:K68=K68, L$10:L68))), 1, 0)</f>
        <v>0</v>
      </c>
      <c r="N68" s="295">
        <f>IF(AND(Scenario[[#This Row],[Total Coverage]]&gt;=70%,Scenario[[#This Row],[Frontier]]=1),1,0)</f>
        <v>0</v>
      </c>
    </row>
    <row r="69" spans="1:14" x14ac:dyDescent="0.25">
      <c r="A69">
        <v>476</v>
      </c>
      <c r="B69">
        <v>0.25</v>
      </c>
      <c r="C69">
        <v>0.75</v>
      </c>
      <c r="D69">
        <v>0</v>
      </c>
      <c r="E69">
        <v>1</v>
      </c>
      <c r="F69">
        <v>1</v>
      </c>
      <c r="G69">
        <v>0</v>
      </c>
      <c r="H69">
        <v>1</v>
      </c>
      <c r="I69">
        <v>0</v>
      </c>
      <c r="J69" s="272">
        <f>$C$3*($C$4*$E$4*B68*$B$7)*$G$4+$C$3*($C$4*$E$5*D69*$D$7)*$G$4+$C$3*($C$4*$E$4*C69*$C$7)*$G$5+$C$3*($C$4*$E$5*E69*$E$7)*$G$5+$C$3*($C$5*$E$4*F69*$F$7)*$H$4+$C$3*($C$5*$E$5*H69*$H$7)*$H$4+$C$3*($C$5*$E$5*I69*$I$7)*$H$5+$C$3*($C$5*$E$4*G69*$G$7)*$H$5</f>
        <v>3006474.3668281203</v>
      </c>
      <c r="K69" s="277">
        <f>ROUND(($C$4*$E$4*B69*$B$7+$C$4*$E$4*C69*$C$7+$C$4*$E$5*D69*$D$7+$C$4*$E$5*E69*$E$7+($C$5*$E$4*F69*$F$7+$C$5*$E$4*G69*$G$7+$C$5*$E$5*H69*$H$7+$C$5*$E$5*I69*$I$7)),2)</f>
        <v>0.4</v>
      </c>
      <c r="L69" s="276">
        <f>Scenario[[#This Row],[Total Cost]]/(Scenario[[#This Row],[Total Coverage]]*100)</f>
        <v>75161.859170703014</v>
      </c>
      <c r="M69" s="295" cm="1">
        <f t="array" ref="M69">IF(AND(K69=MAX(K$10:K69), L69=MIN(IF(K$10:K69=K69, L$10:L69))), 1, 0)</f>
        <v>0</v>
      </c>
      <c r="N69" s="295">
        <f>IF(AND(Scenario[[#This Row],[Total Coverage]]&gt;=70%,Scenario[[#This Row],[Frontier]]=1),1,0)</f>
        <v>0</v>
      </c>
    </row>
    <row r="70" spans="1:14" x14ac:dyDescent="0.25">
      <c r="A70">
        <v>502</v>
      </c>
      <c r="B70">
        <v>0</v>
      </c>
      <c r="C70">
        <v>1</v>
      </c>
      <c r="D70">
        <v>1</v>
      </c>
      <c r="E70">
        <v>0</v>
      </c>
      <c r="F70">
        <v>1</v>
      </c>
      <c r="G70">
        <v>0</v>
      </c>
      <c r="H70">
        <v>0.75</v>
      </c>
      <c r="I70">
        <v>0.25</v>
      </c>
      <c r="J70" s="272">
        <f>$C$3*($C$4*$E$4*B69*$B$7)*$G$4+$C$3*($C$4*$E$5*D70*$D$7)*$G$4+$C$3*($C$4*$E$4*C70*$C$7)*$G$5+$C$3*($C$4*$E$5*E70*$E$7)*$G$5+$C$3*($C$5*$E$4*F70*$F$7)*$H$4+$C$3*($C$5*$E$5*H70*$H$7)*$H$4+$C$3*($C$5*$E$5*I70*$I$7)*$H$5+$C$3*($C$5*$E$4*G70*$G$7)*$H$5</f>
        <v>3035934.0433010533</v>
      </c>
      <c r="K70" s="277">
        <f>ROUND(($C$4*$E$4*B70*$B$7+$C$4*$E$4*C70*$C$7+$C$4*$E$5*D70*$D$7+$C$4*$E$5*E70*$E$7+($C$5*$E$4*F70*$F$7+$C$5*$E$4*G70*$G$7+$C$5*$E$5*H70*$H$7+$C$5*$E$5*I70*$I$7)),2)</f>
        <v>0.4</v>
      </c>
      <c r="L70" s="276">
        <f>Scenario[[#This Row],[Total Cost]]/(Scenario[[#This Row],[Total Coverage]]*100)</f>
        <v>75898.351082526337</v>
      </c>
      <c r="M70" s="295" cm="1">
        <f t="array" ref="M70">IF(AND(K70=MAX(K$10:K70), L70=MIN(IF(K$10:K70=K70, L$10:L70))), 1, 0)</f>
        <v>0</v>
      </c>
      <c r="N70" s="295">
        <f>IF(AND(Scenario[[#This Row],[Total Coverage]]&gt;=70%,Scenario[[#This Row],[Frontier]]=1),1,0)</f>
        <v>0</v>
      </c>
    </row>
    <row r="71" spans="1:14" x14ac:dyDescent="0.25">
      <c r="A71">
        <v>106</v>
      </c>
      <c r="B71">
        <v>1</v>
      </c>
      <c r="C71">
        <v>0</v>
      </c>
      <c r="D71">
        <v>0</v>
      </c>
      <c r="E71">
        <v>1</v>
      </c>
      <c r="F71">
        <v>0.75</v>
      </c>
      <c r="G71">
        <v>0.25</v>
      </c>
      <c r="H71">
        <v>1</v>
      </c>
      <c r="I71">
        <v>0</v>
      </c>
      <c r="J71" s="272">
        <f>$C$3*($C$4*$E$4*B70*$B$7)*$G$4+$C$3*($C$4*$E$5*D71*$D$7)*$G$4+$C$3*($C$4*$E$4*C71*$C$7)*$G$5+$C$3*($C$4*$E$5*E71*$E$7)*$G$5+$C$3*($C$5*$E$4*F71*$F$7)*$H$4+$C$3*($C$5*$E$5*H71*$H$7)*$H$4+$C$3*($C$5*$E$5*I71*$I$7)*$H$5+$C$3*($C$5*$E$4*G71*$G$7)*$H$5</f>
        <v>2149239.2300080555</v>
      </c>
      <c r="K71" s="277">
        <f>ROUND(($C$4*$E$4*B71*$B$7+$C$4*$E$4*C71*$C$7+$C$4*$E$5*D71*$D$7+$C$4*$E$5*E71*$E$7+($C$5*$E$4*F71*$F$7+$C$5*$E$4*G71*$G$7+$C$5*$E$5*H71*$H$7+$C$5*$E$5*I71*$I$7)),2)</f>
        <v>0.41</v>
      </c>
      <c r="L71" s="276">
        <f>Scenario[[#This Row],[Total Cost]]/(Scenario[[#This Row],[Total Coverage]]*100)</f>
        <v>52420.469024586717</v>
      </c>
      <c r="M71" s="295" cm="1">
        <f t="array" ref="M71">IF(AND(K71=MAX(K$10:K71), L71=MIN(IF(K$10:K71=K71, L$10:L71))), 1, 0)</f>
        <v>1</v>
      </c>
      <c r="N71" s="295">
        <f>IF(AND(Scenario[[#This Row],[Total Coverage]]&gt;=70%,Scenario[[#This Row],[Frontier]]=1),1,0)</f>
        <v>0</v>
      </c>
    </row>
    <row r="72" spans="1:14" x14ac:dyDescent="0.25">
      <c r="A72">
        <v>54</v>
      </c>
      <c r="B72">
        <v>1</v>
      </c>
      <c r="C72">
        <v>0</v>
      </c>
      <c r="D72">
        <v>0.5</v>
      </c>
      <c r="E72">
        <v>0.5</v>
      </c>
      <c r="F72">
        <v>1</v>
      </c>
      <c r="G72">
        <v>0</v>
      </c>
      <c r="H72">
        <v>0.25</v>
      </c>
      <c r="I72">
        <v>0.75</v>
      </c>
      <c r="J72" s="272">
        <f>$C$3*($C$4*$E$4*B71*$B$7)*$G$4+$C$3*($C$4*$E$5*D72*$D$7)*$G$4+$C$3*($C$4*$E$4*C72*$C$7)*$G$5+$C$3*($C$4*$E$5*E72*$E$7)*$G$5+$C$3*($C$5*$E$4*F72*$F$7)*$H$4+$C$3*($C$5*$E$5*H72*$H$7)*$H$4+$C$3*($C$5*$E$5*I72*$I$7)*$H$5+$C$3*($C$5*$E$4*G72*$G$7)*$H$5</f>
        <v>2511534.5142493136</v>
      </c>
      <c r="K72" s="277">
        <f>ROUND(($C$4*$E$4*B72*$B$7+$C$4*$E$4*C72*$C$7+$C$4*$E$5*D72*$D$7+$C$4*$E$5*E72*$E$7+($C$5*$E$4*F72*$F$7+$C$5*$E$4*G72*$G$7+$C$5*$E$5*H72*$H$7+$C$5*$E$5*I72*$I$7)),2)</f>
        <v>0.41</v>
      </c>
      <c r="L72" s="276">
        <f>Scenario[[#This Row],[Total Cost]]/(Scenario[[#This Row],[Total Coverage]]*100)</f>
        <v>61256.939371934481</v>
      </c>
      <c r="M72" s="295" cm="1">
        <f t="array" ref="M72">IF(AND(K72=MAX(K$10:K72), L72=MIN(IF(K$10:K72=K72, L$10:L72))), 1, 0)</f>
        <v>0</v>
      </c>
      <c r="N72" s="295">
        <f>IF(AND(Scenario[[#This Row],[Total Coverage]]&gt;=70%,Scenario[[#This Row],[Frontier]]=1),1,0)</f>
        <v>0</v>
      </c>
    </row>
    <row r="73" spans="1:14" x14ac:dyDescent="0.25">
      <c r="A73">
        <v>203</v>
      </c>
      <c r="B73">
        <v>0.75</v>
      </c>
      <c r="C73">
        <v>0.25</v>
      </c>
      <c r="D73">
        <v>0.25</v>
      </c>
      <c r="E73">
        <v>0.75</v>
      </c>
      <c r="F73">
        <v>1</v>
      </c>
      <c r="G73">
        <v>0</v>
      </c>
      <c r="H73">
        <v>0.5</v>
      </c>
      <c r="I73">
        <v>0.5</v>
      </c>
      <c r="J73" s="272">
        <f>$C$3*($C$4*$E$4*B72*$B$7)*$G$4+$C$3*($C$4*$E$5*D73*$D$7)*$G$4+$C$3*($C$4*$E$4*C73*$C$7)*$G$5+$C$3*($C$4*$E$5*E73*$E$7)*$G$5+$C$3*($C$5*$E$4*F73*$F$7)*$H$4+$C$3*($C$5*$E$5*H73*$H$7)*$H$4+$C$3*($C$5*$E$5*I73*$I$7)*$H$5+$C$3*($C$5*$E$4*G73*$G$7)*$H$5</f>
        <v>2808879.6576047186</v>
      </c>
      <c r="K73" s="277">
        <f>ROUND(($C$4*$E$4*B73*$B$7+$C$4*$E$4*C73*$C$7+$C$4*$E$5*D73*$D$7+$C$4*$E$5*E73*$E$7+($C$5*$E$4*F73*$F$7+$C$5*$E$4*G73*$G$7+$C$5*$E$5*H73*$H$7+$C$5*$E$5*I73*$I$7)),2)</f>
        <v>0.41</v>
      </c>
      <c r="L73" s="276">
        <f>Scenario[[#This Row],[Total Cost]]/(Scenario[[#This Row],[Total Coverage]]*100)</f>
        <v>68509.259941578508</v>
      </c>
      <c r="M73" s="295" cm="1">
        <f t="array" ref="M73">IF(AND(K73=MAX(K$10:K73), L73=MIN(IF(K$10:K73=K73, L$10:L73))), 1, 0)</f>
        <v>0</v>
      </c>
      <c r="N73" s="295">
        <f>IF(AND(Scenario[[#This Row],[Total Coverage]]&gt;=70%,Scenario[[#This Row],[Frontier]]=1),1,0)</f>
        <v>0</v>
      </c>
    </row>
    <row r="74" spans="1:14" x14ac:dyDescent="0.25">
      <c r="A74">
        <v>132</v>
      </c>
      <c r="B74">
        <v>0.75</v>
      </c>
      <c r="C74">
        <v>0.25</v>
      </c>
      <c r="D74">
        <v>1</v>
      </c>
      <c r="E74">
        <v>0</v>
      </c>
      <c r="F74">
        <v>0.75</v>
      </c>
      <c r="G74">
        <v>0.25</v>
      </c>
      <c r="H74">
        <v>0.75</v>
      </c>
      <c r="I74">
        <v>0.25</v>
      </c>
      <c r="J74" s="272">
        <f>$C$3*($C$4*$E$4*B73*$B$7)*$G$4+$C$3*($C$4*$E$5*D74*$D$7)*$G$4+$C$3*($C$4*$E$4*C74*$C$7)*$G$5+$C$3*($C$4*$E$5*E74*$E$7)*$G$5+$C$3*($C$5*$E$4*F74*$F$7)*$H$4+$C$3*($C$5*$E$5*H74*$H$7)*$H$4+$C$3*($C$5*$E$5*I74*$I$7)*$H$5+$C$3*($C$5*$E$4*G74*$G$7)*$H$5</f>
        <v>2604337.4220739864</v>
      </c>
      <c r="K74" s="277">
        <f>ROUND(($C$4*$E$4*B74*$B$7+$C$4*$E$4*C74*$C$7+$C$4*$E$5*D74*$D$7+$C$4*$E$5*E74*$E$7+($C$5*$E$4*F74*$F$7+$C$5*$E$4*G74*$G$7+$C$5*$E$5*H74*$H$7+$C$5*$E$5*I74*$I$7)),2)</f>
        <v>0.41</v>
      </c>
      <c r="L74" s="276">
        <f>Scenario[[#This Row],[Total Cost]]/(Scenario[[#This Row],[Total Coverage]]*100)</f>
        <v>63520.424928633816</v>
      </c>
      <c r="M74" s="295" cm="1">
        <f t="array" ref="M74">IF(AND(K74=MAX(K$10:K74), L74=MIN(IF(K$10:K74=K74, L$10:L74))), 1, 0)</f>
        <v>0</v>
      </c>
      <c r="N74" s="295">
        <f>IF(AND(Scenario[[#This Row],[Total Coverage]]&gt;=70%,Scenario[[#This Row],[Frontier]]=1),1,0)</f>
        <v>0</v>
      </c>
    </row>
    <row r="75" spans="1:14" x14ac:dyDescent="0.25">
      <c r="A75">
        <v>278</v>
      </c>
      <c r="B75">
        <v>0.5</v>
      </c>
      <c r="C75">
        <v>0.5</v>
      </c>
      <c r="D75">
        <v>0.75</v>
      </c>
      <c r="E75">
        <v>0.25</v>
      </c>
      <c r="F75">
        <v>1</v>
      </c>
      <c r="G75">
        <v>0</v>
      </c>
      <c r="H75">
        <v>0.5</v>
      </c>
      <c r="I75">
        <v>0.5</v>
      </c>
      <c r="J75" s="272">
        <f>$C$3*($C$4*$E$4*B74*$B$7)*$G$4+$C$3*($C$4*$E$5*D75*$D$7)*$G$4+$C$3*($C$4*$E$4*C75*$C$7)*$G$5+$C$3*($C$4*$E$5*E75*$E$7)*$G$5+$C$3*($C$5*$E$4*F75*$F$7)*$H$4+$C$3*($C$5*$E$5*H75*$H$7)*$H$4+$C$3*($C$5*$E$5*I75*$I$7)*$H$5+$C$3*($C$5*$E$4*G75*$G$7)*$H$5</f>
        <v>2826939.0932243085</v>
      </c>
      <c r="K75" s="277">
        <f>ROUND(($C$4*$E$4*B75*$B$7+$C$4*$E$4*C75*$C$7+$C$4*$E$5*D75*$D$7+$C$4*$E$5*E75*$E$7+($C$5*$E$4*F75*$F$7+$C$5*$E$4*G75*$G$7+$C$5*$E$5*H75*$H$7+$C$5*$E$5*I75*$I$7)),2)</f>
        <v>0.41</v>
      </c>
      <c r="L75" s="276">
        <f>Scenario[[#This Row],[Total Cost]]/(Scenario[[#This Row],[Total Coverage]]*100)</f>
        <v>68949.733981080688</v>
      </c>
      <c r="M75" s="295" cm="1">
        <f t="array" ref="M75">IF(AND(K75=MAX(K$10:K75), L75=MIN(IF(K$10:K75=K75, L$10:L75))), 1, 0)</f>
        <v>0</v>
      </c>
      <c r="N75" s="295">
        <f>IF(AND(Scenario[[#This Row],[Total Coverage]]&gt;=70%,Scenario[[#This Row],[Frontier]]=1),1,0)</f>
        <v>0</v>
      </c>
    </row>
    <row r="76" spans="1:14" x14ac:dyDescent="0.25">
      <c r="A76">
        <v>129</v>
      </c>
      <c r="B76">
        <v>0.75</v>
      </c>
      <c r="C76">
        <v>0.25</v>
      </c>
      <c r="D76">
        <v>1</v>
      </c>
      <c r="E76">
        <v>0</v>
      </c>
      <c r="F76">
        <v>1</v>
      </c>
      <c r="G76">
        <v>0</v>
      </c>
      <c r="H76">
        <v>0.25</v>
      </c>
      <c r="I76">
        <v>0.75</v>
      </c>
      <c r="J76" s="272">
        <f>$C$3*($C$4*$E$4*B75*$B$7)*$G$4+$C$3*($C$4*$E$5*D76*$D$7)*$G$4+$C$3*($C$4*$E$4*C76*$C$7)*$G$5+$C$3*($C$4*$E$5*E76*$E$7)*$G$5+$C$3*($C$5*$E$4*F76*$F$7)*$H$4+$C$3*($C$5*$E$5*H76*$H$7)*$H$4+$C$3*($C$5*$E$5*I76*$I$7)*$H$5+$C$3*($C$5*$E$4*G76*$G$7)*$H$5</f>
        <v>2423184.320970654</v>
      </c>
      <c r="K76" s="277">
        <f>ROUND(($C$4*$E$4*B76*$B$7+$C$4*$E$4*C76*$C$7+$C$4*$E$5*D76*$D$7+$C$4*$E$5*E76*$E$7+($C$5*$E$4*F76*$F$7+$C$5*$E$4*G76*$G$7+$C$5*$E$5*H76*$H$7+$C$5*$E$5*I76*$I$7)),2)</f>
        <v>0.41</v>
      </c>
      <c r="L76" s="276">
        <f>Scenario[[#This Row],[Total Cost]]/(Scenario[[#This Row],[Total Coverage]]*100)</f>
        <v>59102.056609040344</v>
      </c>
      <c r="M76" s="295" cm="1">
        <f t="array" ref="M76">IF(AND(K76=MAX(K$10:K76), L76=MIN(IF(K$10:K76=K76, L$10:L76))), 1, 0)</f>
        <v>0</v>
      </c>
      <c r="N76" s="295">
        <f>IF(AND(Scenario[[#This Row],[Total Coverage]]&gt;=70%,Scenario[[#This Row],[Frontier]]=1),1,0)</f>
        <v>0</v>
      </c>
    </row>
    <row r="77" spans="1:14" x14ac:dyDescent="0.25">
      <c r="A77">
        <v>281</v>
      </c>
      <c r="B77">
        <v>0.5</v>
      </c>
      <c r="C77">
        <v>0.5</v>
      </c>
      <c r="D77">
        <v>0.75</v>
      </c>
      <c r="E77">
        <v>0.25</v>
      </c>
      <c r="F77">
        <v>0.75</v>
      </c>
      <c r="G77">
        <v>0.25</v>
      </c>
      <c r="H77">
        <v>1</v>
      </c>
      <c r="I77">
        <v>0</v>
      </c>
      <c r="J77" s="272">
        <f>$C$3*($C$4*$E$4*B76*$B$7)*$G$4+$C$3*($C$4*$E$5*D77*$D$7)*$G$4+$C$3*($C$4*$E$4*C77*$C$7)*$G$5+$C$3*($C$4*$E$5*E77*$E$7)*$G$5+$C$3*($C$5*$E$4*F77*$F$7)*$H$4+$C$3*($C$5*$E$5*H77*$H$7)*$H$4+$C$3*($C$5*$E$5*I77*$I$7)*$H$5+$C$3*($C$5*$E$4*G77*$G$7)*$H$5</f>
        <v>2901682.5654293909</v>
      </c>
      <c r="K77" s="277">
        <f>ROUND(($C$4*$E$4*B77*$B$7+$C$4*$E$4*C77*$C$7+$C$4*$E$5*D77*$D$7+$C$4*$E$5*E77*$E$7+($C$5*$E$4*F77*$F$7+$C$5*$E$4*G77*$G$7+$C$5*$E$5*H77*$H$7+$C$5*$E$5*I77*$I$7)),2)</f>
        <v>0.41</v>
      </c>
      <c r="L77" s="276">
        <f>Scenario[[#This Row],[Total Cost]]/(Scenario[[#This Row],[Total Coverage]]*100)</f>
        <v>70772.745498277829</v>
      </c>
      <c r="M77" s="295" cm="1">
        <f t="array" ref="M77">IF(AND(K77=MAX(K$10:K77), L77=MIN(IF(K$10:K77=K77, L$10:L77))), 1, 0)</f>
        <v>0</v>
      </c>
      <c r="N77" s="295">
        <f>IF(AND(Scenario[[#This Row],[Total Coverage]]&gt;=70%,Scenario[[#This Row],[Frontier]]=1),1,0)</f>
        <v>0</v>
      </c>
    </row>
    <row r="78" spans="1:14" x14ac:dyDescent="0.25">
      <c r="A78">
        <v>427</v>
      </c>
      <c r="B78">
        <v>0.25</v>
      </c>
      <c r="C78">
        <v>0.75</v>
      </c>
      <c r="D78">
        <v>0.5</v>
      </c>
      <c r="E78">
        <v>0.5</v>
      </c>
      <c r="F78">
        <v>1</v>
      </c>
      <c r="G78">
        <v>0</v>
      </c>
      <c r="H78">
        <v>0.75</v>
      </c>
      <c r="I78">
        <v>0.25</v>
      </c>
      <c r="J78" s="272">
        <f>$C$3*($C$4*$E$4*B77*$B$7)*$G$4+$C$3*($C$4*$E$5*D78*$D$7)*$G$4+$C$3*($C$4*$E$4*C78*$C$7)*$G$5+$C$3*($C$4*$E$5*E78*$E$7)*$G$5+$C$3*($C$5*$E$4*F78*$F$7)*$H$4+$C$3*($C$5*$E$5*H78*$H$7)*$H$4+$C$3*($C$5*$E$5*I78*$I$7)*$H$5+$C$3*($C$5*$E$4*G78*$G$7)*$H$5</f>
        <v>3017874.6076814635</v>
      </c>
      <c r="K78" s="277">
        <f>ROUND(($C$4*$E$4*B78*$B$7+$C$4*$E$4*C78*$C$7+$C$4*$E$5*D78*$D$7+$C$4*$E$5*E78*$E$7+($C$5*$E$4*F78*$F$7+$C$5*$E$4*G78*$G$7+$C$5*$E$5*H78*$H$7+$C$5*$E$5*I78*$I$7)),2)</f>
        <v>0.41</v>
      </c>
      <c r="L78" s="276">
        <f>Scenario[[#This Row],[Total Cost]]/(Scenario[[#This Row],[Total Coverage]]*100)</f>
        <v>73606.697748328384</v>
      </c>
      <c r="M78" s="295" cm="1">
        <f t="array" ref="M78">IF(AND(K78=MAX(K$10:K78), L78=MIN(IF(K$10:K78=K78, L$10:L78))), 1, 0)</f>
        <v>0</v>
      </c>
      <c r="N78" s="295">
        <f>IF(AND(Scenario[[#This Row],[Total Coverage]]&gt;=70%,Scenario[[#This Row],[Frontier]]=1),1,0)</f>
        <v>0</v>
      </c>
    </row>
    <row r="79" spans="1:14" x14ac:dyDescent="0.25">
      <c r="A79">
        <v>352</v>
      </c>
      <c r="B79">
        <v>0.5</v>
      </c>
      <c r="C79">
        <v>0.5</v>
      </c>
      <c r="D79">
        <v>0</v>
      </c>
      <c r="E79">
        <v>1</v>
      </c>
      <c r="F79">
        <v>1</v>
      </c>
      <c r="G79">
        <v>0</v>
      </c>
      <c r="H79">
        <v>0.75</v>
      </c>
      <c r="I79">
        <v>0.25</v>
      </c>
      <c r="J79" s="272">
        <f>$C$3*($C$4*$E$4*B78*$B$7)*$G$4+$C$3*($C$4*$E$5*D79*$D$7)*$G$4+$C$3*($C$4*$E$4*C79*$C$7)*$G$5+$C$3*($C$4*$E$5*E79*$E$7)*$G$5+$C$3*($C$5*$E$4*F79*$F$7)*$H$4+$C$3*($C$5*$E$5*H79*$H$7)*$H$4+$C$3*($C$5*$E$5*I79*$I$7)*$H$5+$C$3*($C$5*$E$4*G79*$G$7)*$H$5</f>
        <v>2786995.9142653747</v>
      </c>
      <c r="K79" s="277">
        <f>ROUND(($C$4*$E$4*B79*$B$7+$C$4*$E$4*C79*$C$7+$C$4*$E$5*D79*$D$7+$C$4*$E$5*E79*$E$7+($C$5*$E$4*F79*$F$7+$C$5*$E$4*G79*$G$7+$C$5*$E$5*H79*$H$7+$C$5*$E$5*I79*$I$7)),2)</f>
        <v>0.41</v>
      </c>
      <c r="L79" s="276">
        <f>Scenario[[#This Row],[Total Cost]]/(Scenario[[#This Row],[Total Coverage]]*100)</f>
        <v>67975.510104033528</v>
      </c>
      <c r="M79" s="295" cm="1">
        <f t="array" ref="M79">IF(AND(K79=MAX(K$10:K79), L79=MIN(IF(K$10:K79=K79, L$10:L79))), 1, 0)</f>
        <v>0</v>
      </c>
      <c r="N79" s="295">
        <f>IF(AND(Scenario[[#This Row],[Total Coverage]]&gt;=70%,Scenario[[#This Row],[Frontier]]=1),1,0)</f>
        <v>0</v>
      </c>
    </row>
    <row r="80" spans="1:14" x14ac:dyDescent="0.25">
      <c r="A80">
        <v>576</v>
      </c>
      <c r="B80">
        <v>0</v>
      </c>
      <c r="C80">
        <v>1</v>
      </c>
      <c r="D80">
        <v>0.25</v>
      </c>
      <c r="E80">
        <v>0.75</v>
      </c>
      <c r="F80">
        <v>1</v>
      </c>
      <c r="G80">
        <v>0</v>
      </c>
      <c r="H80">
        <v>1</v>
      </c>
      <c r="I80">
        <v>0</v>
      </c>
      <c r="J80" s="272">
        <f>$C$3*($C$4*$E$4*B79*$B$7)*$G$4+$C$3*($C$4*$E$5*D80*$D$7)*$G$4+$C$3*($C$4*$E$4*C80*$C$7)*$G$5+$C$3*($C$4*$E$5*E80*$E$7)*$G$5+$C$3*($C$5*$E$4*F80*$F$7)*$H$4+$C$3*($C$5*$E$5*H80*$H$7)*$H$4+$C$3*($C$5*$E$5*I80*$I$7)*$H$5+$C$3*($C$5*$E$4*G80*$G$7)*$H$5</f>
        <v>3315219.7510368684</v>
      </c>
      <c r="K80" s="277">
        <f>ROUND(($C$4*$E$4*B80*$B$7+$C$4*$E$4*C80*$C$7+$C$4*$E$5*D80*$D$7+$C$4*$E$5*E80*$E$7+($C$5*$E$4*F80*$F$7+$C$5*$E$4*G80*$G$7+$C$5*$E$5*H80*$H$7+$C$5*$E$5*I80*$I$7)),2)</f>
        <v>0.41</v>
      </c>
      <c r="L80" s="276">
        <f>Scenario[[#This Row],[Total Cost]]/(Scenario[[#This Row],[Total Coverage]]*100)</f>
        <v>80859.018317972397</v>
      </c>
      <c r="M80" s="295" cm="1">
        <f t="array" ref="M80">IF(AND(K80=MAX(K$10:K80), L80=MIN(IF(K$10:K80=K80, L$10:L80))), 1, 0)</f>
        <v>0</v>
      </c>
      <c r="N80" s="295">
        <f>IF(AND(Scenario[[#This Row],[Total Coverage]]&gt;=70%,Scenario[[#This Row],[Frontier]]=1),1,0)</f>
        <v>0</v>
      </c>
    </row>
    <row r="81" spans="1:14" x14ac:dyDescent="0.25">
      <c r="A81">
        <v>5</v>
      </c>
      <c r="B81">
        <v>1</v>
      </c>
      <c r="C81">
        <v>0</v>
      </c>
      <c r="D81">
        <v>1</v>
      </c>
      <c r="E81">
        <v>0</v>
      </c>
      <c r="F81">
        <v>1</v>
      </c>
      <c r="G81">
        <v>0</v>
      </c>
      <c r="H81">
        <v>0</v>
      </c>
      <c r="I81">
        <v>1</v>
      </c>
      <c r="J81" s="272">
        <f>$C$3*($C$4*$E$4*B80*$B$7)*$G$4+$C$3*($C$4*$E$5*D81*$D$7)*$G$4+$C$3*($C$4*$E$4*C81*$C$7)*$G$5+$C$3*($C$4*$E$5*E81*$E$7)*$G$5+$C$3*($C$5*$E$4*F81*$F$7)*$H$4+$C$3*($C$5*$E$5*H81*$H$7)*$H$4+$C$3*($C$5*$E$5*I81*$I$7)*$H$5+$C$3*($C$5*$E$4*G81*$G$7)*$H$5</f>
        <v>2097296.2395096589</v>
      </c>
      <c r="K81" s="277">
        <f>ROUND(($C$4*$E$4*B81*$B$7+$C$4*$E$4*C81*$C$7+$C$4*$E$5*D81*$D$7+$C$4*$E$5*E81*$E$7+($C$5*$E$4*F81*$F$7+$C$5*$E$4*G81*$G$7+$C$5*$E$5*H81*$H$7+$C$5*$E$5*I81*$I$7)),2)</f>
        <v>0.42</v>
      </c>
      <c r="L81" s="276">
        <f>Scenario[[#This Row],[Total Cost]]/(Scenario[[#This Row],[Total Coverage]]*100)</f>
        <v>49935.624750229974</v>
      </c>
      <c r="M81" s="295" cm="1">
        <f t="array" ref="M81">IF(AND(K81=MAX(K$10:K81), L81=MIN(IF(K$10:K81=K81, L$10:L81))), 1, 0)</f>
        <v>1</v>
      </c>
      <c r="N81" s="295">
        <f>IF(AND(Scenario[[#This Row],[Total Coverage]]&gt;=70%,Scenario[[#This Row],[Frontier]]=1),1,0)</f>
        <v>0</v>
      </c>
    </row>
    <row r="82" spans="1:14" x14ac:dyDescent="0.25">
      <c r="A82">
        <v>57</v>
      </c>
      <c r="B82">
        <v>1</v>
      </c>
      <c r="C82">
        <v>0</v>
      </c>
      <c r="D82">
        <v>0.5</v>
      </c>
      <c r="E82">
        <v>0.5</v>
      </c>
      <c r="F82">
        <v>0.75</v>
      </c>
      <c r="G82">
        <v>0.25</v>
      </c>
      <c r="H82">
        <v>0.75</v>
      </c>
      <c r="I82">
        <v>0.25</v>
      </c>
      <c r="J82" s="272">
        <f>$C$3*($C$4*$E$4*B81*$B$7)*$G$4+$C$3*($C$4*$E$5*D82*$D$7)*$G$4+$C$3*($C$4*$E$4*C82*$C$7)*$G$5+$C$3*($C$4*$E$5*E82*$E$7)*$G$5+$C$3*($C$5*$E$4*F82*$F$7)*$H$4+$C$3*($C$5*$E$5*H82*$H$7)*$H$4+$C$3*($C$5*$E$5*I82*$I$7)*$H$5+$C$3*($C$5*$E$4*G82*$G$7)*$H$5</f>
        <v>2586277.9864543965</v>
      </c>
      <c r="K82" s="277">
        <f>ROUND(($C$4*$E$4*B82*$B$7+$C$4*$E$4*C82*$C$7+$C$4*$E$5*D82*$D$7+$C$4*$E$5*E82*$E$7+($C$5*$E$4*F82*$F$7+$C$5*$E$4*G82*$G$7+$C$5*$E$5*H82*$H$7+$C$5*$E$5*I82*$I$7)),2)</f>
        <v>0.42</v>
      </c>
      <c r="L82" s="276">
        <f>Scenario[[#This Row],[Total Cost]]/(Scenario[[#This Row],[Total Coverage]]*100)</f>
        <v>61578.047296533252</v>
      </c>
      <c r="M82" s="295" cm="1">
        <f t="array" ref="M82">IF(AND(K82=MAX(K$10:K82), L82=MIN(IF(K$10:K82=K82, L$10:L82))), 1, 0)</f>
        <v>0</v>
      </c>
      <c r="N82" s="295">
        <f>IF(AND(Scenario[[#This Row],[Total Coverage]]&gt;=70%,Scenario[[#This Row],[Frontier]]=1),1,0)</f>
        <v>0</v>
      </c>
    </row>
    <row r="83" spans="1:14" x14ac:dyDescent="0.25">
      <c r="A83">
        <v>206</v>
      </c>
      <c r="B83">
        <v>0.75</v>
      </c>
      <c r="C83">
        <v>0.25</v>
      </c>
      <c r="D83">
        <v>0.25</v>
      </c>
      <c r="E83">
        <v>0.75</v>
      </c>
      <c r="F83">
        <v>0.75</v>
      </c>
      <c r="G83">
        <v>0.25</v>
      </c>
      <c r="H83">
        <v>1</v>
      </c>
      <c r="I83">
        <v>0</v>
      </c>
      <c r="J83" s="272">
        <f>$C$3*($C$4*$E$4*B82*$B$7)*$G$4+$C$3*($C$4*$E$5*D83*$D$7)*$G$4+$C$3*($C$4*$E$4*C83*$C$7)*$G$5+$C$3*($C$4*$E$5*E83*$E$7)*$G$5+$C$3*($C$5*$E$4*F83*$F$7)*$H$4+$C$3*($C$5*$E$5*H83*$H$7)*$H$4+$C$3*($C$5*$E$5*I83*$I$7)*$H$5+$C$3*($C$5*$E$4*G83*$G$7)*$H$5</f>
        <v>2883623.129809801</v>
      </c>
      <c r="K83" s="277">
        <f>ROUND(($C$4*$E$4*B83*$B$7+$C$4*$E$4*C83*$C$7+$C$4*$E$5*D83*$D$7+$C$4*$E$5*E83*$E$7+($C$5*$E$4*F83*$F$7+$C$5*$E$4*G83*$G$7+$C$5*$E$5*H83*$H$7+$C$5*$E$5*I83*$I$7)),2)</f>
        <v>0.42</v>
      </c>
      <c r="L83" s="276">
        <f>Scenario[[#This Row],[Total Cost]]/(Scenario[[#This Row],[Total Coverage]]*100)</f>
        <v>68657.693566900023</v>
      </c>
      <c r="M83" s="295" cm="1">
        <f t="array" ref="M83">IF(AND(K83=MAX(K$10:K83), L83=MIN(IF(K$10:K83=K83, L$10:L83))), 1, 0)</f>
        <v>0</v>
      </c>
      <c r="N83" s="295">
        <f>IF(AND(Scenario[[#This Row],[Total Coverage]]&gt;=70%,Scenario[[#This Row],[Frontier]]=1),1,0)</f>
        <v>0</v>
      </c>
    </row>
    <row r="84" spans="1:14" x14ac:dyDescent="0.25">
      <c r="A84">
        <v>154</v>
      </c>
      <c r="B84">
        <v>0.75</v>
      </c>
      <c r="C84">
        <v>0.25</v>
      </c>
      <c r="D84">
        <v>0.75</v>
      </c>
      <c r="E84">
        <v>0.25</v>
      </c>
      <c r="F84">
        <v>1</v>
      </c>
      <c r="G84">
        <v>0</v>
      </c>
      <c r="H84">
        <v>0.25</v>
      </c>
      <c r="I84">
        <v>0.75</v>
      </c>
      <c r="J84" s="272">
        <f>$C$3*($C$4*$E$4*B83*$B$7)*$G$4+$C$3*($C$4*$E$5*D84*$D$7)*$G$4+$C$3*($C$4*$E$4*C84*$C$7)*$G$5+$C$3*($C$4*$E$5*E84*$E$7)*$G$5+$C$3*($C$5*$E$4*F84*$F$7)*$H$4+$C$3*($C$5*$E$5*H84*$H$7)*$H$4+$C$3*($C$5*$E$5*I84*$I$7)*$H$5+$C$3*($C$5*$E$4*G84*$G$7)*$H$5</f>
        <v>2713870.2695598118</v>
      </c>
      <c r="K84" s="277">
        <f>ROUND(($C$4*$E$4*B84*$B$7+$C$4*$E$4*C84*$C$7+$C$4*$E$5*D84*$D$7+$C$4*$E$5*E84*$E$7+($C$5*$E$4*F84*$F$7+$C$5*$E$4*G84*$G$7+$C$5*$E$5*H84*$H$7+$C$5*$E$5*I84*$I$7)),2)</f>
        <v>0.42</v>
      </c>
      <c r="L84" s="276">
        <f>Scenario[[#This Row],[Total Cost]]/(Scenario[[#This Row],[Total Coverage]]*100)</f>
        <v>64615.958799043139</v>
      </c>
      <c r="M84" s="295" cm="1">
        <f t="array" ref="M84">IF(AND(K84=MAX(K$10:K84), L84=MIN(IF(K$10:K84=K84, L$10:L84))), 1, 0)</f>
        <v>0</v>
      </c>
      <c r="N84" s="295">
        <f>IF(AND(Scenario[[#This Row],[Total Coverage]]&gt;=70%,Scenario[[#This Row],[Frontier]]=1),1,0)</f>
        <v>0</v>
      </c>
    </row>
    <row r="85" spans="1:14" x14ac:dyDescent="0.25">
      <c r="A85">
        <v>303</v>
      </c>
      <c r="B85">
        <v>0.5</v>
      </c>
      <c r="C85">
        <v>0.5</v>
      </c>
      <c r="D85">
        <v>0.5</v>
      </c>
      <c r="E85">
        <v>0.5</v>
      </c>
      <c r="F85">
        <v>1</v>
      </c>
      <c r="G85">
        <v>0</v>
      </c>
      <c r="H85">
        <v>0.5</v>
      </c>
      <c r="I85">
        <v>0.5</v>
      </c>
      <c r="J85" s="272">
        <f>$C$3*($C$4*$E$4*B84*$B$7)*$G$4+$C$3*($C$4*$E$5*D85*$D$7)*$G$4+$C$3*($C$4*$E$4*C85*$C$7)*$G$5+$C$3*($C$4*$E$5*E85*$E$7)*$G$5+$C$3*($C$5*$E$4*F85*$F$7)*$H$4+$C$3*($C$5*$E$5*H85*$H$7)*$H$4+$C$3*($C$5*$E$5*I85*$I$7)*$H$5+$C$3*($C$5*$E$4*G85*$G$7)*$H$5</f>
        <v>3011215.4129152168</v>
      </c>
      <c r="K85" s="277">
        <f>ROUND(($C$4*$E$4*B85*$B$7+$C$4*$E$4*C85*$C$7+$C$4*$E$5*D85*$D$7+$C$4*$E$5*E85*$E$7+($C$5*$E$4*F85*$F$7+$C$5*$E$4*G85*$G$7+$C$5*$E$5*H85*$H$7+$C$5*$E$5*I85*$I$7)),2)</f>
        <v>0.42</v>
      </c>
      <c r="L85" s="276">
        <f>Scenario[[#This Row],[Total Cost]]/(Scenario[[#This Row],[Total Coverage]]*100)</f>
        <v>71695.605069409925</v>
      </c>
      <c r="M85" s="295" cm="1">
        <f t="array" ref="M85">IF(AND(K85=MAX(K$10:K85), L85=MIN(IF(K$10:K85=K85, L$10:L85))), 1, 0)</f>
        <v>0</v>
      </c>
      <c r="N85" s="295">
        <f>IF(AND(Scenario[[#This Row],[Total Coverage]]&gt;=70%,Scenario[[#This Row],[Frontier]]=1),1,0)</f>
        <v>0</v>
      </c>
    </row>
    <row r="86" spans="1:14" x14ac:dyDescent="0.25">
      <c r="A86">
        <v>378</v>
      </c>
      <c r="B86">
        <v>0.25</v>
      </c>
      <c r="C86">
        <v>0.75</v>
      </c>
      <c r="D86">
        <v>1</v>
      </c>
      <c r="E86">
        <v>0</v>
      </c>
      <c r="F86">
        <v>1</v>
      </c>
      <c r="G86">
        <v>0</v>
      </c>
      <c r="H86">
        <v>0.5</v>
      </c>
      <c r="I86">
        <v>0.5</v>
      </c>
      <c r="J86" s="272">
        <f>$C$3*($C$4*$E$4*B85*$B$7)*$G$4+$C$3*($C$4*$E$5*D86*$D$7)*$G$4+$C$3*($C$4*$E$4*C86*$C$7)*$G$5+$C$3*($C$4*$E$5*E86*$E$7)*$G$5+$C$3*($C$5*$E$4*F86*$F$7)*$H$4+$C$3*($C$5*$E$5*H86*$H$7)*$H$4+$C$3*($C$5*$E$5*I86*$I$7)*$H$5+$C$3*($C$5*$E$4*G86*$G$7)*$H$5</f>
        <v>3029274.8485348066</v>
      </c>
      <c r="K86" s="277">
        <f>ROUND(($C$4*$E$4*B86*$B$7+$C$4*$E$4*C86*$C$7+$C$4*$E$5*D86*$D$7+$C$4*$E$5*E86*$E$7+($C$5*$E$4*F86*$F$7+$C$5*$E$4*G86*$G$7+$C$5*$E$5*H86*$H$7+$C$5*$E$5*I86*$I$7)),2)</f>
        <v>0.42</v>
      </c>
      <c r="L86" s="276">
        <f>Scenario[[#This Row],[Total Cost]]/(Scenario[[#This Row],[Total Coverage]]*100)</f>
        <v>72125.591631781106</v>
      </c>
      <c r="M86" s="295" cm="1">
        <f t="array" ref="M86">IF(AND(K86=MAX(K$10:K86), L86=MIN(IF(K$10:K86=K86, L$10:L86))), 1, 0)</f>
        <v>0</v>
      </c>
      <c r="N86" s="295">
        <f>IF(AND(Scenario[[#This Row],[Total Coverage]]&gt;=70%,Scenario[[#This Row],[Frontier]]=1),1,0)</f>
        <v>0</v>
      </c>
    </row>
    <row r="87" spans="1:14" x14ac:dyDescent="0.25">
      <c r="A87">
        <v>452</v>
      </c>
      <c r="B87">
        <v>0.25</v>
      </c>
      <c r="C87">
        <v>0.75</v>
      </c>
      <c r="D87">
        <v>0.25</v>
      </c>
      <c r="E87">
        <v>0.75</v>
      </c>
      <c r="F87">
        <v>1</v>
      </c>
      <c r="G87">
        <v>0</v>
      </c>
      <c r="H87">
        <v>0.75</v>
      </c>
      <c r="I87">
        <v>0.25</v>
      </c>
      <c r="J87" s="272">
        <f>$C$3*($C$4*$E$4*B86*$B$7)*$G$4+$C$3*($C$4*$E$5*D87*$D$7)*$G$4+$C$3*($C$4*$E$4*C87*$C$7)*$G$5+$C$3*($C$4*$E$5*E87*$E$7)*$G$5+$C$3*($C$5*$E$4*F87*$F$7)*$H$4+$C$3*($C$5*$E$5*H87*$H$7)*$H$4+$C$3*($C$5*$E$5*I87*$I$7)*$H$5+$C$3*($C$5*$E$4*G87*$G$7)*$H$5</f>
        <v>3095741.2984741228</v>
      </c>
      <c r="K87" s="277">
        <f>ROUND(($C$4*$E$4*B87*$B$7+$C$4*$E$4*C87*$C$7+$C$4*$E$5*D87*$D$7+$C$4*$E$5*E87*$E$7+($C$5*$E$4*F87*$F$7+$C$5*$E$4*G87*$G$7+$C$5*$E$5*H87*$H$7+$C$5*$E$5*I87*$I$7)),2)</f>
        <v>0.42</v>
      </c>
      <c r="L87" s="276">
        <f>Scenario[[#This Row],[Total Cost]]/(Scenario[[#This Row],[Total Coverage]]*100)</f>
        <v>73708.126154145779</v>
      </c>
      <c r="M87" s="295" cm="1">
        <f t="array" ref="M87">IF(AND(K87=MAX(K$10:K87), L87=MIN(IF(K$10:K87=K87, L$10:L87))), 1, 0)</f>
        <v>0</v>
      </c>
      <c r="N87" s="295">
        <f>IF(AND(Scenario[[#This Row],[Total Coverage]]&gt;=70%,Scenario[[#This Row],[Frontier]]=1),1,0)</f>
        <v>0</v>
      </c>
    </row>
    <row r="88" spans="1:14" x14ac:dyDescent="0.25">
      <c r="A88">
        <v>381</v>
      </c>
      <c r="B88">
        <v>0.25</v>
      </c>
      <c r="C88">
        <v>0.75</v>
      </c>
      <c r="D88">
        <v>1</v>
      </c>
      <c r="E88">
        <v>0</v>
      </c>
      <c r="F88">
        <v>0.75</v>
      </c>
      <c r="G88">
        <v>0.25</v>
      </c>
      <c r="H88">
        <v>1</v>
      </c>
      <c r="I88">
        <v>0</v>
      </c>
      <c r="J88" s="272">
        <f>$C$3*($C$4*$E$4*B87*$B$7)*$G$4+$C$3*($C$4*$E$5*D88*$D$7)*$G$4+$C$3*($C$4*$E$4*C88*$C$7)*$G$5+$C$3*($C$4*$E$5*E88*$E$7)*$G$5+$C$3*($C$5*$E$4*F88*$F$7)*$H$4+$C$3*($C$5*$E$5*H88*$H$7)*$H$4+$C$3*($C$5*$E$5*I88*$I$7)*$H$5+$C$3*($C$5*$E$4*G88*$G$7)*$H$5</f>
        <v>2997608.69184164</v>
      </c>
      <c r="K88" s="277">
        <f>ROUND(($C$4*$E$4*B88*$B$7+$C$4*$E$4*C88*$C$7+$C$4*$E$5*D88*$D$7+$C$4*$E$5*E88*$E$7+($C$5*$E$4*F88*$F$7+$C$5*$E$4*G88*$G$7+$C$5*$E$5*H88*$H$7+$C$5*$E$5*I88*$I$7)),2)</f>
        <v>0.42</v>
      </c>
      <c r="L88" s="276">
        <f>Scenario[[#This Row],[Total Cost]]/(Scenario[[#This Row],[Total Coverage]]*100)</f>
        <v>71371.635520039054</v>
      </c>
      <c r="M88" s="295" cm="1">
        <f t="array" ref="M88">IF(AND(K88=MAX(K$10:K88), L88=MIN(IF(K$10:K88=K88, L$10:L88))), 1, 0)</f>
        <v>0</v>
      </c>
      <c r="N88" s="295">
        <f>IF(AND(Scenario[[#This Row],[Total Coverage]]&gt;=70%,Scenario[[#This Row],[Frontier]]=1),1,0)</f>
        <v>0</v>
      </c>
    </row>
    <row r="89" spans="1:14" x14ac:dyDescent="0.25">
      <c r="A89">
        <v>527</v>
      </c>
      <c r="B89">
        <v>0</v>
      </c>
      <c r="C89">
        <v>1</v>
      </c>
      <c r="D89">
        <v>0.75</v>
      </c>
      <c r="E89">
        <v>0.25</v>
      </c>
      <c r="F89">
        <v>1</v>
      </c>
      <c r="G89">
        <v>0</v>
      </c>
      <c r="H89">
        <v>0.75</v>
      </c>
      <c r="I89">
        <v>0.25</v>
      </c>
      <c r="J89" s="272">
        <f>$C$3*($C$4*$E$4*B88*$B$7)*$G$4+$C$3*($C$4*$E$5*D89*$D$7)*$G$4+$C$3*($C$4*$E$4*C89*$C$7)*$G$5+$C$3*($C$4*$E$5*E89*$E$7)*$G$5+$C$3*($C$5*$E$4*F89*$F$7)*$H$4+$C$3*($C$5*$E$5*H89*$H$7)*$H$4+$C$3*($C$5*$E$5*I89*$I$7)*$H$5+$C$3*($C$5*$E$4*G89*$G$7)*$H$5</f>
        <v>3220210.3629919617</v>
      </c>
      <c r="K89" s="277">
        <f>ROUND(($C$4*$E$4*B89*$B$7+$C$4*$E$4*C89*$C$7+$C$4*$E$5*D89*$D$7+$C$4*$E$5*E89*$E$7+($C$5*$E$4*F89*$F$7+$C$5*$E$4*G89*$G$7+$C$5*$E$5*H89*$H$7+$C$5*$E$5*I89*$I$7)),2)</f>
        <v>0.42</v>
      </c>
      <c r="L89" s="276">
        <f>Scenario[[#This Row],[Total Cost]]/(Scenario[[#This Row],[Total Coverage]]*100)</f>
        <v>76671.675309332422</v>
      </c>
      <c r="M89" s="295" cm="1">
        <f t="array" ref="M89">IF(AND(K89=MAX(K$10:K89), L89=MIN(IF(K$10:K89=K89, L$10:L89))), 1, 0)</f>
        <v>0</v>
      </c>
      <c r="N89" s="295">
        <f>IF(AND(Scenario[[#This Row],[Total Coverage]]&gt;=70%,Scenario[[#This Row],[Frontier]]=1),1,0)</f>
        <v>0</v>
      </c>
    </row>
    <row r="90" spans="1:14" x14ac:dyDescent="0.25">
      <c r="A90">
        <v>601</v>
      </c>
      <c r="B90">
        <v>0</v>
      </c>
      <c r="C90">
        <v>1</v>
      </c>
      <c r="D90">
        <v>0</v>
      </c>
      <c r="E90">
        <v>1</v>
      </c>
      <c r="F90">
        <v>1</v>
      </c>
      <c r="G90">
        <v>0</v>
      </c>
      <c r="H90">
        <v>1</v>
      </c>
      <c r="I90">
        <v>0</v>
      </c>
      <c r="J90" s="272">
        <f>$C$3*($C$4*$E$4*B89*$B$7)*$G$4+$C$3*($C$4*$E$5*D90*$D$7)*$G$4+$C$3*($C$4*$E$4*C90*$C$7)*$G$5+$C$3*($C$4*$E$5*E90*$E$7)*$G$5+$C$3*($C$5*$E$4*F90*$F$7)*$H$4+$C$3*($C$5*$E$5*H90*$H$7)*$H$4+$C$3*($C$5*$E$5*I90*$I$7)*$H$5+$C$3*($C$5*$E$4*G90*$G$7)*$H$5</f>
        <v>3286676.8129312778</v>
      </c>
      <c r="K90" s="277">
        <f>ROUND(($C$4*$E$4*B90*$B$7+$C$4*$E$4*C90*$C$7+$C$4*$E$5*D90*$D$7+$C$4*$E$5*E90*$E$7+($C$5*$E$4*F90*$F$7+$C$5*$E$4*G90*$G$7+$C$5*$E$5*H90*$H$7+$C$5*$E$5*I90*$I$7)),2)</f>
        <v>0.42</v>
      </c>
      <c r="L90" s="276">
        <f>Scenario[[#This Row],[Total Cost]]/(Scenario[[#This Row],[Total Coverage]]*100)</f>
        <v>78254.209831697095</v>
      </c>
      <c r="M90" s="295" cm="1">
        <f t="array" ref="M90">IF(AND(K90=MAX(K$10:K90), L90=MIN(IF(K$10:K90=K90, L$10:L90))), 1, 0)</f>
        <v>0</v>
      </c>
      <c r="N90" s="295">
        <f>IF(AND(Scenario[[#This Row],[Total Coverage]]&gt;=70%,Scenario[[#This Row],[Frontier]]=1),1,0)</f>
        <v>0</v>
      </c>
    </row>
    <row r="91" spans="1:14" x14ac:dyDescent="0.25">
      <c r="A91">
        <v>82</v>
      </c>
      <c r="B91">
        <v>1</v>
      </c>
      <c r="C91">
        <v>0</v>
      </c>
      <c r="D91">
        <v>0.25</v>
      </c>
      <c r="E91">
        <v>0.75</v>
      </c>
      <c r="F91">
        <v>0.75</v>
      </c>
      <c r="G91">
        <v>0.25</v>
      </c>
      <c r="H91">
        <v>0.75</v>
      </c>
      <c r="I91">
        <v>0.25</v>
      </c>
      <c r="J91" s="272">
        <f>$C$3*($C$4*$E$4*B90*$B$7)*$G$4+$C$3*($C$4*$E$5*D91*$D$7)*$G$4+$C$3*($C$4*$E$4*C91*$C$7)*$G$5+$C$3*($C$4*$E$5*E91*$E$7)*$G$5+$C$3*($C$5*$E$4*F91*$F$7)*$H$4+$C$3*($C$5*$E$5*H91*$H$7)*$H$4+$C$3*($C$5*$E$5*I91*$I$7)*$H$5+$C$3*($C$5*$E$4*G91*$G$7)*$H$5</f>
        <v>2344915.7905523069</v>
      </c>
      <c r="K91" s="277">
        <f>ROUND(($C$4*$E$4*B91*$B$7+$C$4*$E$4*C91*$C$7+$C$4*$E$5*D91*$D$7+$C$4*$E$5*E91*$E$7+($C$5*$E$4*F91*$F$7+$C$5*$E$4*G91*$G$7+$C$5*$E$5*H91*$H$7+$C$5*$E$5*I91*$I$7)),2)</f>
        <v>0.43</v>
      </c>
      <c r="L91" s="276">
        <f>Scenario[[#This Row],[Total Cost]]/(Scenario[[#This Row],[Total Coverage]]*100)</f>
        <v>54532.925361681555</v>
      </c>
      <c r="M91" s="295" cm="1">
        <f t="array" ref="M91">IF(AND(K91=MAX(K$10:K91), L91=MIN(IF(K$10:K91=K91, L$10:L91))), 1, 0)</f>
        <v>1</v>
      </c>
      <c r="N91" s="295">
        <f>IF(AND(Scenario[[#This Row],[Total Coverage]]&gt;=70%,Scenario[[#This Row],[Frontier]]=1),1,0)</f>
        <v>0</v>
      </c>
    </row>
    <row r="92" spans="1:14" x14ac:dyDescent="0.25">
      <c r="A92">
        <v>79</v>
      </c>
      <c r="B92">
        <v>1</v>
      </c>
      <c r="C92">
        <v>0</v>
      </c>
      <c r="D92">
        <v>0.25</v>
      </c>
      <c r="E92">
        <v>0.75</v>
      </c>
      <c r="F92">
        <v>1</v>
      </c>
      <c r="G92">
        <v>0</v>
      </c>
      <c r="H92">
        <v>0.25</v>
      </c>
      <c r="I92">
        <v>0.75</v>
      </c>
      <c r="J92" s="272">
        <f>$C$3*($C$4*$E$4*B91*$B$7)*$G$4+$C$3*($C$4*$E$5*D92*$D$7)*$G$4+$C$3*($C$4*$E$4*C92*$C$7)*$G$5+$C$3*($C$4*$E$5*E92*$E$7)*$G$5+$C$3*($C$5*$E$4*F92*$F$7)*$H$4+$C$3*($C$5*$E$5*H92*$H$7)*$H$4+$C$3*($C$5*$E$5*I92*$I$7)*$H$5+$C$3*($C$5*$E$4*G92*$G$7)*$H$5</f>
        <v>2695810.8339402219</v>
      </c>
      <c r="K92" s="277">
        <f>ROUND(($C$4*$E$4*B92*$B$7+$C$4*$E$4*C92*$C$7+$C$4*$E$5*D92*$D$7+$C$4*$E$5*E92*$E$7+($C$5*$E$4*F92*$F$7+$C$5*$E$4*G92*$G$7+$C$5*$E$5*H92*$H$7+$C$5*$E$5*I92*$I$7)),2)</f>
        <v>0.43</v>
      </c>
      <c r="L92" s="276">
        <f>Scenario[[#This Row],[Total Cost]]/(Scenario[[#This Row],[Total Coverage]]*100)</f>
        <v>62693.275207912135</v>
      </c>
      <c r="M92" s="295" cm="1">
        <f t="array" ref="M92">IF(AND(K92=MAX(K$10:K92), L92=MIN(IF(K$10:K92=K92, L$10:L92))), 1, 0)</f>
        <v>0</v>
      </c>
      <c r="N92" s="295">
        <f>IF(AND(Scenario[[#This Row],[Total Coverage]]&gt;=70%,Scenario[[#This Row],[Frontier]]=1),1,0)</f>
        <v>0</v>
      </c>
    </row>
    <row r="93" spans="1:14" x14ac:dyDescent="0.25">
      <c r="A93">
        <v>8</v>
      </c>
      <c r="B93">
        <v>1</v>
      </c>
      <c r="C93">
        <v>0</v>
      </c>
      <c r="D93">
        <v>1</v>
      </c>
      <c r="E93">
        <v>0</v>
      </c>
      <c r="F93">
        <v>0.75</v>
      </c>
      <c r="G93">
        <v>0.25</v>
      </c>
      <c r="H93">
        <v>0.5</v>
      </c>
      <c r="I93">
        <v>0.5</v>
      </c>
      <c r="J93" s="272">
        <f>$C$3*($C$4*$E$4*B92*$B$7)*$G$4+$C$3*($C$4*$E$5*D93*$D$7)*$G$4+$C$3*($C$4*$E$4*C93*$C$7)*$G$5+$C$3*($C$4*$E$5*E93*$E$7)*$G$5+$C$3*($C$5*$E$4*F93*$F$7)*$H$4+$C$3*($C$5*$E$5*H93*$H$7)*$H$4+$C$3*($C$5*$E$5*I93*$I$7)*$H$5+$C$3*($C$5*$E$4*G93*$G$7)*$H$5</f>
        <v>2597678.2273077392</v>
      </c>
      <c r="K93" s="277">
        <f>ROUND(($C$4*$E$4*B93*$B$7+$C$4*$E$4*C93*$C$7+$C$4*$E$5*D93*$D$7+$C$4*$E$5*E93*$E$7+($C$5*$E$4*F93*$F$7+$C$5*$E$4*G93*$G$7+$C$5*$E$5*H93*$H$7+$C$5*$E$5*I93*$I$7)),2)</f>
        <v>0.43</v>
      </c>
      <c r="L93" s="276">
        <f>Scenario[[#This Row],[Total Cost]]/(Scenario[[#This Row],[Total Coverage]]*100)</f>
        <v>60411.121565296264</v>
      </c>
      <c r="M93" s="295" cm="1">
        <f t="array" ref="M93">IF(AND(K93=MAX(K$10:K93), L93=MIN(IF(K$10:K93=K93, L$10:L93))), 1, 0)</f>
        <v>0</v>
      </c>
      <c r="N93" s="295">
        <f>IF(AND(Scenario[[#This Row],[Total Coverage]]&gt;=70%,Scenario[[#This Row],[Frontier]]=1),1,0)</f>
        <v>0</v>
      </c>
    </row>
    <row r="94" spans="1:14" x14ac:dyDescent="0.25">
      <c r="A94">
        <v>11</v>
      </c>
      <c r="B94">
        <v>1</v>
      </c>
      <c r="C94">
        <v>0</v>
      </c>
      <c r="D94">
        <v>1</v>
      </c>
      <c r="E94">
        <v>0</v>
      </c>
      <c r="F94">
        <v>0.5</v>
      </c>
      <c r="G94">
        <v>0.5</v>
      </c>
      <c r="H94">
        <v>1</v>
      </c>
      <c r="I94">
        <v>0</v>
      </c>
      <c r="J94" s="272">
        <f>$C$3*($C$4*$E$4*B93*$B$7)*$G$4+$C$3*($C$4*$E$5*D94*$D$7)*$G$4+$C$3*($C$4*$E$4*C94*$C$7)*$G$5+$C$3*($C$4*$E$5*E94*$E$7)*$G$5+$C$3*($C$5*$E$4*F94*$F$7)*$H$4+$C$3*($C$5*$E$5*H94*$H$7)*$H$4+$C$3*($C$5*$E$5*I94*$I$7)*$H$5+$C$3*($C$5*$E$4*G94*$G$7)*$H$5</f>
        <v>2672421.6995128221</v>
      </c>
      <c r="K94" s="277">
        <f>ROUND(($C$4*$E$4*B94*$B$7+$C$4*$E$4*C94*$C$7+$C$4*$E$5*D94*$D$7+$C$4*$E$5*E94*$E$7+($C$5*$E$4*F94*$F$7+$C$5*$E$4*G94*$G$7+$C$5*$E$5*H94*$H$7+$C$5*$E$5*I94*$I$7)),2)</f>
        <v>0.43</v>
      </c>
      <c r="L94" s="276">
        <f>Scenario[[#This Row],[Total Cost]]/(Scenario[[#This Row],[Total Coverage]]*100)</f>
        <v>62149.341849135395</v>
      </c>
      <c r="M94" s="295" cm="1">
        <f t="array" ref="M94">IF(AND(K94=MAX(K$10:K94), L94=MIN(IF(K$10:K94=K94, L$10:L94))), 1, 0)</f>
        <v>0</v>
      </c>
      <c r="N94" s="295">
        <f>IF(AND(Scenario[[#This Row],[Total Coverage]]&gt;=70%,Scenario[[#This Row],[Frontier]]=1),1,0)</f>
        <v>0</v>
      </c>
    </row>
    <row r="95" spans="1:14" x14ac:dyDescent="0.25">
      <c r="A95">
        <v>231</v>
      </c>
      <c r="B95">
        <v>0.75</v>
      </c>
      <c r="C95">
        <v>0.25</v>
      </c>
      <c r="D95">
        <v>0</v>
      </c>
      <c r="E95">
        <v>1</v>
      </c>
      <c r="F95">
        <v>0.75</v>
      </c>
      <c r="G95">
        <v>0.25</v>
      </c>
      <c r="H95">
        <v>1</v>
      </c>
      <c r="I95">
        <v>0</v>
      </c>
      <c r="J95" s="272">
        <f>$C$3*($C$4*$E$4*B94*$B$7)*$G$4+$C$3*($C$4*$E$5*D95*$D$7)*$G$4+$C$3*($C$4*$E$4*C95*$C$7)*$G$5+$C$3*($C$4*$E$5*E95*$E$7)*$G$5+$C$3*($C$5*$E$4*F95*$F$7)*$H$4+$C$3*($C$5*$E$5*H95*$H$7)*$H$4+$C$3*($C$5*$E$5*I95*$I$7)*$H$5+$C$3*($C$5*$E$4*G95*$G$7)*$H$5</f>
        <v>3067899.4495007093</v>
      </c>
      <c r="K95" s="277">
        <f>ROUND(($C$4*$E$4*B95*$B$7+$C$4*$E$4*C95*$C$7+$C$4*$E$5*D95*$D$7+$C$4*$E$5*E95*$E$7+($C$5*$E$4*F95*$F$7+$C$5*$E$4*G95*$G$7+$C$5*$E$5*H95*$H$7+$C$5*$E$5*I95*$I$7)),2)</f>
        <v>0.43</v>
      </c>
      <c r="L95" s="276">
        <f>Scenario[[#This Row],[Total Cost]]/(Scenario[[#This Row],[Total Coverage]]*100)</f>
        <v>71346.498825597897</v>
      </c>
      <c r="M95" s="295" cm="1">
        <f t="array" ref="M95">IF(AND(K95=MAX(K$10:K95), L95=MIN(IF(K$10:K95=K95, L$10:L95))), 1, 0)</f>
        <v>0</v>
      </c>
      <c r="N95" s="295">
        <f>IF(AND(Scenario[[#This Row],[Total Coverage]]&gt;=70%,Scenario[[#This Row],[Frontier]]=1),1,0)</f>
        <v>0</v>
      </c>
    </row>
    <row r="96" spans="1:14" x14ac:dyDescent="0.25">
      <c r="A96">
        <v>228</v>
      </c>
      <c r="B96">
        <v>0.75</v>
      </c>
      <c r="C96">
        <v>0.25</v>
      </c>
      <c r="D96">
        <v>0</v>
      </c>
      <c r="E96">
        <v>1</v>
      </c>
      <c r="F96">
        <v>1</v>
      </c>
      <c r="G96">
        <v>0</v>
      </c>
      <c r="H96">
        <v>0.5</v>
      </c>
      <c r="I96">
        <v>0.5</v>
      </c>
      <c r="J96" s="272">
        <f>$C$3*($C$4*$E$4*B95*$B$7)*$G$4+$C$3*($C$4*$E$5*D96*$D$7)*$G$4+$C$3*($C$4*$E$4*C96*$C$7)*$G$5+$C$3*($C$4*$E$5*E96*$E$7)*$G$5+$C$3*($C$5*$E$4*F96*$F$7)*$H$4+$C$3*($C$5*$E$5*H96*$H$7)*$H$4+$C$3*($C$5*$E$5*I96*$I$7)*$H$5+$C$3*($C$5*$E$4*G96*$G$7)*$H$5</f>
        <v>2886746.3483973774</v>
      </c>
      <c r="K96" s="277">
        <f>ROUND(($C$4*$E$4*B96*$B$7+$C$4*$E$4*C96*$C$7+$C$4*$E$5*D96*$D$7+$C$4*$E$5*E96*$E$7+($C$5*$E$4*F96*$F$7+$C$5*$E$4*G96*$G$7+$C$5*$E$5*H96*$H$7+$C$5*$E$5*I96*$I$7)),2)</f>
        <v>0.43</v>
      </c>
      <c r="L96" s="276">
        <f>Scenario[[#This Row],[Total Cost]]/(Scenario[[#This Row],[Total Coverage]]*100)</f>
        <v>67133.636009241338</v>
      </c>
      <c r="M96" s="295" cm="1">
        <f t="array" ref="M96">IF(AND(K96=MAX(K$10:K96), L96=MIN(IF(K$10:K96=K96, L$10:L96))), 1, 0)</f>
        <v>0</v>
      </c>
      <c r="N96" s="295">
        <f>IF(AND(Scenario[[#This Row],[Total Coverage]]&gt;=70%,Scenario[[#This Row],[Frontier]]=1),1,0)</f>
        <v>0</v>
      </c>
    </row>
    <row r="97" spans="1:14" x14ac:dyDescent="0.25">
      <c r="A97">
        <v>157</v>
      </c>
      <c r="B97">
        <v>0.75</v>
      </c>
      <c r="C97">
        <v>0.25</v>
      </c>
      <c r="D97">
        <v>0.75</v>
      </c>
      <c r="E97">
        <v>0.25</v>
      </c>
      <c r="F97">
        <v>0.75</v>
      </c>
      <c r="G97">
        <v>0.25</v>
      </c>
      <c r="H97">
        <v>0.75</v>
      </c>
      <c r="I97">
        <v>0.25</v>
      </c>
      <c r="J97" s="272">
        <f>$C$3*($C$4*$E$4*B96*$B$7)*$G$4+$C$3*($C$4*$E$5*D97*$D$7)*$G$4+$C$3*($C$4*$E$4*C97*$C$7)*$G$5+$C$3*($C$4*$E$5*E97*$E$7)*$G$5+$C$3*($C$5*$E$4*F97*$F$7)*$H$4+$C$3*($C$5*$E$5*H97*$H$7)*$H$4+$C$3*($C$5*$E$5*I97*$I$7)*$H$5+$C$3*($C$5*$E$4*G97*$G$7)*$H$5</f>
        <v>2788613.7417648947</v>
      </c>
      <c r="K97" s="277">
        <f>ROUND(($C$4*$E$4*B97*$B$7+$C$4*$E$4*C97*$C$7+$C$4*$E$5*D97*$D$7+$C$4*$E$5*E97*$E$7+($C$5*$E$4*F97*$F$7+$C$5*$E$4*G97*$G$7+$C$5*$E$5*H97*$H$7+$C$5*$E$5*I97*$I$7)),2)</f>
        <v>0.43</v>
      </c>
      <c r="L97" s="276">
        <f>Scenario[[#This Row],[Total Cost]]/(Scenario[[#This Row],[Total Coverage]]*100)</f>
        <v>64851.48236662546</v>
      </c>
      <c r="M97" s="295" cm="1">
        <f t="array" ref="M97">IF(AND(K97=MAX(K$10:K97), L97=MIN(IF(K$10:K97=K97, L$10:L97))), 1, 0)</f>
        <v>0</v>
      </c>
      <c r="N97" s="295">
        <f>IF(AND(Scenario[[#This Row],[Total Coverage]]&gt;=70%,Scenario[[#This Row],[Frontier]]=1),1,0)</f>
        <v>0</v>
      </c>
    </row>
    <row r="98" spans="1:14" x14ac:dyDescent="0.25">
      <c r="A98">
        <v>403</v>
      </c>
      <c r="B98">
        <v>0.25</v>
      </c>
      <c r="C98">
        <v>0.75</v>
      </c>
      <c r="D98">
        <v>0.75</v>
      </c>
      <c r="E98">
        <v>0.25</v>
      </c>
      <c r="F98">
        <v>1</v>
      </c>
      <c r="G98">
        <v>0</v>
      </c>
      <c r="H98">
        <v>0.5</v>
      </c>
      <c r="I98">
        <v>0.5</v>
      </c>
      <c r="J98" s="272">
        <f>$C$3*($C$4*$E$4*B97*$B$7)*$G$4+$C$3*($C$4*$E$5*D98*$D$7)*$G$4+$C$3*($C$4*$E$4*C98*$C$7)*$G$5+$C$3*($C$4*$E$5*E98*$E$7)*$G$5+$C$3*($C$5*$E$4*F98*$F$7)*$H$4+$C$3*($C$5*$E$5*H98*$H$7)*$H$4+$C$3*($C$5*$E$5*I98*$I$7)*$H$5+$C$3*($C$5*$E$4*G98*$G$7)*$H$5</f>
        <v>3319960.7971239649</v>
      </c>
      <c r="K98" s="277">
        <f>ROUND(($C$4*$E$4*B98*$B$7+$C$4*$E$4*C98*$C$7+$C$4*$E$5*D98*$D$7+$C$4*$E$5*E98*$E$7+($C$5*$E$4*F98*$F$7+$C$5*$E$4*G98*$G$7+$C$5*$E$5*H98*$H$7+$C$5*$E$5*I98*$I$7)),2)</f>
        <v>0.43</v>
      </c>
      <c r="L98" s="276">
        <f>Scenario[[#This Row],[Total Cost]]/(Scenario[[#This Row],[Total Coverage]]*100)</f>
        <v>77208.390630789887</v>
      </c>
      <c r="M98" s="295" cm="1">
        <f t="array" ref="M98">IF(AND(K98=MAX(K$10:K98), L98=MIN(IF(K$10:K98=K98, L$10:L98))), 1, 0)</f>
        <v>0</v>
      </c>
      <c r="N98" s="295">
        <f>IF(AND(Scenario[[#This Row],[Total Coverage]]&gt;=70%,Scenario[[#This Row],[Frontier]]=1),1,0)</f>
        <v>0</v>
      </c>
    </row>
    <row r="99" spans="1:14" x14ac:dyDescent="0.25">
      <c r="A99">
        <v>254</v>
      </c>
      <c r="B99">
        <v>0.5</v>
      </c>
      <c r="C99">
        <v>0.5</v>
      </c>
      <c r="D99">
        <v>1</v>
      </c>
      <c r="E99">
        <v>0</v>
      </c>
      <c r="F99">
        <v>1</v>
      </c>
      <c r="G99">
        <v>0</v>
      </c>
      <c r="H99">
        <v>0.25</v>
      </c>
      <c r="I99">
        <v>0.75</v>
      </c>
      <c r="J99" s="272">
        <f>$C$3*($C$4*$E$4*B98*$B$7)*$G$4+$C$3*($C$4*$E$5*D99*$D$7)*$G$4+$C$3*($C$4*$E$4*C99*$C$7)*$G$5+$C$3*($C$4*$E$5*E99*$E$7)*$G$5+$C$3*($C$5*$E$4*F99*$F$7)*$H$4+$C$3*($C$5*$E$5*H99*$H$7)*$H$4+$C$3*($C$5*$E$5*I99*$I$7)*$H$5+$C$3*($C$5*$E$4*G99*$G$7)*$H$5</f>
        <v>2809796.395972061</v>
      </c>
      <c r="K99" s="277">
        <f>ROUND(($C$4*$E$4*B99*$B$7+$C$4*$E$4*C99*$C$7+$C$4*$E$5*D99*$D$7+$C$4*$E$5*E99*$E$7+($C$5*$E$4*F99*$F$7+$C$5*$E$4*G99*$G$7+$C$5*$E$5*H99*$H$7+$C$5*$E$5*I99*$I$7)),2)</f>
        <v>0.43</v>
      </c>
      <c r="L99" s="276">
        <f>Scenario[[#This Row],[Total Cost]]/(Scenario[[#This Row],[Total Coverage]]*100)</f>
        <v>65344.102231908393</v>
      </c>
      <c r="M99" s="295" cm="1">
        <f t="array" ref="M99">IF(AND(K99=MAX(K$10:K99), L99=MIN(IF(K$10:K99=K99, L$10:L99))), 1, 0)</f>
        <v>0</v>
      </c>
      <c r="N99" s="295">
        <f>IF(AND(Scenario[[#This Row],[Total Coverage]]&gt;=70%,Scenario[[#This Row],[Frontier]]=1),1,0)</f>
        <v>0</v>
      </c>
    </row>
    <row r="100" spans="1:14" x14ac:dyDescent="0.25">
      <c r="A100">
        <v>306</v>
      </c>
      <c r="B100">
        <v>0.5</v>
      </c>
      <c r="C100">
        <v>0.5</v>
      </c>
      <c r="D100">
        <v>0.5</v>
      </c>
      <c r="E100">
        <v>0.5</v>
      </c>
      <c r="F100">
        <v>0.75</v>
      </c>
      <c r="G100">
        <v>0.25</v>
      </c>
      <c r="H100">
        <v>1</v>
      </c>
      <c r="I100">
        <v>0</v>
      </c>
      <c r="J100" s="272">
        <f>$C$3*($C$4*$E$4*B99*$B$7)*$G$4+$C$3*($C$4*$E$5*D100*$D$7)*$G$4+$C$3*($C$4*$E$4*C100*$C$7)*$G$5+$C$3*($C$4*$E$5*E100*$E$7)*$G$5+$C$3*($C$5*$E$4*F100*$F$7)*$H$4+$C$3*($C$5*$E$5*H100*$H$7)*$H$4+$C$3*($C$5*$E$5*I100*$I$7)*$H$5+$C$3*($C$5*$E$4*G100*$G$7)*$H$5</f>
        <v>2979549.2562220502</v>
      </c>
      <c r="K100" s="277">
        <f>ROUND(($C$4*$E$4*B100*$B$7+$C$4*$E$4*C100*$C$7+$C$4*$E$5*D100*$D$7+$C$4*$E$5*E100*$E$7+($C$5*$E$4*F100*$F$7+$C$5*$E$4*G100*$G$7+$C$5*$E$5*H100*$H$7+$C$5*$E$5*I100*$I$7)),2)</f>
        <v>0.43</v>
      </c>
      <c r="L100" s="276">
        <f>Scenario[[#This Row],[Total Cost]]/(Scenario[[#This Row],[Total Coverage]]*100)</f>
        <v>69291.843167954648</v>
      </c>
      <c r="M100" s="295" cm="1">
        <f t="array" ref="M100">IF(AND(K100=MAX(K$10:K100), L100=MIN(IF(K$10:K100=K100, L$10:L100))), 1, 0)</f>
        <v>0</v>
      </c>
      <c r="N100" s="295">
        <f>IF(AND(Scenario[[#This Row],[Total Coverage]]&gt;=70%,Scenario[[#This Row],[Frontier]]=1),1,0)</f>
        <v>0</v>
      </c>
    </row>
    <row r="101" spans="1:14" x14ac:dyDescent="0.25">
      <c r="A101">
        <v>552</v>
      </c>
      <c r="B101">
        <v>0</v>
      </c>
      <c r="C101">
        <v>1</v>
      </c>
      <c r="D101">
        <v>0.5</v>
      </c>
      <c r="E101">
        <v>0.5</v>
      </c>
      <c r="F101">
        <v>1</v>
      </c>
      <c r="G101">
        <v>0</v>
      </c>
      <c r="H101">
        <v>0.75</v>
      </c>
      <c r="I101">
        <v>0.25</v>
      </c>
      <c r="J101" s="272">
        <f>$C$3*($C$4*$E$4*B100*$B$7)*$G$4+$C$3*($C$4*$E$5*D101*$D$7)*$G$4+$C$3*($C$4*$E$4*C101*$C$7)*$G$5+$C$3*($C$4*$E$5*E101*$E$7)*$G$5+$C$3*($C$5*$E$4*F101*$F$7)*$H$4+$C$3*($C$5*$E$5*H101*$H$7)*$H$4+$C$3*($C$5*$E$5*I101*$I$7)*$H$5+$C$3*($C$5*$E$4*G101*$G$7)*$H$5</f>
        <v>3510896.3115811199</v>
      </c>
      <c r="K101" s="277">
        <f>ROUND(($C$4*$E$4*B101*$B$7+$C$4*$E$4*C101*$C$7+$C$4*$E$5*D101*$D$7+$C$4*$E$5*E101*$E$7+($C$5*$E$4*F101*$F$7+$C$5*$E$4*G101*$G$7+$C$5*$E$5*H101*$H$7+$C$5*$E$5*I101*$I$7)),2)</f>
        <v>0.43</v>
      </c>
      <c r="L101" s="276">
        <f>Scenario[[#This Row],[Total Cost]]/(Scenario[[#This Row],[Total Coverage]]*100)</f>
        <v>81648.751432119068</v>
      </c>
      <c r="M101" s="295" cm="1">
        <f t="array" ref="M101">IF(AND(K101=MAX(K$10:K101), L101=MIN(IF(K$10:K101=K101, L$10:L101))), 1, 0)</f>
        <v>0</v>
      </c>
      <c r="N101" s="295">
        <f>IF(AND(Scenario[[#This Row],[Total Coverage]]&gt;=70%,Scenario[[#This Row],[Frontier]]=1),1,0)</f>
        <v>0</v>
      </c>
    </row>
    <row r="102" spans="1:14" x14ac:dyDescent="0.25">
      <c r="A102">
        <v>30</v>
      </c>
      <c r="B102">
        <v>1</v>
      </c>
      <c r="C102">
        <v>0</v>
      </c>
      <c r="D102">
        <v>0.75</v>
      </c>
      <c r="E102">
        <v>0.25</v>
      </c>
      <c r="F102">
        <v>1</v>
      </c>
      <c r="G102">
        <v>0</v>
      </c>
      <c r="H102">
        <v>0</v>
      </c>
      <c r="I102">
        <v>1</v>
      </c>
      <c r="J102" s="272">
        <f>$C$3*($C$4*$E$4*B101*$B$7)*$G$4+$C$3*($C$4*$E$5*D102*$D$7)*$G$4+$C$3*($C$4*$E$4*C102*$C$7)*$G$5+$C$3*($C$4*$E$5*E102*$E$7)*$G$5+$C$3*($C$5*$E$4*F102*$F$7)*$H$4+$C$3*($C$5*$E$5*H102*$H$7)*$H$4+$C$3*($C$5*$E$5*I102*$I$7)*$H$5+$C$3*($C$5*$E$4*G102*$G$7)*$H$5</f>
        <v>2281572.5592005672</v>
      </c>
      <c r="K102" s="277">
        <f>ROUND(($C$4*$E$4*B102*$B$7+$C$4*$E$4*C102*$C$7+$C$4*$E$5*D102*$D$7+$C$4*$E$5*E102*$E$7+($C$5*$E$4*F102*$F$7+$C$5*$E$4*G102*$G$7+$C$5*$E$5*H102*$H$7+$C$5*$E$5*I102*$I$7)),2)</f>
        <v>0.44</v>
      </c>
      <c r="L102" s="276">
        <f>Scenario[[#This Row],[Total Cost]]/(Scenario[[#This Row],[Total Coverage]]*100)</f>
        <v>51853.921800012889</v>
      </c>
      <c r="M102" s="295" cm="1">
        <f t="array" ref="M102">IF(AND(K102=MAX(K$10:K102), L102=MIN(IF(K$10:K102=K102, L$10:L102))), 1, 0)</f>
        <v>1</v>
      </c>
      <c r="N102" s="295">
        <f>IF(AND(Scenario[[#This Row],[Total Coverage]]&gt;=70%,Scenario[[#This Row],[Frontier]]=1),1,0)</f>
        <v>0</v>
      </c>
    </row>
    <row r="103" spans="1:14" x14ac:dyDescent="0.25">
      <c r="A103">
        <v>104</v>
      </c>
      <c r="B103">
        <v>1</v>
      </c>
      <c r="C103">
        <v>0</v>
      </c>
      <c r="D103">
        <v>0</v>
      </c>
      <c r="E103">
        <v>1</v>
      </c>
      <c r="F103">
        <v>1</v>
      </c>
      <c r="G103">
        <v>0</v>
      </c>
      <c r="H103">
        <v>0.25</v>
      </c>
      <c r="I103">
        <v>0.75</v>
      </c>
      <c r="J103" s="272">
        <f>$C$3*($C$4*$E$4*B102*$B$7)*$G$4+$C$3*($C$4*$E$5*D103*$D$7)*$G$4+$C$3*($C$4*$E$4*C103*$C$7)*$G$5+$C$3*($C$4*$E$5*E103*$E$7)*$G$5+$C$3*($C$5*$E$4*F103*$F$7)*$H$4+$C$3*($C$5*$E$5*H103*$H$7)*$H$4+$C$3*($C$5*$E$5*I103*$I$7)*$H$5+$C$3*($C$5*$E$4*G103*$G$7)*$H$5</f>
        <v>2880087.1536311302</v>
      </c>
      <c r="K103" s="277">
        <f>ROUND(($C$4*$E$4*B103*$B$7+$C$4*$E$4*C103*$C$7+$C$4*$E$5*D103*$D$7+$C$4*$E$5*E103*$E$7+($C$5*$E$4*F103*$F$7+$C$5*$E$4*G103*$G$7+$C$5*$E$5*H103*$H$7+$C$5*$E$5*I103*$I$7)),2)</f>
        <v>0.44</v>
      </c>
      <c r="L103" s="276">
        <f>Scenario[[#This Row],[Total Cost]]/(Scenario[[#This Row],[Total Coverage]]*100)</f>
        <v>65456.526218889325</v>
      </c>
      <c r="M103" s="295" cm="1">
        <f t="array" ref="M103">IF(AND(K103=MAX(K$10:K103), L103=MIN(IF(K$10:K103=K103, L$10:L103))), 1, 0)</f>
        <v>0</v>
      </c>
      <c r="N103" s="295">
        <f>IF(AND(Scenario[[#This Row],[Total Coverage]]&gt;=70%,Scenario[[#This Row],[Frontier]]=1),1,0)</f>
        <v>0</v>
      </c>
    </row>
    <row r="104" spans="1:14" x14ac:dyDescent="0.25">
      <c r="A104">
        <v>33</v>
      </c>
      <c r="B104">
        <v>1</v>
      </c>
      <c r="C104">
        <v>0</v>
      </c>
      <c r="D104">
        <v>0.75</v>
      </c>
      <c r="E104">
        <v>0.25</v>
      </c>
      <c r="F104">
        <v>0.75</v>
      </c>
      <c r="G104">
        <v>0.25</v>
      </c>
      <c r="H104">
        <v>0.5</v>
      </c>
      <c r="I104">
        <v>0.5</v>
      </c>
      <c r="J104" s="272">
        <f>$C$3*($C$4*$E$4*B103*$B$7)*$G$4+$C$3*($C$4*$E$5*D104*$D$7)*$G$4+$C$3*($C$4*$E$4*C104*$C$7)*$G$5+$C$3*($C$4*$E$5*E104*$E$7)*$G$5+$C$3*($C$5*$E$4*F104*$F$7)*$H$4+$C$3*($C$5*$E$5*H104*$H$7)*$H$4+$C$3*($C$5*$E$5*I104*$I$7)*$H$5+$C$3*($C$5*$E$4*G104*$G$7)*$H$5</f>
        <v>2781954.5469986475</v>
      </c>
      <c r="K104" s="277">
        <f>ROUND(($C$4*$E$4*B104*$B$7+$C$4*$E$4*C104*$C$7+$C$4*$E$5*D104*$D$7+$C$4*$E$5*E104*$E$7+($C$5*$E$4*F104*$F$7+$C$5*$E$4*G104*$G$7+$C$5*$E$5*H104*$H$7+$C$5*$E$5*I104*$I$7)),2)</f>
        <v>0.44</v>
      </c>
      <c r="L104" s="276">
        <f>Scenario[[#This Row],[Total Cost]]/(Scenario[[#This Row],[Total Coverage]]*100)</f>
        <v>63226.239704514715</v>
      </c>
      <c r="M104" s="295" cm="1">
        <f t="array" ref="M104">IF(AND(K104=MAX(K$10:K104), L104=MIN(IF(K$10:K104=K104, L$10:L104))), 1, 0)</f>
        <v>0</v>
      </c>
      <c r="N104" s="295">
        <f>IF(AND(Scenario[[#This Row],[Total Coverage]]&gt;=70%,Scenario[[#This Row],[Frontier]]=1),1,0)</f>
        <v>0</v>
      </c>
    </row>
    <row r="105" spans="1:14" x14ac:dyDescent="0.25">
      <c r="A105">
        <v>179</v>
      </c>
      <c r="B105">
        <v>0.75</v>
      </c>
      <c r="C105">
        <v>0.25</v>
      </c>
      <c r="D105">
        <v>0.5</v>
      </c>
      <c r="E105">
        <v>0.5</v>
      </c>
      <c r="F105">
        <v>1</v>
      </c>
      <c r="G105">
        <v>0</v>
      </c>
      <c r="H105">
        <v>0.25</v>
      </c>
      <c r="I105">
        <v>0.75</v>
      </c>
      <c r="J105" s="272">
        <f>$C$3*($C$4*$E$4*B104*$B$7)*$G$4+$C$3*($C$4*$E$5*D105*$D$7)*$G$4+$C$3*($C$4*$E$4*C105*$C$7)*$G$5+$C$3*($C$4*$E$5*E105*$E$7)*$G$5+$C$3*($C$5*$E$4*F105*$F$7)*$H$4+$C$3*($C$5*$E$5*H105*$H$7)*$H$4+$C$3*($C$5*$E$5*I105*$I$7)*$H$5+$C$3*($C$5*$E$4*G105*$G$7)*$H$5</f>
        <v>3004556.21814897</v>
      </c>
      <c r="K105" s="277">
        <f>ROUND(($C$4*$E$4*B105*$B$7+$C$4*$E$4*C105*$C$7+$C$4*$E$5*D105*$D$7+$C$4*$E$5*E105*$E$7+($C$5*$E$4*F105*$F$7+$C$5*$E$4*G105*$G$7+$C$5*$E$5*H105*$H$7+$C$5*$E$5*I105*$I$7)),2)</f>
        <v>0.44</v>
      </c>
      <c r="L105" s="276">
        <f>Scenario[[#This Row],[Total Cost]]/(Scenario[[#This Row],[Total Coverage]]*100)</f>
        <v>68285.368594294778</v>
      </c>
      <c r="M105" s="295" cm="1">
        <f t="array" ref="M105">IF(AND(K105=MAX(K$10:K105), L105=MIN(IF(K$10:K105=K105, L$10:L105))), 1, 0)</f>
        <v>0</v>
      </c>
      <c r="N105" s="295">
        <f>IF(AND(Scenario[[#This Row],[Total Coverage]]&gt;=70%,Scenario[[#This Row],[Frontier]]=1),1,0)</f>
        <v>0</v>
      </c>
    </row>
    <row r="106" spans="1:14" x14ac:dyDescent="0.25">
      <c r="A106">
        <v>182</v>
      </c>
      <c r="B106">
        <v>0.75</v>
      </c>
      <c r="C106">
        <v>0.25</v>
      </c>
      <c r="D106">
        <v>0.5</v>
      </c>
      <c r="E106">
        <v>0.5</v>
      </c>
      <c r="F106">
        <v>0.75</v>
      </c>
      <c r="G106">
        <v>0.25</v>
      </c>
      <c r="H106">
        <v>0.75</v>
      </c>
      <c r="I106">
        <v>0.25</v>
      </c>
      <c r="J106" s="272">
        <f>$C$3*($C$4*$E$4*B105*$B$7)*$G$4+$C$3*($C$4*$E$5*D106*$D$7)*$G$4+$C$3*($C$4*$E$4*C106*$C$7)*$G$5+$C$3*($C$4*$E$5*E106*$E$7)*$G$5+$C$3*($C$5*$E$4*F106*$F$7)*$H$4+$C$3*($C$5*$E$5*H106*$H$7)*$H$4+$C$3*($C$5*$E$5*I106*$I$7)*$H$5+$C$3*($C$5*$E$4*G106*$G$7)*$H$5</f>
        <v>2972890.061455803</v>
      </c>
      <c r="K106" s="277">
        <f>ROUND(($C$4*$E$4*B106*$B$7+$C$4*$E$4*C106*$C$7+$C$4*$E$5*D106*$D$7+$C$4*$E$5*E106*$E$7+($C$5*$E$4*F106*$F$7+$C$5*$E$4*G106*$G$7+$C$5*$E$5*H106*$H$7+$C$5*$E$5*I106*$I$7)),2)</f>
        <v>0.44</v>
      </c>
      <c r="L106" s="276">
        <f>Scenario[[#This Row],[Total Cost]]/(Scenario[[#This Row],[Total Coverage]]*100)</f>
        <v>67565.683214904609</v>
      </c>
      <c r="M106" s="295" cm="1">
        <f t="array" ref="M106">IF(AND(K106=MAX(K$10:K106), L106=MIN(IF(K$10:K106=K106, L$10:L106))), 1, 0)</f>
        <v>0</v>
      </c>
      <c r="N106" s="295">
        <f>IF(AND(Scenario[[#This Row],[Total Coverage]]&gt;=70%,Scenario[[#This Row],[Frontier]]=1),1,0)</f>
        <v>0</v>
      </c>
    </row>
    <row r="107" spans="1:14" x14ac:dyDescent="0.25">
      <c r="A107">
        <v>331</v>
      </c>
      <c r="B107">
        <v>0.5</v>
      </c>
      <c r="C107">
        <v>0.5</v>
      </c>
      <c r="D107">
        <v>0.25</v>
      </c>
      <c r="E107">
        <v>0.75</v>
      </c>
      <c r="F107">
        <v>0.75</v>
      </c>
      <c r="G107">
        <v>0.25</v>
      </c>
      <c r="H107">
        <v>1</v>
      </c>
      <c r="I107">
        <v>0</v>
      </c>
      <c r="J107" s="272">
        <f>$C$3*($C$4*$E$4*B106*$B$7)*$G$4+$C$3*($C$4*$E$5*D107*$D$7)*$G$4+$C$3*($C$4*$E$4*C107*$C$7)*$G$5+$C$3*($C$4*$E$5*E107*$E$7)*$G$5+$C$3*($C$5*$E$4*F107*$F$7)*$H$4+$C$3*($C$5*$E$5*H107*$H$7)*$H$4+$C$3*($C$5*$E$5*I107*$I$7)*$H$5+$C$3*($C$5*$E$4*G107*$G$7)*$H$5</f>
        <v>3270235.2048112075</v>
      </c>
      <c r="K107" s="277">
        <f>ROUND(($C$4*$E$4*B107*$B$7+$C$4*$E$4*C107*$C$7+$C$4*$E$5*D107*$D$7+$C$4*$E$5*E107*$E$7+($C$5*$E$4*F107*$F$7+$C$5*$E$4*G107*$G$7+$C$5*$E$5*H107*$H$7+$C$5*$E$5*I107*$I$7)),2)</f>
        <v>0.44</v>
      </c>
      <c r="L107" s="276">
        <f>Scenario[[#This Row],[Total Cost]]/(Scenario[[#This Row],[Total Coverage]]*100)</f>
        <v>74323.527382072891</v>
      </c>
      <c r="M107" s="295" cm="1">
        <f t="array" ref="M107">IF(AND(K107=MAX(K$10:K107), L107=MIN(IF(K$10:K107=K107, L$10:L107))), 1, 0)</f>
        <v>0</v>
      </c>
      <c r="N107" s="295">
        <f>IF(AND(Scenario[[#This Row],[Total Coverage]]&gt;=70%,Scenario[[#This Row],[Frontier]]=1),1,0)</f>
        <v>0</v>
      </c>
    </row>
    <row r="108" spans="1:14" x14ac:dyDescent="0.25">
      <c r="A108">
        <v>328</v>
      </c>
      <c r="B108">
        <v>0.5</v>
      </c>
      <c r="C108">
        <v>0.5</v>
      </c>
      <c r="D108">
        <v>0.25</v>
      </c>
      <c r="E108">
        <v>0.75</v>
      </c>
      <c r="F108">
        <v>1</v>
      </c>
      <c r="G108">
        <v>0</v>
      </c>
      <c r="H108">
        <v>0.5</v>
      </c>
      <c r="I108">
        <v>0.5</v>
      </c>
      <c r="J108" s="272">
        <f>$C$3*($C$4*$E$4*B107*$B$7)*$G$4+$C$3*($C$4*$E$5*D108*$D$7)*$G$4+$C$3*($C$4*$E$4*C108*$C$7)*$G$5+$C$3*($C$4*$E$5*E108*$E$7)*$G$5+$C$3*($C$5*$E$4*F108*$F$7)*$H$4+$C$3*($C$5*$E$5*H108*$H$7)*$H$4+$C$3*($C$5*$E$5*I108*$I$7)*$H$5+$C$3*($C$5*$E$4*G108*$G$7)*$H$5</f>
        <v>3089082.1037078756</v>
      </c>
      <c r="K108" s="277">
        <f>ROUND(($C$4*$E$4*B108*$B$7+$C$4*$E$4*C108*$C$7+$C$4*$E$5*D108*$D$7+$C$4*$E$5*E108*$E$7+($C$5*$E$4*F108*$F$7+$C$5*$E$4*G108*$G$7+$C$5*$E$5*H108*$H$7+$C$5*$E$5*I108*$I$7)),2)</f>
        <v>0.44</v>
      </c>
      <c r="L108" s="276">
        <f>Scenario[[#This Row],[Total Cost]]/(Scenario[[#This Row],[Total Coverage]]*100)</f>
        <v>70206.41144790627</v>
      </c>
      <c r="M108" s="295" cm="1">
        <f t="array" ref="M108">IF(AND(K108=MAX(K$10:K108), L108=MIN(IF(K$10:K108=K108, L$10:L108))), 1, 0)</f>
        <v>0</v>
      </c>
      <c r="N108" s="295">
        <f>IF(AND(Scenario[[#This Row],[Total Coverage]]&gt;=70%,Scenario[[#This Row],[Frontier]]=1),1,0)</f>
        <v>0</v>
      </c>
    </row>
    <row r="109" spans="1:14" x14ac:dyDescent="0.25">
      <c r="A109">
        <v>257</v>
      </c>
      <c r="B109">
        <v>0.5</v>
      </c>
      <c r="C109">
        <v>0.5</v>
      </c>
      <c r="D109">
        <v>1</v>
      </c>
      <c r="E109">
        <v>0</v>
      </c>
      <c r="F109">
        <v>0.75</v>
      </c>
      <c r="G109">
        <v>0.25</v>
      </c>
      <c r="H109">
        <v>0.75</v>
      </c>
      <c r="I109">
        <v>0.25</v>
      </c>
      <c r="J109" s="272">
        <f>$C$3*($C$4*$E$4*B108*$B$7)*$G$4+$C$3*($C$4*$E$5*D109*$D$7)*$G$4+$C$3*($C$4*$E$4*C109*$C$7)*$G$5+$C$3*($C$4*$E$5*E109*$E$7)*$G$5+$C$3*($C$5*$E$4*F109*$F$7)*$H$4+$C$3*($C$5*$E$5*H109*$H$7)*$H$4+$C$3*($C$5*$E$5*I109*$I$7)*$H$5+$C$3*($C$5*$E$4*G109*$G$7)*$H$5</f>
        <v>2990949.4970753929</v>
      </c>
      <c r="K109" s="277">
        <f>ROUND(($C$4*$E$4*B109*$B$7+$C$4*$E$4*C109*$C$7+$C$4*$E$5*D109*$D$7+$C$4*$E$5*E109*$E$7+($C$5*$E$4*F109*$F$7+$C$5*$E$4*G109*$G$7+$C$5*$E$5*H109*$H$7+$C$5*$E$5*I109*$I$7)),2)</f>
        <v>0.44</v>
      </c>
      <c r="L109" s="276">
        <f>Scenario[[#This Row],[Total Cost]]/(Scenario[[#This Row],[Total Coverage]]*100)</f>
        <v>67976.124933531653</v>
      </c>
      <c r="M109" s="295" cm="1">
        <f t="array" ref="M109">IF(AND(K109=MAX(K$10:K109), L109=MIN(IF(K$10:K109=K109, L$10:L109))), 1, 0)</f>
        <v>0</v>
      </c>
      <c r="N109" s="295">
        <f>IF(AND(Scenario[[#This Row],[Total Coverage]]&gt;=70%,Scenario[[#This Row],[Frontier]]=1),1,0)</f>
        <v>0</v>
      </c>
    </row>
    <row r="110" spans="1:14" x14ac:dyDescent="0.25">
      <c r="A110">
        <v>406</v>
      </c>
      <c r="B110">
        <v>0.25</v>
      </c>
      <c r="C110">
        <v>0.75</v>
      </c>
      <c r="D110">
        <v>0.75</v>
      </c>
      <c r="E110">
        <v>0.25</v>
      </c>
      <c r="F110">
        <v>0.75</v>
      </c>
      <c r="G110">
        <v>0.25</v>
      </c>
      <c r="H110">
        <v>1</v>
      </c>
      <c r="I110">
        <v>0</v>
      </c>
      <c r="J110" s="272">
        <f>$C$3*($C$4*$E$4*B109*$B$7)*$G$4+$C$3*($C$4*$E$5*D110*$D$7)*$G$4+$C$3*($C$4*$E$4*C110*$C$7)*$G$5+$C$3*($C$4*$E$5*E110*$E$7)*$G$5+$C$3*($C$5*$E$4*F110*$F$7)*$H$4+$C$3*($C$5*$E$5*H110*$H$7)*$H$4+$C$3*($C$5*$E$5*I110*$I$7)*$H$5+$C$3*($C$5*$E$4*G110*$G$7)*$H$5</f>
        <v>3288294.6404307978</v>
      </c>
      <c r="K110" s="277">
        <f>ROUND(($C$4*$E$4*B110*$B$7+$C$4*$E$4*C110*$C$7+$C$4*$E$5*D110*$D$7+$C$4*$E$5*E110*$E$7+($C$5*$E$4*F110*$F$7+$C$5*$E$4*G110*$G$7+$C$5*$E$5*H110*$H$7+$C$5*$E$5*I110*$I$7)),2)</f>
        <v>0.44</v>
      </c>
      <c r="L110" s="276">
        <f>Scenario[[#This Row],[Total Cost]]/(Scenario[[#This Row],[Total Coverage]]*100)</f>
        <v>74733.969100699949</v>
      </c>
      <c r="M110" s="295" cm="1">
        <f t="array" ref="M110">IF(AND(K110=MAX(K$10:K110), L110=MIN(IF(K$10:K110=K110, L$10:L110))), 1, 0)</f>
        <v>0</v>
      </c>
      <c r="N110" s="295">
        <f>IF(AND(Scenario[[#This Row],[Total Coverage]]&gt;=70%,Scenario[[#This Row],[Frontier]]=1),1,0)</f>
        <v>0</v>
      </c>
    </row>
    <row r="111" spans="1:14" x14ac:dyDescent="0.25">
      <c r="A111">
        <v>506</v>
      </c>
      <c r="B111">
        <v>0</v>
      </c>
      <c r="C111">
        <v>1</v>
      </c>
      <c r="D111">
        <v>1</v>
      </c>
      <c r="E111">
        <v>0</v>
      </c>
      <c r="F111">
        <v>0.75</v>
      </c>
      <c r="G111">
        <v>0.25</v>
      </c>
      <c r="H111">
        <v>1</v>
      </c>
      <c r="I111">
        <v>0</v>
      </c>
      <c r="J111" s="272">
        <f>$C$3*($C$4*$E$4*B110*$B$7)*$G$4+$C$3*($C$4*$E$5*D111*$D$7)*$G$4+$C$3*($C$4*$E$4*C111*$C$7)*$G$5+$C$3*($C$4*$E$5*E111*$E$7)*$G$5+$C$3*($C$5*$E$4*F111*$F$7)*$H$4+$C$3*($C$5*$E$5*H111*$H$7)*$H$4+$C$3*($C$5*$E$5*I111*$I$7)*$H$5+$C$3*($C$5*$E$4*G111*$G$7)*$H$5</f>
        <v>3490630.395741296</v>
      </c>
      <c r="K111" s="277">
        <f>ROUND(($C$4*$E$4*B111*$B$7+$C$4*$E$4*C111*$C$7+$C$4*$E$5*D111*$D$7+$C$4*$E$5*E111*$E$7+($C$5*$E$4*F111*$F$7+$C$5*$E$4*G111*$G$7+$C$5*$E$5*H111*$H$7+$C$5*$E$5*I111*$I$7)),2)</f>
        <v>0.44</v>
      </c>
      <c r="L111" s="276">
        <f>Scenario[[#This Row],[Total Cost]]/(Scenario[[#This Row],[Total Coverage]]*100)</f>
        <v>79332.508994120362</v>
      </c>
      <c r="M111" s="295" cm="1">
        <f t="array" ref="M111">IF(AND(K111=MAX(K$10:K111), L111=MIN(IF(K$10:K111=K111, L$10:L111))), 1, 0)</f>
        <v>0</v>
      </c>
      <c r="N111" s="295">
        <f>IF(AND(Scenario[[#This Row],[Total Coverage]]&gt;=70%,Scenario[[#This Row],[Frontier]]=1),1,0)</f>
        <v>0</v>
      </c>
    </row>
    <row r="112" spans="1:14" x14ac:dyDescent="0.25">
      <c r="A112">
        <v>477</v>
      </c>
      <c r="B112">
        <v>0.25</v>
      </c>
      <c r="C112">
        <v>0.75</v>
      </c>
      <c r="D112">
        <v>0</v>
      </c>
      <c r="E112">
        <v>1</v>
      </c>
      <c r="F112">
        <v>1</v>
      </c>
      <c r="G112">
        <v>0</v>
      </c>
      <c r="H112">
        <v>0.75</v>
      </c>
      <c r="I112">
        <v>0.25</v>
      </c>
      <c r="J112" s="272">
        <f>$C$3*($C$4*$E$4*B111*$B$7)*$G$4+$C$3*($C$4*$E$5*D112*$D$7)*$G$4+$C$3*($C$4*$E$4*C112*$C$7)*$G$5+$C$3*($C$4*$E$5*E112*$E$7)*$G$5+$C$3*($C$5*$E$4*F112*$F$7)*$H$4+$C$3*($C$5*$E$5*H112*$H$7)*$H$4+$C$3*($C$5*$E$5*I112*$I$7)*$H$5+$C$3*($C$5*$E$4*G112*$G$7)*$H$5</f>
        <v>3173607.9892667811</v>
      </c>
      <c r="K112" s="277">
        <f>ROUND(($C$4*$E$4*B112*$B$7+$C$4*$E$4*C112*$C$7+$C$4*$E$5*D112*$D$7+$C$4*$E$5*E112*$E$7+($C$5*$E$4*F112*$F$7+$C$5*$E$4*G112*$G$7+$C$5*$E$5*H112*$H$7+$C$5*$E$5*I112*$I$7)),2)</f>
        <v>0.44</v>
      </c>
      <c r="L112" s="276">
        <f>Scenario[[#This Row],[Total Cost]]/(Scenario[[#This Row],[Total Coverage]]*100)</f>
        <v>72127.454301517748</v>
      </c>
      <c r="M112" s="295" cm="1">
        <f t="array" ref="M112">IF(AND(K112=MAX(K$10:K112), L112=MIN(IF(K$10:K112=K112, L$10:L112))), 1, 0)</f>
        <v>0</v>
      </c>
      <c r="N112" s="295">
        <f>IF(AND(Scenario[[#This Row],[Total Coverage]]&gt;=70%,Scenario[[#This Row],[Frontier]]=1),1,0)</f>
        <v>0</v>
      </c>
    </row>
    <row r="113" spans="1:14" x14ac:dyDescent="0.25">
      <c r="A113">
        <v>503</v>
      </c>
      <c r="B113">
        <v>0</v>
      </c>
      <c r="C113">
        <v>1</v>
      </c>
      <c r="D113">
        <v>1</v>
      </c>
      <c r="E113">
        <v>0</v>
      </c>
      <c r="F113">
        <v>1</v>
      </c>
      <c r="G113">
        <v>0</v>
      </c>
      <c r="H113">
        <v>0.5</v>
      </c>
      <c r="I113">
        <v>0.5</v>
      </c>
      <c r="J113" s="272">
        <f>$C$3*($C$4*$E$4*B112*$B$7)*$G$4+$C$3*($C$4*$E$5*D113*$D$7)*$G$4+$C$3*($C$4*$E$4*C113*$C$7)*$G$5+$C$3*($C$4*$E$5*E113*$E$7)*$G$5+$C$3*($C$5*$E$4*F113*$F$7)*$H$4+$C$3*($C$5*$E$5*H113*$H$7)*$H$4+$C$3*($C$5*$E$5*I113*$I$7)*$H$5+$C$3*($C$5*$E$4*G113*$G$7)*$H$5</f>
        <v>3415886.9235362131</v>
      </c>
      <c r="K113" s="277">
        <f>ROUND(($C$4*$E$4*B113*$B$7+$C$4*$E$4*C113*$C$7+$C$4*$E$5*D113*$D$7+$C$4*$E$5*E113*$E$7+($C$5*$E$4*F113*$F$7+$C$5*$E$4*G113*$G$7+$C$5*$E$5*H113*$H$7+$C$5*$E$5*I113*$I$7)),2)</f>
        <v>0.44</v>
      </c>
      <c r="L113" s="276">
        <f>Scenario[[#This Row],[Total Cost]]/(Scenario[[#This Row],[Total Coverage]]*100)</f>
        <v>77633.793716732122</v>
      </c>
      <c r="M113" s="295" cm="1">
        <f t="array" ref="M113">IF(AND(K113=MAX(K$10:K113), L113=MIN(IF(K$10:K113=K113, L$10:L113))), 1, 0)</f>
        <v>0</v>
      </c>
      <c r="N113" s="295">
        <f>IF(AND(Scenario[[#This Row],[Total Coverage]]&gt;=70%,Scenario[[#This Row],[Frontier]]=1),1,0)</f>
        <v>0</v>
      </c>
    </row>
    <row r="114" spans="1:14" x14ac:dyDescent="0.25">
      <c r="A114">
        <v>577</v>
      </c>
      <c r="B114">
        <v>0</v>
      </c>
      <c r="C114">
        <v>1</v>
      </c>
      <c r="D114">
        <v>0.25</v>
      </c>
      <c r="E114">
        <v>0.75</v>
      </c>
      <c r="F114">
        <v>1</v>
      </c>
      <c r="G114">
        <v>0</v>
      </c>
      <c r="H114">
        <v>0.75</v>
      </c>
      <c r="I114">
        <v>0.25</v>
      </c>
      <c r="J114" s="272">
        <f>$C$3*($C$4*$E$4*B113*$B$7)*$G$4+$C$3*($C$4*$E$5*D114*$D$7)*$G$4+$C$3*($C$4*$E$4*C114*$C$7)*$G$5+$C$3*($C$4*$E$5*E114*$E$7)*$G$5+$C$3*($C$5*$E$4*F114*$F$7)*$H$4+$C$3*($C$5*$E$5*H114*$H$7)*$H$4+$C$3*($C$5*$E$5*I114*$I$7)*$H$5+$C$3*($C$5*$E$4*G114*$G$7)*$H$5</f>
        <v>3482353.3734755293</v>
      </c>
      <c r="K114" s="277">
        <f>ROUND(($C$4*$E$4*B114*$B$7+$C$4*$E$4*C114*$C$7+$C$4*$E$5*D114*$D$7+$C$4*$E$5*E114*$E$7+($C$5*$E$4*F114*$F$7+$C$5*$E$4*G114*$G$7+$C$5*$E$5*H114*$H$7+$C$5*$E$5*I114*$I$7)),2)</f>
        <v>0.44</v>
      </c>
      <c r="L114" s="276">
        <f>Scenario[[#This Row],[Total Cost]]/(Scenario[[#This Row],[Total Coverage]]*100)</f>
        <v>79144.39485171657</v>
      </c>
      <c r="M114" s="295" cm="1">
        <f t="array" ref="M114">IF(AND(K114=MAX(K$10:K114), L114=MIN(IF(K$10:K114=K114, L$10:L114))), 1, 0)</f>
        <v>0</v>
      </c>
      <c r="N114" s="295">
        <f>IF(AND(Scenario[[#This Row],[Total Coverage]]&gt;=70%,Scenario[[#This Row],[Frontier]]=1),1,0)</f>
        <v>0</v>
      </c>
    </row>
    <row r="115" spans="1:14" x14ac:dyDescent="0.25">
      <c r="A115">
        <v>107</v>
      </c>
      <c r="B115">
        <v>1</v>
      </c>
      <c r="C115">
        <v>0</v>
      </c>
      <c r="D115">
        <v>0</v>
      </c>
      <c r="E115">
        <v>1</v>
      </c>
      <c r="F115">
        <v>0.75</v>
      </c>
      <c r="G115">
        <v>0.25</v>
      </c>
      <c r="H115">
        <v>0.75</v>
      </c>
      <c r="I115">
        <v>0.25</v>
      </c>
      <c r="J115" s="272">
        <f>$C$3*($C$4*$E$4*B114*$B$7)*$G$4+$C$3*($C$4*$E$5*D115*$D$7)*$G$4+$C$3*($C$4*$E$4*C115*$C$7)*$G$5+$C$3*($C$4*$E$5*E115*$E$7)*$G$5+$C$3*($C$5*$E$4*F115*$F$7)*$H$4+$C$3*($C$5*$E$5*H115*$H$7)*$H$4+$C$3*($C$5*$E$5*I115*$I$7)*$H$5+$C$3*($C$5*$E$4*G115*$G$7)*$H$5</f>
        <v>2529192.1102432152</v>
      </c>
      <c r="K115" s="277">
        <f>ROUND(($C$4*$E$4*B115*$B$7+$C$4*$E$4*C115*$C$7+$C$4*$E$5*D115*$D$7+$C$4*$E$5*E115*$E$7+($C$5*$E$4*F115*$F$7+$C$5*$E$4*G115*$G$7+$C$5*$E$5*H115*$H$7+$C$5*$E$5*I115*$I$7)),2)</f>
        <v>0.45</v>
      </c>
      <c r="L115" s="276">
        <f>Scenario[[#This Row],[Total Cost]]/(Scenario[[#This Row],[Total Coverage]]*100)</f>
        <v>56204.26911651589</v>
      </c>
      <c r="M115" s="295" cm="1">
        <f t="array" ref="M115">IF(AND(K115=MAX(K$10:K115), L115=MIN(IF(K$10:K115=K115, L$10:L115))), 1, 0)</f>
        <v>1</v>
      </c>
      <c r="N115" s="295">
        <f>IF(AND(Scenario[[#This Row],[Total Coverage]]&gt;=70%,Scenario[[#This Row],[Frontier]]=1),1,0)</f>
        <v>0</v>
      </c>
    </row>
    <row r="116" spans="1:14" x14ac:dyDescent="0.25">
      <c r="A116">
        <v>55</v>
      </c>
      <c r="B116">
        <v>1</v>
      </c>
      <c r="C116">
        <v>0</v>
      </c>
      <c r="D116">
        <v>0.5</v>
      </c>
      <c r="E116">
        <v>0.5</v>
      </c>
      <c r="F116">
        <v>1</v>
      </c>
      <c r="G116">
        <v>0</v>
      </c>
      <c r="H116">
        <v>0</v>
      </c>
      <c r="I116">
        <v>1</v>
      </c>
      <c r="J116" s="272">
        <f>$C$3*($C$4*$E$4*B115*$B$7)*$G$4+$C$3*($C$4*$E$5*D116*$D$7)*$G$4+$C$3*($C$4*$E$4*C116*$C$7)*$G$5+$C$3*($C$4*$E$5*E116*$E$7)*$G$5+$C$3*($C$5*$E$4*F116*$F$7)*$H$4+$C$3*($C$5*$E$5*H116*$H$7)*$H$4+$C$3*($C$5*$E$5*I116*$I$7)*$H$5+$C$3*($C$5*$E$4*G116*$G$7)*$H$5</f>
        <v>2891487.3944844734</v>
      </c>
      <c r="K116" s="277">
        <f>ROUND(($C$4*$E$4*B116*$B$7+$C$4*$E$4*C116*$C$7+$C$4*$E$5*D116*$D$7+$C$4*$E$5*E116*$E$7+($C$5*$E$4*F116*$F$7+$C$5*$E$4*G116*$G$7+$C$5*$E$5*H116*$H$7+$C$5*$E$5*I116*$I$7)),2)</f>
        <v>0.45</v>
      </c>
      <c r="L116" s="276">
        <f>Scenario[[#This Row],[Total Cost]]/(Scenario[[#This Row],[Total Coverage]]*100)</f>
        <v>64255.275432988296</v>
      </c>
      <c r="M116" s="295" cm="1">
        <f t="array" ref="M116">IF(AND(K116=MAX(K$10:K116), L116=MIN(IF(K$10:K116=K116, L$10:L116))), 1, 0)</f>
        <v>0</v>
      </c>
      <c r="N116" s="295">
        <f>IF(AND(Scenario[[#This Row],[Total Coverage]]&gt;=70%,Scenario[[#This Row],[Frontier]]=1),1,0)</f>
        <v>0</v>
      </c>
    </row>
    <row r="117" spans="1:14" x14ac:dyDescent="0.25">
      <c r="A117">
        <v>36</v>
      </c>
      <c r="B117">
        <v>1</v>
      </c>
      <c r="C117">
        <v>0</v>
      </c>
      <c r="D117">
        <v>0.75</v>
      </c>
      <c r="E117">
        <v>0.25</v>
      </c>
      <c r="F117">
        <v>0.5</v>
      </c>
      <c r="G117">
        <v>0.5</v>
      </c>
      <c r="H117">
        <v>1</v>
      </c>
      <c r="I117">
        <v>0</v>
      </c>
      <c r="J117" s="272">
        <f>$C$3*($C$4*$E$4*B116*$B$7)*$G$4+$C$3*($C$4*$E$5*D117*$D$7)*$G$4+$C$3*($C$4*$E$4*C117*$C$7)*$G$5+$C$3*($C$4*$E$5*E117*$E$7)*$G$5+$C$3*($C$5*$E$4*F117*$F$7)*$H$4+$C$3*($C$5*$E$5*H117*$H$7)*$H$4+$C$3*($C$5*$E$5*I117*$I$7)*$H$5+$C$3*($C$5*$E$4*G117*$G$7)*$H$5</f>
        <v>2856698.0192037304</v>
      </c>
      <c r="K117" s="277">
        <f>ROUND(($C$4*$E$4*B117*$B$7+$C$4*$E$4*C117*$C$7+$C$4*$E$5*D117*$D$7+$C$4*$E$5*E117*$E$7+($C$5*$E$4*F117*$F$7+$C$5*$E$4*G117*$G$7+$C$5*$E$5*H117*$H$7+$C$5*$E$5*I117*$I$7)),2)</f>
        <v>0.45</v>
      </c>
      <c r="L117" s="276">
        <f>Scenario[[#This Row],[Total Cost]]/(Scenario[[#This Row],[Total Coverage]]*100)</f>
        <v>63482.178204527343</v>
      </c>
      <c r="M117" s="295" cm="1">
        <f t="array" ref="M117">IF(AND(K117=MAX(K$10:K117), L117=MIN(IF(K$10:K117=K117, L$10:L117))), 1, 0)</f>
        <v>0</v>
      </c>
      <c r="N117" s="295">
        <f>IF(AND(Scenario[[#This Row],[Total Coverage]]&gt;=70%,Scenario[[#This Row],[Frontier]]=1),1,0)</f>
        <v>0</v>
      </c>
    </row>
    <row r="118" spans="1:14" x14ac:dyDescent="0.25">
      <c r="A118">
        <v>204</v>
      </c>
      <c r="B118">
        <v>0.75</v>
      </c>
      <c r="C118">
        <v>0.25</v>
      </c>
      <c r="D118">
        <v>0.25</v>
      </c>
      <c r="E118">
        <v>0.75</v>
      </c>
      <c r="F118">
        <v>1</v>
      </c>
      <c r="G118">
        <v>0</v>
      </c>
      <c r="H118">
        <v>0.25</v>
      </c>
      <c r="I118">
        <v>0.75</v>
      </c>
      <c r="J118" s="272">
        <f>$C$3*($C$4*$E$4*B117*$B$7)*$G$4+$C$3*($C$4*$E$5*D118*$D$7)*$G$4+$C$3*($C$4*$E$4*C118*$C$7)*$G$5+$C$3*($C$4*$E$5*E118*$E$7)*$G$5+$C$3*($C$5*$E$4*F118*$F$7)*$H$4+$C$3*($C$5*$E$5*H118*$H$7)*$H$4+$C$3*($C$5*$E$5*I118*$I$7)*$H$5+$C$3*($C$5*$E$4*G118*$G$7)*$H$5</f>
        <v>3188832.5378398784</v>
      </c>
      <c r="K118" s="277">
        <f>ROUND(($C$4*$E$4*B118*$B$7+$C$4*$E$4*C118*$C$7+$C$4*$E$5*D118*$D$7+$C$4*$E$5*E118*$E$7+($C$5*$E$4*F118*$F$7+$C$5*$E$4*G118*$G$7+$C$5*$E$5*H118*$H$7+$C$5*$E$5*I118*$I$7)),2)</f>
        <v>0.45</v>
      </c>
      <c r="L118" s="276">
        <f>Scenario[[#This Row],[Total Cost]]/(Scenario[[#This Row],[Total Coverage]]*100)</f>
        <v>70862.945285330628</v>
      </c>
      <c r="M118" s="295" cm="1">
        <f t="array" ref="M118">IF(AND(K118=MAX(K$10:K118), L118=MIN(IF(K$10:K118=K118, L$10:L118))), 1, 0)</f>
        <v>0</v>
      </c>
      <c r="N118" s="295">
        <f>IF(AND(Scenario[[#This Row],[Total Coverage]]&gt;=70%,Scenario[[#This Row],[Frontier]]=1),1,0)</f>
        <v>0</v>
      </c>
    </row>
    <row r="119" spans="1:14" x14ac:dyDescent="0.25">
      <c r="A119">
        <v>133</v>
      </c>
      <c r="B119">
        <v>0.75</v>
      </c>
      <c r="C119">
        <v>0.25</v>
      </c>
      <c r="D119">
        <v>1</v>
      </c>
      <c r="E119">
        <v>0</v>
      </c>
      <c r="F119">
        <v>0.75</v>
      </c>
      <c r="G119">
        <v>0.25</v>
      </c>
      <c r="H119">
        <v>0.5</v>
      </c>
      <c r="I119">
        <v>0.5</v>
      </c>
      <c r="J119" s="272">
        <f>$C$3*($C$4*$E$4*B118*$B$7)*$G$4+$C$3*($C$4*$E$5*D119*$D$7)*$G$4+$C$3*($C$4*$E$4*C119*$C$7)*$G$5+$C$3*($C$4*$E$5*E119*$E$7)*$G$5+$C$3*($C$5*$E$4*F119*$F$7)*$H$4+$C$3*($C$5*$E$5*H119*$H$7)*$H$4+$C$3*($C$5*$E$5*I119*$I$7)*$H$5+$C$3*($C$5*$E$4*G119*$G$7)*$H$5</f>
        <v>2984290.3023091462</v>
      </c>
      <c r="K119" s="277">
        <f>ROUND(($C$4*$E$4*B119*$B$7+$C$4*$E$4*C119*$C$7+$C$4*$E$5*D119*$D$7+$C$4*$E$5*E119*$E$7+($C$5*$E$4*F119*$F$7+$C$5*$E$4*G119*$G$7+$C$5*$E$5*H119*$H$7+$C$5*$E$5*I119*$I$7)),2)</f>
        <v>0.45</v>
      </c>
      <c r="L119" s="276">
        <f>Scenario[[#This Row],[Total Cost]]/(Scenario[[#This Row],[Total Coverage]]*100)</f>
        <v>66317.562273536576</v>
      </c>
      <c r="M119" s="295" cm="1">
        <f t="array" ref="M119">IF(AND(K119=MAX(K$10:K119), L119=MIN(IF(K$10:K119=K119, L$10:L119))), 1, 0)</f>
        <v>0</v>
      </c>
      <c r="N119" s="295">
        <f>IF(AND(Scenario[[#This Row],[Total Coverage]]&gt;=70%,Scenario[[#This Row],[Frontier]]=1),1,0)</f>
        <v>0</v>
      </c>
    </row>
    <row r="120" spans="1:14" x14ac:dyDescent="0.25">
      <c r="A120">
        <v>279</v>
      </c>
      <c r="B120">
        <v>0.5</v>
      </c>
      <c r="C120">
        <v>0.5</v>
      </c>
      <c r="D120">
        <v>0.75</v>
      </c>
      <c r="E120">
        <v>0.25</v>
      </c>
      <c r="F120">
        <v>1</v>
      </c>
      <c r="G120">
        <v>0</v>
      </c>
      <c r="H120">
        <v>0.25</v>
      </c>
      <c r="I120">
        <v>0.75</v>
      </c>
      <c r="J120" s="272">
        <f>$C$3*($C$4*$E$4*B119*$B$7)*$G$4+$C$3*($C$4*$E$5*D120*$D$7)*$G$4+$C$3*($C$4*$E$4*C120*$C$7)*$G$5+$C$3*($C$4*$E$5*E120*$E$7)*$G$5+$C$3*($C$5*$E$4*F120*$F$7)*$H$4+$C$3*($C$5*$E$5*H120*$H$7)*$H$4+$C$3*($C$5*$E$5*I120*$I$7)*$H$5+$C$3*($C$5*$E$4*G120*$G$7)*$H$5</f>
        <v>3206891.9734594682</v>
      </c>
      <c r="K120" s="277">
        <f>ROUND(($C$4*$E$4*B120*$B$7+$C$4*$E$4*C120*$C$7+$C$4*$E$5*D120*$D$7+$C$4*$E$5*E120*$E$7+($C$5*$E$4*F120*$F$7+$C$5*$E$4*G120*$G$7+$C$5*$E$5*H120*$H$7+$C$5*$E$5*I120*$I$7)),2)</f>
        <v>0.45</v>
      </c>
      <c r="L120" s="276">
        <f>Scenario[[#This Row],[Total Cost]]/(Scenario[[#This Row],[Total Coverage]]*100)</f>
        <v>71264.266076877073</v>
      </c>
      <c r="M120" s="295" cm="1">
        <f t="array" ref="M120">IF(AND(K120=MAX(K$10:K120), L120=MIN(IF(K$10:K120=K120, L$10:L120))), 1, 0)</f>
        <v>0</v>
      </c>
      <c r="N120" s="295">
        <f>IF(AND(Scenario[[#This Row],[Total Coverage]]&gt;=70%,Scenario[[#This Row],[Frontier]]=1),1,0)</f>
        <v>0</v>
      </c>
    </row>
    <row r="121" spans="1:14" x14ac:dyDescent="0.25">
      <c r="A121">
        <v>130</v>
      </c>
      <c r="B121">
        <v>0.75</v>
      </c>
      <c r="C121">
        <v>0.25</v>
      </c>
      <c r="D121">
        <v>1</v>
      </c>
      <c r="E121">
        <v>0</v>
      </c>
      <c r="F121">
        <v>1</v>
      </c>
      <c r="G121">
        <v>0</v>
      </c>
      <c r="H121">
        <v>0</v>
      </c>
      <c r="I121">
        <v>1</v>
      </c>
      <c r="J121" s="272">
        <f>$C$3*($C$4*$E$4*B120*$B$7)*$G$4+$C$3*($C$4*$E$5*D121*$D$7)*$G$4+$C$3*($C$4*$E$4*C121*$C$7)*$G$5+$C$3*($C$4*$E$5*E121*$E$7)*$G$5+$C$3*($C$5*$E$4*F121*$F$7)*$H$4+$C$3*($C$5*$E$5*H121*$H$7)*$H$4+$C$3*($C$5*$E$5*I121*$I$7)*$H$5+$C$3*($C$5*$E$4*G121*$G$7)*$H$5</f>
        <v>2803137.2012058143</v>
      </c>
      <c r="K121" s="277">
        <f>ROUND(($C$4*$E$4*B121*$B$7+$C$4*$E$4*C121*$C$7+$C$4*$E$5*D121*$D$7+$C$4*$E$5*E121*$E$7+($C$5*$E$4*F121*$F$7+$C$5*$E$4*G121*$G$7+$C$5*$E$5*H121*$H$7+$C$5*$E$5*I121*$I$7)),2)</f>
        <v>0.45</v>
      </c>
      <c r="L121" s="276">
        <f>Scenario[[#This Row],[Total Cost]]/(Scenario[[#This Row],[Total Coverage]]*100)</f>
        <v>62291.937804573652</v>
      </c>
      <c r="M121" s="295" cm="1">
        <f t="array" ref="M121">IF(AND(K121=MAX(K$10:K121), L121=MIN(IF(K$10:K121=K121, L$10:L121))), 1, 0)</f>
        <v>0</v>
      </c>
      <c r="N121" s="295">
        <f>IF(AND(Scenario[[#This Row],[Total Coverage]]&gt;=70%,Scenario[[#This Row],[Frontier]]=1),1,0)</f>
        <v>0</v>
      </c>
    </row>
    <row r="122" spans="1:14" x14ac:dyDescent="0.25">
      <c r="A122">
        <v>356</v>
      </c>
      <c r="B122">
        <v>0.5</v>
      </c>
      <c r="C122">
        <v>0.5</v>
      </c>
      <c r="D122">
        <v>0</v>
      </c>
      <c r="E122">
        <v>1</v>
      </c>
      <c r="F122">
        <v>0.75</v>
      </c>
      <c r="G122">
        <v>0.25</v>
      </c>
      <c r="H122">
        <v>1</v>
      </c>
      <c r="I122">
        <v>0</v>
      </c>
      <c r="J122" s="272">
        <f>$C$3*($C$4*$E$4*B121*$B$7)*$G$4+$C$3*($C$4*$E$5*D122*$D$7)*$G$4+$C$3*($C$4*$E$4*C122*$C$7)*$G$5+$C$3*($C$4*$E$5*E122*$E$7)*$G$5+$C$3*($C$5*$E$4*F122*$F$7)*$H$4+$C$3*($C$5*$E$5*H122*$H$7)*$H$4+$C$3*($C$5*$E$5*I122*$I$7)*$H$5+$C$3*($C$5*$E$4*G122*$G$7)*$H$5</f>
        <v>3454511.5245021163</v>
      </c>
      <c r="K122" s="277">
        <f>ROUND(($C$4*$E$4*B122*$B$7+$C$4*$E$4*C122*$C$7+$C$4*$E$5*D122*$D$7+$C$4*$E$5*E122*$E$7+($C$5*$E$4*F122*$F$7+$C$5*$E$4*G122*$G$7+$C$5*$E$5*H122*$H$7+$C$5*$E$5*I122*$I$7)),2)</f>
        <v>0.45</v>
      </c>
      <c r="L122" s="276">
        <f>Scenario[[#This Row],[Total Cost]]/(Scenario[[#This Row],[Total Coverage]]*100)</f>
        <v>76766.922766713687</v>
      </c>
      <c r="M122" s="295" cm="1">
        <f t="array" ref="M122">IF(AND(K122=MAX(K$10:K122), L122=MIN(IF(K$10:K122=K122, L$10:L122))), 1, 0)</f>
        <v>0</v>
      </c>
      <c r="N122" s="295">
        <f>IF(AND(Scenario[[#This Row],[Total Coverage]]&gt;=70%,Scenario[[#This Row],[Frontier]]=1),1,0)</f>
        <v>0</v>
      </c>
    </row>
    <row r="123" spans="1:14" x14ac:dyDescent="0.25">
      <c r="A123">
        <v>353</v>
      </c>
      <c r="B123">
        <v>0.5</v>
      </c>
      <c r="C123">
        <v>0.5</v>
      </c>
      <c r="D123">
        <v>0</v>
      </c>
      <c r="E123">
        <v>1</v>
      </c>
      <c r="F123">
        <v>1</v>
      </c>
      <c r="G123">
        <v>0</v>
      </c>
      <c r="H123">
        <v>0.5</v>
      </c>
      <c r="I123">
        <v>0.5</v>
      </c>
      <c r="J123" s="272">
        <f>$C$3*($C$4*$E$4*B122*$B$7)*$G$4+$C$3*($C$4*$E$5*D123*$D$7)*$G$4+$C$3*($C$4*$E$4*C123*$C$7)*$G$5+$C$3*($C$4*$E$5*E123*$E$7)*$G$5+$C$3*($C$5*$E$4*F123*$F$7)*$H$4+$C$3*($C$5*$E$5*H123*$H$7)*$H$4+$C$3*($C$5*$E$5*I123*$I$7)*$H$5+$C$3*($C$5*$E$4*G123*$G$7)*$H$5</f>
        <v>3273358.4233987834</v>
      </c>
      <c r="K123" s="277">
        <f>ROUND(($C$4*$E$4*B123*$B$7+$C$4*$E$4*C123*$C$7+$C$4*$E$5*D123*$D$7+$C$4*$E$5*E123*$E$7+($C$5*$E$4*F123*$F$7+$C$5*$E$4*G123*$G$7+$C$5*$E$5*H123*$H$7+$C$5*$E$5*I123*$I$7)),2)</f>
        <v>0.45</v>
      </c>
      <c r="L123" s="276">
        <f>Scenario[[#This Row],[Total Cost]]/(Scenario[[#This Row],[Total Coverage]]*100)</f>
        <v>72741.298297750749</v>
      </c>
      <c r="M123" s="295" cm="1">
        <f t="array" ref="M123">IF(AND(K123=MAX(K$10:K123), L123=MIN(IF(K$10:K123=K123, L$10:L123))), 1, 0)</f>
        <v>0</v>
      </c>
      <c r="N123" s="295">
        <f>IF(AND(Scenario[[#This Row],[Total Coverage]]&gt;=70%,Scenario[[#This Row],[Frontier]]=1),1,0)</f>
        <v>0</v>
      </c>
    </row>
    <row r="124" spans="1:14" x14ac:dyDescent="0.25">
      <c r="A124">
        <v>282</v>
      </c>
      <c r="B124">
        <v>0.5</v>
      </c>
      <c r="C124">
        <v>0.5</v>
      </c>
      <c r="D124">
        <v>0.75</v>
      </c>
      <c r="E124">
        <v>0.25</v>
      </c>
      <c r="F124">
        <v>0.75</v>
      </c>
      <c r="G124">
        <v>0.25</v>
      </c>
      <c r="H124">
        <v>0.75</v>
      </c>
      <c r="I124">
        <v>0.25</v>
      </c>
      <c r="J124" s="272">
        <f>$C$3*($C$4*$E$4*B123*$B$7)*$G$4+$C$3*($C$4*$E$5*D124*$D$7)*$G$4+$C$3*($C$4*$E$4*C124*$C$7)*$G$5+$C$3*($C$4*$E$5*E124*$E$7)*$G$5+$C$3*($C$5*$E$4*F124*$F$7)*$H$4+$C$3*($C$5*$E$5*H124*$H$7)*$H$4+$C$3*($C$5*$E$5*I124*$I$7)*$H$5+$C$3*($C$5*$E$4*G124*$G$7)*$H$5</f>
        <v>3175225.8167663012</v>
      </c>
      <c r="K124" s="277">
        <f>ROUND(($C$4*$E$4*B124*$B$7+$C$4*$E$4*C124*$C$7+$C$4*$E$5*D124*$D$7+$C$4*$E$5*E124*$E$7+($C$5*$E$4*F124*$F$7+$C$5*$E$4*G124*$G$7+$C$5*$E$5*H124*$H$7+$C$5*$E$5*I124*$I$7)),2)</f>
        <v>0.45</v>
      </c>
      <c r="L124" s="276">
        <f>Scenario[[#This Row],[Total Cost]]/(Scenario[[#This Row],[Total Coverage]]*100)</f>
        <v>70560.573705917806</v>
      </c>
      <c r="M124" s="295" cm="1">
        <f t="array" ref="M124">IF(AND(K124=MAX(K$10:K124), L124=MIN(IF(K$10:K124=K124, L$10:L124))), 1, 0)</f>
        <v>0</v>
      </c>
      <c r="N124" s="295">
        <f>IF(AND(Scenario[[#This Row],[Total Coverage]]&gt;=70%,Scenario[[#This Row],[Frontier]]=1),1,0)</f>
        <v>0</v>
      </c>
    </row>
    <row r="125" spans="1:14" x14ac:dyDescent="0.25">
      <c r="A125">
        <v>428</v>
      </c>
      <c r="B125">
        <v>0.25</v>
      </c>
      <c r="C125">
        <v>0.75</v>
      </c>
      <c r="D125">
        <v>0.5</v>
      </c>
      <c r="E125">
        <v>0.5</v>
      </c>
      <c r="F125">
        <v>1</v>
      </c>
      <c r="G125">
        <v>0</v>
      </c>
      <c r="H125">
        <v>0.5</v>
      </c>
      <c r="I125">
        <v>0.5</v>
      </c>
      <c r="J125" s="272">
        <f>$C$3*($C$4*$E$4*B124*$B$7)*$G$4+$C$3*($C$4*$E$5*D125*$D$7)*$G$4+$C$3*($C$4*$E$4*C125*$C$7)*$G$5+$C$3*($C$4*$E$5*E125*$E$7)*$G$5+$C$3*($C$5*$E$4*F125*$F$7)*$H$4+$C$3*($C$5*$E$5*H125*$H$7)*$H$4+$C$3*($C$5*$E$5*I125*$I$7)*$H$5+$C$3*($C$5*$E$4*G125*$G$7)*$H$5</f>
        <v>3397827.4879166232</v>
      </c>
      <c r="K125" s="277">
        <f>ROUND(($C$4*$E$4*B125*$B$7+$C$4*$E$4*C125*$C$7+$C$4*$E$5*D125*$D$7+$C$4*$E$5*E125*$E$7+($C$5*$E$4*F125*$F$7+$C$5*$E$4*G125*$G$7+$C$5*$E$5*H125*$H$7+$C$5*$E$5*I125*$I$7)),2)</f>
        <v>0.45</v>
      </c>
      <c r="L125" s="276">
        <f>Scenario[[#This Row],[Total Cost]]/(Scenario[[#This Row],[Total Coverage]]*100)</f>
        <v>75507.277509258289</v>
      </c>
      <c r="M125" s="295" cm="1">
        <f t="array" ref="M125">IF(AND(K125=MAX(K$10:K125), L125=MIN(IF(K$10:K125=K125, L$10:L125))), 1, 0)</f>
        <v>0</v>
      </c>
      <c r="N125" s="295">
        <f>IF(AND(Scenario[[#This Row],[Total Coverage]]&gt;=70%,Scenario[[#This Row],[Frontier]]=1),1,0)</f>
        <v>0</v>
      </c>
    </row>
    <row r="126" spans="1:14" x14ac:dyDescent="0.25">
      <c r="A126">
        <v>431</v>
      </c>
      <c r="B126">
        <v>0.25</v>
      </c>
      <c r="C126">
        <v>0.75</v>
      </c>
      <c r="D126">
        <v>0.5</v>
      </c>
      <c r="E126">
        <v>0.5</v>
      </c>
      <c r="F126">
        <v>0.75</v>
      </c>
      <c r="G126">
        <v>0.25</v>
      </c>
      <c r="H126">
        <v>1</v>
      </c>
      <c r="I126">
        <v>0</v>
      </c>
      <c r="J126" s="272">
        <f>$C$3*($C$4*$E$4*B125*$B$7)*$G$4+$C$3*($C$4*$E$5*D126*$D$7)*$G$4+$C$3*($C$4*$E$4*C126*$C$7)*$G$5+$C$3*($C$4*$E$5*E126*$E$7)*$G$5+$C$3*($C$5*$E$4*F126*$F$7)*$H$4+$C$3*($C$5*$E$5*H126*$H$7)*$H$4+$C$3*($C$5*$E$5*I126*$I$7)*$H$5+$C$3*($C$5*$E$4*G126*$G$7)*$H$5</f>
        <v>3366161.3312234567</v>
      </c>
      <c r="K126" s="277">
        <f>ROUND(($C$4*$E$4*B126*$B$7+$C$4*$E$4*C126*$C$7+$C$4*$E$5*D126*$D$7+$C$4*$E$5*E126*$E$7+($C$5*$E$4*F126*$F$7+$C$5*$E$4*G126*$G$7+$C$5*$E$5*H126*$H$7+$C$5*$E$5*I126*$I$7)),2)</f>
        <v>0.45</v>
      </c>
      <c r="L126" s="276">
        <f>Scenario[[#This Row],[Total Cost]]/(Scenario[[#This Row],[Total Coverage]]*100)</f>
        <v>74803.585138299037</v>
      </c>
      <c r="M126" s="295" cm="1">
        <f t="array" ref="M126">IF(AND(K126=MAX(K$10:K126), L126=MIN(IF(K$10:K126=K126, L$10:L126))), 1, 0)</f>
        <v>0</v>
      </c>
      <c r="N126" s="295">
        <f>IF(AND(Scenario[[#This Row],[Total Coverage]]&gt;=70%,Scenario[[#This Row],[Frontier]]=1),1,0)</f>
        <v>0</v>
      </c>
    </row>
    <row r="127" spans="1:14" x14ac:dyDescent="0.25">
      <c r="A127">
        <v>528</v>
      </c>
      <c r="B127">
        <v>0</v>
      </c>
      <c r="C127">
        <v>1</v>
      </c>
      <c r="D127">
        <v>0.75</v>
      </c>
      <c r="E127">
        <v>0.25</v>
      </c>
      <c r="F127">
        <v>1</v>
      </c>
      <c r="G127">
        <v>0</v>
      </c>
      <c r="H127">
        <v>0.5</v>
      </c>
      <c r="I127">
        <v>0.5</v>
      </c>
      <c r="J127" s="272">
        <f>$C$3*($C$4*$E$4*B126*$B$7)*$G$4+$C$3*($C$4*$E$5*D127*$D$7)*$G$4+$C$3*($C$4*$E$4*C127*$C$7)*$G$5+$C$3*($C$4*$E$5*E127*$E$7)*$G$5+$C$3*($C$5*$E$4*F127*$F$7)*$H$4+$C$3*($C$5*$E$5*H127*$H$7)*$H$4+$C$3*($C$5*$E$5*I127*$I$7)*$H$5+$C$3*($C$5*$E$4*G127*$G$7)*$H$5</f>
        <v>3600163.2432271214</v>
      </c>
      <c r="K127" s="277">
        <f>ROUND(($C$4*$E$4*B127*$B$7+$C$4*$E$4*C127*$C$7+$C$4*$E$5*D127*$D$7+$C$4*$E$5*E127*$E$7+($C$5*$E$4*F127*$F$7+$C$5*$E$4*G127*$G$7+$C$5*$E$5*H127*$H$7+$C$5*$E$5*I127*$I$7)),2)</f>
        <v>0.45</v>
      </c>
      <c r="L127" s="276">
        <f>Scenario[[#This Row],[Total Cost]]/(Scenario[[#This Row],[Total Coverage]]*100)</f>
        <v>80003.627627269365</v>
      </c>
      <c r="M127" s="295" cm="1">
        <f t="array" ref="M127">IF(AND(K127=MAX(K$10:K127), L127=MIN(IF(K$10:K127=K127, L$10:L127))), 1, 0)</f>
        <v>0</v>
      </c>
      <c r="N127" s="295">
        <f>IF(AND(Scenario[[#This Row],[Total Coverage]]&gt;=70%,Scenario[[#This Row],[Frontier]]=1),1,0)</f>
        <v>0</v>
      </c>
    </row>
    <row r="128" spans="1:14" x14ac:dyDescent="0.25">
      <c r="A128">
        <v>61</v>
      </c>
      <c r="B128">
        <v>1</v>
      </c>
      <c r="C128">
        <v>0</v>
      </c>
      <c r="D128">
        <v>0.5</v>
      </c>
      <c r="E128">
        <v>0.5</v>
      </c>
      <c r="F128">
        <v>0.5</v>
      </c>
      <c r="G128">
        <v>0.5</v>
      </c>
      <c r="H128">
        <v>1</v>
      </c>
      <c r="I128">
        <v>0</v>
      </c>
      <c r="J128" s="272">
        <f>$C$3*($C$4*$E$4*B127*$B$7)*$G$4+$C$3*($C$4*$E$5*D128*$D$7)*$G$4+$C$3*($C$4*$E$4*C128*$C$7)*$G$5+$C$3*($C$4*$E$5*E128*$E$7)*$G$5+$C$3*($C$5*$E$4*F128*$F$7)*$H$4+$C$3*($C$5*$E$5*H128*$H$7)*$H$4+$C$3*($C$5*$E$5*I128*$I$7)*$H$5+$C$3*($C$5*$E$4*G128*$G$7)*$H$5</f>
        <v>2615335.8233016408</v>
      </c>
      <c r="K128" s="277">
        <f>ROUND(($C$4*$E$4*B128*$B$7+$C$4*$E$4*C128*$C$7+$C$4*$E$5*D128*$D$7+$C$4*$E$5*E128*$E$7+($C$5*$E$4*F128*$F$7+$C$5*$E$4*G128*$G$7+$C$5*$E$5*H128*$H$7+$C$5*$E$5*I128*$I$7)),2)</f>
        <v>0.46</v>
      </c>
      <c r="L128" s="276">
        <f>Scenario[[#This Row],[Total Cost]]/(Scenario[[#This Row],[Total Coverage]]*100)</f>
        <v>56855.126593513931</v>
      </c>
      <c r="M128" s="295" cm="1">
        <f t="array" ref="M128">IF(AND(K128=MAX(K$10:K128), L128=MIN(IF(K$10:K128=K128, L$10:L128))), 1, 0)</f>
        <v>1</v>
      </c>
      <c r="N128" s="295">
        <f>IF(AND(Scenario[[#This Row],[Total Coverage]]&gt;=70%,Scenario[[#This Row],[Frontier]]=1),1,0)</f>
        <v>0</v>
      </c>
    </row>
    <row r="129" spans="1:14" x14ac:dyDescent="0.25">
      <c r="A129">
        <v>58</v>
      </c>
      <c r="B129">
        <v>1</v>
      </c>
      <c r="C129">
        <v>0</v>
      </c>
      <c r="D129">
        <v>0.5</v>
      </c>
      <c r="E129">
        <v>0.5</v>
      </c>
      <c r="F129">
        <v>0.75</v>
      </c>
      <c r="G129">
        <v>0.25</v>
      </c>
      <c r="H129">
        <v>0.5</v>
      </c>
      <c r="I129">
        <v>0.5</v>
      </c>
      <c r="J129" s="272">
        <f>$C$3*($C$4*$E$4*B128*$B$7)*$G$4+$C$3*($C$4*$E$5*D129*$D$7)*$G$4+$C$3*($C$4*$E$4*C129*$C$7)*$G$5+$C$3*($C$4*$E$5*E129*$E$7)*$G$5+$C$3*($C$5*$E$4*F129*$F$7)*$H$4+$C$3*($C$5*$E$5*H129*$H$7)*$H$4+$C$3*($C$5*$E$5*I129*$I$7)*$H$5+$C$3*($C$5*$E$4*G129*$G$7)*$H$5</f>
        <v>2966230.8666895563</v>
      </c>
      <c r="K129" s="277">
        <f>ROUND(($C$4*$E$4*B129*$B$7+$C$4*$E$4*C129*$C$7+$C$4*$E$5*D129*$D$7+$C$4*$E$5*E129*$E$7+($C$5*$E$4*F129*$F$7+$C$5*$E$4*G129*$G$7+$C$5*$E$5*H129*$H$7+$C$5*$E$5*I129*$I$7)),2)</f>
        <v>0.46</v>
      </c>
      <c r="L129" s="276">
        <f>Scenario[[#This Row],[Total Cost]]/(Scenario[[#This Row],[Total Coverage]]*100)</f>
        <v>64483.279710642528</v>
      </c>
      <c r="M129" s="295" cm="1">
        <f t="array" ref="M129">IF(AND(K129=MAX(K$10:K129), L129=MIN(IF(K$10:K129=K129, L$10:L129))), 1, 0)</f>
        <v>0</v>
      </c>
      <c r="N129" s="295">
        <f>IF(AND(Scenario[[#This Row],[Total Coverage]]&gt;=70%,Scenario[[#This Row],[Frontier]]=1),1,0)</f>
        <v>0</v>
      </c>
    </row>
    <row r="130" spans="1:14" x14ac:dyDescent="0.25">
      <c r="A130">
        <v>207</v>
      </c>
      <c r="B130">
        <v>0.75</v>
      </c>
      <c r="C130">
        <v>0.25</v>
      </c>
      <c r="D130">
        <v>0.25</v>
      </c>
      <c r="E130">
        <v>0.75</v>
      </c>
      <c r="F130">
        <v>0.75</v>
      </c>
      <c r="G130">
        <v>0.25</v>
      </c>
      <c r="H130">
        <v>0.75</v>
      </c>
      <c r="I130">
        <v>0.25</v>
      </c>
      <c r="J130" s="272">
        <f>$C$3*($C$4*$E$4*B129*$B$7)*$G$4+$C$3*($C$4*$E$5*D130*$D$7)*$G$4+$C$3*($C$4*$E$4*C130*$C$7)*$G$5+$C$3*($C$4*$E$5*E130*$E$7)*$G$5+$C$3*($C$5*$E$4*F130*$F$7)*$H$4+$C$3*($C$5*$E$5*H130*$H$7)*$H$4+$C$3*($C$5*$E$5*I130*$I$7)*$H$5+$C$3*($C$5*$E$4*G130*$G$7)*$H$5</f>
        <v>3263576.0100449608</v>
      </c>
      <c r="K130" s="277">
        <f>ROUND(($C$4*$E$4*B130*$B$7+$C$4*$E$4*C130*$C$7+$C$4*$E$5*D130*$D$7+$C$4*$E$5*E130*$E$7+($C$5*$E$4*F130*$F$7+$C$5*$E$4*G130*$G$7+$C$5*$E$5*H130*$H$7+$C$5*$E$5*I130*$I$7)),2)</f>
        <v>0.46</v>
      </c>
      <c r="L130" s="276">
        <f>Scenario[[#This Row],[Total Cost]]/(Scenario[[#This Row],[Total Coverage]]*100)</f>
        <v>70947.304566194798</v>
      </c>
      <c r="M130" s="295" cm="1">
        <f t="array" ref="M130">IF(AND(K130=MAX(K$10:K130), L130=MIN(IF(K$10:K130=K130, L$10:L130))), 1, 0)</f>
        <v>0</v>
      </c>
      <c r="N130" s="295">
        <f>IF(AND(Scenario[[#This Row],[Total Coverage]]&gt;=70%,Scenario[[#This Row],[Frontier]]=1),1,0)</f>
        <v>0</v>
      </c>
    </row>
    <row r="131" spans="1:14" x14ac:dyDescent="0.25">
      <c r="A131">
        <v>136</v>
      </c>
      <c r="B131">
        <v>0.75</v>
      </c>
      <c r="C131">
        <v>0.25</v>
      </c>
      <c r="D131">
        <v>1</v>
      </c>
      <c r="E131">
        <v>0</v>
      </c>
      <c r="F131">
        <v>0.5</v>
      </c>
      <c r="G131">
        <v>0.5</v>
      </c>
      <c r="H131">
        <v>1</v>
      </c>
      <c r="I131">
        <v>0</v>
      </c>
      <c r="J131" s="272">
        <f>$C$3*($C$4*$E$4*B130*$B$7)*$G$4+$C$3*($C$4*$E$5*D131*$D$7)*$G$4+$C$3*($C$4*$E$4*C131*$C$7)*$G$5+$C$3*($C$4*$E$5*E131*$E$7)*$G$5+$C$3*($C$5*$E$4*F131*$F$7)*$H$4+$C$3*($C$5*$E$5*H131*$H$7)*$H$4+$C$3*($C$5*$E$5*I131*$I$7)*$H$5+$C$3*($C$5*$E$4*G131*$G$7)*$H$5</f>
        <v>3059033.774514229</v>
      </c>
      <c r="K131" s="277">
        <f>ROUND(($C$4*$E$4*B131*$B$7+$C$4*$E$4*C131*$C$7+$C$4*$E$5*D131*$D$7+$C$4*$E$5*E131*$E$7+($C$5*$E$4*F131*$F$7+$C$5*$E$4*G131*$G$7+$C$5*$E$5*H131*$H$7+$C$5*$E$5*I131*$I$7)),2)</f>
        <v>0.46</v>
      </c>
      <c r="L131" s="276">
        <f>Scenario[[#This Row],[Total Cost]]/(Scenario[[#This Row],[Total Coverage]]*100)</f>
        <v>66500.734228570203</v>
      </c>
      <c r="M131" s="295" cm="1">
        <f t="array" ref="M131">IF(AND(K131=MAX(K$10:K131), L131=MIN(IF(K$10:K131=K131, L$10:L131))), 1, 0)</f>
        <v>0</v>
      </c>
      <c r="N131" s="295">
        <f>IF(AND(Scenario[[#This Row],[Total Coverage]]&gt;=70%,Scenario[[#This Row],[Frontier]]=1),1,0)</f>
        <v>0</v>
      </c>
    </row>
    <row r="132" spans="1:14" x14ac:dyDescent="0.25">
      <c r="A132">
        <v>304</v>
      </c>
      <c r="B132">
        <v>0.5</v>
      </c>
      <c r="C132">
        <v>0.5</v>
      </c>
      <c r="D132">
        <v>0.5</v>
      </c>
      <c r="E132">
        <v>0.5</v>
      </c>
      <c r="F132">
        <v>1</v>
      </c>
      <c r="G132">
        <v>0</v>
      </c>
      <c r="H132">
        <v>0.25</v>
      </c>
      <c r="I132">
        <v>0.75</v>
      </c>
      <c r="J132" s="272">
        <f>$C$3*($C$4*$E$4*B131*$B$7)*$G$4+$C$3*($C$4*$E$5*D132*$D$7)*$G$4+$C$3*($C$4*$E$4*C132*$C$7)*$G$5+$C$3*($C$4*$E$5*E132*$E$7)*$G$5+$C$3*($C$5*$E$4*F132*$F$7)*$H$4+$C$3*($C$5*$E$5*H132*$H$7)*$H$4+$C$3*($C$5*$E$5*I132*$I$7)*$H$5+$C$3*($C$5*$E$4*G132*$G$7)*$H$5</f>
        <v>3391168.2931503765</v>
      </c>
      <c r="K132" s="277">
        <f>ROUND(($C$4*$E$4*B132*$B$7+$C$4*$E$4*C132*$C$7+$C$4*$E$5*D132*$D$7+$C$4*$E$5*E132*$E$7+($C$5*$E$4*F132*$F$7+$C$5*$E$4*G132*$G$7+$C$5*$E$5*H132*$H$7+$C$5*$E$5*I132*$I$7)),2)</f>
        <v>0.46</v>
      </c>
      <c r="L132" s="276">
        <f>Scenario[[#This Row],[Total Cost]]/(Scenario[[#This Row],[Total Coverage]]*100)</f>
        <v>73721.049851095144</v>
      </c>
      <c r="M132" s="295" cm="1">
        <f t="array" ref="M132">IF(AND(K132=MAX(K$10:K132), L132=MIN(IF(K$10:K132=K132, L$10:L132))), 1, 0)</f>
        <v>0</v>
      </c>
      <c r="N132" s="295">
        <f>IF(AND(Scenario[[#This Row],[Total Coverage]]&gt;=70%,Scenario[[#This Row],[Frontier]]=1),1,0)</f>
        <v>0</v>
      </c>
    </row>
    <row r="133" spans="1:14" x14ac:dyDescent="0.25">
      <c r="A133">
        <v>155</v>
      </c>
      <c r="B133">
        <v>0.75</v>
      </c>
      <c r="C133">
        <v>0.25</v>
      </c>
      <c r="D133">
        <v>0.75</v>
      </c>
      <c r="E133">
        <v>0.25</v>
      </c>
      <c r="F133">
        <v>1</v>
      </c>
      <c r="G133">
        <v>0</v>
      </c>
      <c r="H133">
        <v>0</v>
      </c>
      <c r="I133">
        <v>1</v>
      </c>
      <c r="J133" s="272">
        <f>$C$3*($C$4*$E$4*B132*$B$7)*$G$4+$C$3*($C$4*$E$5*D133*$D$7)*$G$4+$C$3*($C$4*$E$4*C133*$C$7)*$G$5+$C$3*($C$4*$E$5*E133*$E$7)*$G$5+$C$3*($C$5*$E$4*F133*$F$7)*$H$4+$C$3*($C$5*$E$5*H133*$H$7)*$H$4+$C$3*($C$5*$E$5*I133*$I$7)*$H$5+$C$3*($C$5*$E$4*G133*$G$7)*$H$5</f>
        <v>2987413.5208967226</v>
      </c>
      <c r="K133" s="277">
        <f>ROUND(($C$4*$E$4*B133*$B$7+$C$4*$E$4*C133*$C$7+$C$4*$E$5*D133*$D$7+$C$4*$E$5*E133*$E$7+($C$5*$E$4*F133*$F$7+$C$5*$E$4*G133*$G$7+$C$5*$E$5*H133*$H$7+$C$5*$E$5*I133*$I$7)),2)</f>
        <v>0.46</v>
      </c>
      <c r="L133" s="276">
        <f>Scenario[[#This Row],[Total Cost]]/(Scenario[[#This Row],[Total Coverage]]*100)</f>
        <v>64943.772193407014</v>
      </c>
      <c r="M133" s="295" cm="1">
        <f t="array" ref="M133">IF(AND(K133=MAX(K$10:K133), L133=MIN(IF(K$10:K133=K133, L$10:L133))), 1, 0)</f>
        <v>0</v>
      </c>
      <c r="N133" s="295">
        <f>IF(AND(Scenario[[#This Row],[Total Coverage]]&gt;=70%,Scenario[[#This Row],[Frontier]]=1),1,0)</f>
        <v>0</v>
      </c>
    </row>
    <row r="134" spans="1:14" x14ac:dyDescent="0.25">
      <c r="A134">
        <v>307</v>
      </c>
      <c r="B134">
        <v>0.5</v>
      </c>
      <c r="C134">
        <v>0.5</v>
      </c>
      <c r="D134">
        <v>0.5</v>
      </c>
      <c r="E134">
        <v>0.5</v>
      </c>
      <c r="F134">
        <v>0.75</v>
      </c>
      <c r="G134">
        <v>0.25</v>
      </c>
      <c r="H134">
        <v>0.75</v>
      </c>
      <c r="I134">
        <v>0.25</v>
      </c>
      <c r="J134" s="272">
        <f>$C$3*($C$4*$E$4*B133*$B$7)*$G$4+$C$3*($C$4*$E$5*D134*$D$7)*$G$4+$C$3*($C$4*$E$4*C134*$C$7)*$G$5+$C$3*($C$4*$E$5*E134*$E$7)*$G$5+$C$3*($C$5*$E$4*F134*$F$7)*$H$4+$C$3*($C$5*$E$5*H134*$H$7)*$H$4+$C$3*($C$5*$E$5*I134*$I$7)*$H$5+$C$3*($C$5*$E$4*G134*$G$7)*$H$5</f>
        <v>3465911.7653554594</v>
      </c>
      <c r="K134" s="277">
        <f>ROUND(($C$4*$E$4*B134*$B$7+$C$4*$E$4*C134*$C$7+$C$4*$E$5*D134*$D$7+$C$4*$E$5*E134*$E$7+($C$5*$E$4*F134*$F$7+$C$5*$E$4*G134*$G$7+$C$5*$E$5*H134*$H$7+$C$5*$E$5*I134*$I$7)),2)</f>
        <v>0.46</v>
      </c>
      <c r="L134" s="276">
        <f>Scenario[[#This Row],[Total Cost]]/(Scenario[[#This Row],[Total Coverage]]*100)</f>
        <v>75345.907942509992</v>
      </c>
      <c r="M134" s="295" cm="1">
        <f t="array" ref="M134">IF(AND(K134=MAX(K$10:K134), L134=MIN(IF(K$10:K134=K134, L$10:L134))), 1, 0)</f>
        <v>0</v>
      </c>
      <c r="N134" s="295">
        <f>IF(AND(Scenario[[#This Row],[Total Coverage]]&gt;=70%,Scenario[[#This Row],[Frontier]]=1),1,0)</f>
        <v>0</v>
      </c>
    </row>
    <row r="135" spans="1:14" x14ac:dyDescent="0.25">
      <c r="A135">
        <v>453</v>
      </c>
      <c r="B135">
        <v>0.25</v>
      </c>
      <c r="C135">
        <v>0.75</v>
      </c>
      <c r="D135">
        <v>0.25</v>
      </c>
      <c r="E135">
        <v>0.75</v>
      </c>
      <c r="F135">
        <v>1</v>
      </c>
      <c r="G135">
        <v>0</v>
      </c>
      <c r="H135">
        <v>0.5</v>
      </c>
      <c r="I135">
        <v>0.5</v>
      </c>
      <c r="J135" s="272">
        <f>$C$3*($C$4*$E$4*B134*$B$7)*$G$4+$C$3*($C$4*$E$5*D135*$D$7)*$G$4+$C$3*($C$4*$E$4*C135*$C$7)*$G$5+$C$3*($C$4*$E$5*E135*$E$7)*$G$5+$C$3*($C$5*$E$4*F135*$F$7)*$H$4+$C$3*($C$5*$E$5*H135*$H$7)*$H$4+$C$3*($C$5*$E$5*I135*$I$7)*$H$5+$C$3*($C$5*$E$4*G135*$G$7)*$H$5</f>
        <v>3582103.8076075315</v>
      </c>
      <c r="K135" s="277">
        <f>ROUND(($C$4*$E$4*B135*$B$7+$C$4*$E$4*C135*$C$7+$C$4*$E$5*D135*$D$7+$C$4*$E$5*E135*$E$7+($C$5*$E$4*F135*$F$7+$C$5*$E$4*G135*$G$7+$C$5*$E$5*H135*$H$7+$C$5*$E$5*I135*$I$7)),2)</f>
        <v>0.46</v>
      </c>
      <c r="L135" s="276">
        <f>Scenario[[#This Row],[Total Cost]]/(Scenario[[#This Row],[Total Coverage]]*100)</f>
        <v>77871.821904511555</v>
      </c>
      <c r="M135" s="295" cm="1">
        <f t="array" ref="M135">IF(AND(K135=MAX(K$10:K135), L135=MIN(IF(K$10:K135=K135, L$10:L135))), 1, 0)</f>
        <v>0</v>
      </c>
      <c r="N135" s="295">
        <f>IF(AND(Scenario[[#This Row],[Total Coverage]]&gt;=70%,Scenario[[#This Row],[Frontier]]=1),1,0)</f>
        <v>0</v>
      </c>
    </row>
    <row r="136" spans="1:14" x14ac:dyDescent="0.25">
      <c r="A136">
        <v>382</v>
      </c>
      <c r="B136">
        <v>0.25</v>
      </c>
      <c r="C136">
        <v>0.75</v>
      </c>
      <c r="D136">
        <v>1</v>
      </c>
      <c r="E136">
        <v>0</v>
      </c>
      <c r="F136">
        <v>0.75</v>
      </c>
      <c r="G136">
        <v>0.25</v>
      </c>
      <c r="H136">
        <v>0.75</v>
      </c>
      <c r="I136">
        <v>0.25</v>
      </c>
      <c r="J136" s="272">
        <f>$C$3*($C$4*$E$4*B135*$B$7)*$G$4+$C$3*($C$4*$E$5*D136*$D$7)*$G$4+$C$3*($C$4*$E$4*C136*$C$7)*$G$5+$C$3*($C$4*$E$5*E136*$E$7)*$G$5+$C$3*($C$5*$E$4*F136*$F$7)*$H$4+$C$3*($C$5*$E$5*H136*$H$7)*$H$4+$C$3*($C$5*$E$5*I136*$I$7)*$H$5+$C$3*($C$5*$E$4*G136*$G$7)*$H$5</f>
        <v>3377561.5720767998</v>
      </c>
      <c r="K136" s="277">
        <f>ROUND(($C$4*$E$4*B136*$B$7+$C$4*$E$4*C136*$C$7+$C$4*$E$5*D136*$D$7+$C$4*$E$5*E136*$E$7+($C$5*$E$4*F136*$F$7+$C$5*$E$4*G136*$G$7+$C$5*$E$5*H136*$H$7+$C$5*$E$5*I136*$I$7)),2)</f>
        <v>0.46</v>
      </c>
      <c r="L136" s="276">
        <f>Scenario[[#This Row],[Total Cost]]/(Scenario[[#This Row],[Total Coverage]]*100)</f>
        <v>73425.251566886946</v>
      </c>
      <c r="M136" s="295" cm="1">
        <f t="array" ref="M136">IF(AND(K136=MAX(K$10:K136), L136=MIN(IF(K$10:K136=K136, L$10:L136))), 1, 0)</f>
        <v>0</v>
      </c>
      <c r="N136" s="295">
        <f>IF(AND(Scenario[[#This Row],[Total Coverage]]&gt;=70%,Scenario[[#This Row],[Frontier]]=1),1,0)</f>
        <v>0</v>
      </c>
    </row>
    <row r="137" spans="1:14" x14ac:dyDescent="0.25">
      <c r="A137">
        <v>379</v>
      </c>
      <c r="B137">
        <v>0.25</v>
      </c>
      <c r="C137">
        <v>0.75</v>
      </c>
      <c r="D137">
        <v>1</v>
      </c>
      <c r="E137">
        <v>0</v>
      </c>
      <c r="F137">
        <v>1</v>
      </c>
      <c r="G137">
        <v>0</v>
      </c>
      <c r="H137">
        <v>0.25</v>
      </c>
      <c r="I137">
        <v>0.75</v>
      </c>
      <c r="J137" s="272">
        <f>$C$3*($C$4*$E$4*B136*$B$7)*$G$4+$C$3*($C$4*$E$5*D137*$D$7)*$G$4+$C$3*($C$4*$E$4*C137*$C$7)*$G$5+$C$3*($C$4*$E$5*E137*$E$7)*$G$5+$C$3*($C$5*$E$4*F137*$F$7)*$H$4+$C$3*($C$5*$E$5*H137*$H$7)*$H$4+$C$3*($C$5*$E$5*I137*$I$7)*$H$5+$C$3*($C$5*$E$4*G137*$G$7)*$H$5</f>
        <v>3302818.0998717174</v>
      </c>
      <c r="K137" s="277">
        <f>ROUND(($C$4*$E$4*B137*$B$7+$C$4*$E$4*C137*$C$7+$C$4*$E$5*D137*$D$7+$C$4*$E$5*E137*$E$7+($C$5*$E$4*F137*$F$7+$C$5*$E$4*G137*$G$7+$C$5*$E$5*H137*$H$7+$C$5*$E$5*I137*$I$7)),2)</f>
        <v>0.46</v>
      </c>
      <c r="L137" s="276">
        <f>Scenario[[#This Row],[Total Cost]]/(Scenario[[#This Row],[Total Coverage]]*100)</f>
        <v>71800.393475472112</v>
      </c>
      <c r="M137" s="295" cm="1">
        <f t="array" ref="M137">IF(AND(K137=MAX(K$10:K137), L137=MIN(IF(K$10:K137=K137, L$10:L137))), 1, 0)</f>
        <v>0</v>
      </c>
      <c r="N137" s="295">
        <f>IF(AND(Scenario[[#This Row],[Total Coverage]]&gt;=70%,Scenario[[#This Row],[Frontier]]=1),1,0)</f>
        <v>0</v>
      </c>
    </row>
    <row r="138" spans="1:14" x14ac:dyDescent="0.25">
      <c r="A138">
        <v>531</v>
      </c>
      <c r="B138">
        <v>0</v>
      </c>
      <c r="C138">
        <v>1</v>
      </c>
      <c r="D138">
        <v>0.75</v>
      </c>
      <c r="E138">
        <v>0.25</v>
      </c>
      <c r="F138">
        <v>0.75</v>
      </c>
      <c r="G138">
        <v>0.25</v>
      </c>
      <c r="H138">
        <v>1</v>
      </c>
      <c r="I138">
        <v>0</v>
      </c>
      <c r="J138" s="272">
        <f>$C$3*($C$4*$E$4*B137*$B$7)*$G$4+$C$3*($C$4*$E$5*D138*$D$7)*$G$4+$C$3*($C$4*$E$4*C138*$C$7)*$G$5+$C$3*($C$4*$E$5*E138*$E$7)*$G$5+$C$3*($C$5*$E$4*F138*$F$7)*$H$4+$C$3*($C$5*$E$5*H138*$H$7)*$H$4+$C$3*($C$5*$E$5*I138*$I$7)*$H$5+$C$3*($C$5*$E$4*G138*$G$7)*$H$5</f>
        <v>3674906.7154322043</v>
      </c>
      <c r="K138" s="277">
        <f>ROUND(($C$4*$E$4*B138*$B$7+$C$4*$E$4*C138*$C$7+$C$4*$E$5*D138*$D$7+$C$4*$E$5*E138*$E$7+($C$5*$E$4*F138*$F$7+$C$5*$E$4*G138*$G$7+$C$5*$E$5*H138*$H$7+$C$5*$E$5*I138*$I$7)),2)</f>
        <v>0.46</v>
      </c>
      <c r="L138" s="276">
        <f>Scenario[[#This Row],[Total Cost]]/(Scenario[[#This Row],[Total Coverage]]*100)</f>
        <v>79889.27642243923</v>
      </c>
      <c r="M138" s="295" cm="1">
        <f t="array" ref="M138">IF(AND(K138=MAX(K$10:K138), L138=MIN(IF(K$10:K138=K138, L$10:L138))), 1, 0)</f>
        <v>0</v>
      </c>
      <c r="N138" s="295">
        <f>IF(AND(Scenario[[#This Row],[Total Coverage]]&gt;=70%,Scenario[[#This Row],[Frontier]]=1),1,0)</f>
        <v>0</v>
      </c>
    </row>
    <row r="139" spans="1:14" x14ac:dyDescent="0.25">
      <c r="A139">
        <v>456</v>
      </c>
      <c r="B139">
        <v>0.25</v>
      </c>
      <c r="C139">
        <v>0.75</v>
      </c>
      <c r="D139">
        <v>0.25</v>
      </c>
      <c r="E139">
        <v>0.75</v>
      </c>
      <c r="F139">
        <v>0.75</v>
      </c>
      <c r="G139">
        <v>0.25</v>
      </c>
      <c r="H139">
        <v>1</v>
      </c>
      <c r="I139">
        <v>0</v>
      </c>
      <c r="J139" s="272">
        <f>$C$3*($C$4*$E$4*B138*$B$7)*$G$4+$C$3*($C$4*$E$5*D139*$D$7)*$G$4+$C$3*($C$4*$E$4*C139*$C$7)*$G$5+$C$3*($C$4*$E$5*E139*$E$7)*$G$5+$C$3*($C$5*$E$4*F139*$F$7)*$H$4+$C$3*($C$5*$E$5*H139*$H$7)*$H$4+$C$3*($C$5*$E$5*I139*$I$7)*$H$5+$C$3*($C$5*$E$4*G139*$G$7)*$H$5</f>
        <v>3444028.0220161155</v>
      </c>
      <c r="K139" s="277">
        <f>ROUND(($C$4*$E$4*B139*$B$7+$C$4*$E$4*C139*$C$7+$C$4*$E$5*D139*$D$7+$C$4*$E$5*E139*$E$7+($C$5*$E$4*F139*$F$7+$C$5*$E$4*G139*$G$7+$C$5*$E$5*H139*$H$7+$C$5*$E$5*I139*$I$7)),2)</f>
        <v>0.46</v>
      </c>
      <c r="L139" s="276">
        <f>Scenario[[#This Row],[Total Cost]]/(Scenario[[#This Row],[Total Coverage]]*100)</f>
        <v>74870.174391654684</v>
      </c>
      <c r="M139" s="295" cm="1">
        <f t="array" ref="M139">IF(AND(K139=MAX(K$10:K139), L139=MIN(IF(K$10:K139=K139, L$10:L139))), 1, 0)</f>
        <v>0</v>
      </c>
      <c r="N139" s="295">
        <f>IF(AND(Scenario[[#This Row],[Total Coverage]]&gt;=70%,Scenario[[#This Row],[Frontier]]=1),1,0)</f>
        <v>0</v>
      </c>
    </row>
    <row r="140" spans="1:14" x14ac:dyDescent="0.25">
      <c r="A140">
        <v>602</v>
      </c>
      <c r="B140">
        <v>0</v>
      </c>
      <c r="C140">
        <v>1</v>
      </c>
      <c r="D140">
        <v>0</v>
      </c>
      <c r="E140">
        <v>1</v>
      </c>
      <c r="F140">
        <v>1</v>
      </c>
      <c r="G140">
        <v>0</v>
      </c>
      <c r="H140">
        <v>0.75</v>
      </c>
      <c r="I140">
        <v>0.25</v>
      </c>
      <c r="J140" s="272">
        <f>$C$3*($C$4*$E$4*B139*$B$7)*$G$4+$C$3*($C$4*$E$5*D140*$D$7)*$G$4+$C$3*($C$4*$E$4*C140*$C$7)*$G$5+$C$3*($C$4*$E$5*E140*$E$7)*$G$5+$C$3*($C$5*$E$4*F140*$F$7)*$H$4+$C$3*($C$5*$E$5*H140*$H$7)*$H$4+$C$3*($C$5*$E$5*I140*$I$7)*$H$5+$C$3*($C$5*$E$4*G140*$G$7)*$H$5</f>
        <v>3773039.3220646866</v>
      </c>
      <c r="K140" s="277">
        <f>ROUND(($C$4*$E$4*B140*$B$7+$C$4*$E$4*C140*$C$7+$C$4*$E$5*D140*$D$7+$C$4*$E$5*E140*$E$7+($C$5*$E$4*F140*$F$7+$C$5*$E$4*G140*$G$7+$C$5*$E$5*H140*$H$7+$C$5*$E$5*I140*$I$7)),2)</f>
        <v>0.46</v>
      </c>
      <c r="L140" s="276">
        <f>Scenario[[#This Row],[Total Cost]]/(Scenario[[#This Row],[Total Coverage]]*100)</f>
        <v>82022.593957927966</v>
      </c>
      <c r="M140" s="295" cm="1">
        <f t="array" ref="M140">IF(AND(K140=MAX(K$10:K140), L140=MIN(IF(K$10:K140=K140, L$10:L140))), 1, 0)</f>
        <v>0</v>
      </c>
      <c r="N140" s="295">
        <f>IF(AND(Scenario[[#This Row],[Total Coverage]]&gt;=70%,Scenario[[#This Row],[Frontier]]=1),1,0)</f>
        <v>0</v>
      </c>
    </row>
    <row r="141" spans="1:14" x14ac:dyDescent="0.25">
      <c r="A141">
        <v>83</v>
      </c>
      <c r="B141">
        <v>1</v>
      </c>
      <c r="C141">
        <v>0</v>
      </c>
      <c r="D141">
        <v>0.25</v>
      </c>
      <c r="E141">
        <v>0.75</v>
      </c>
      <c r="F141">
        <v>0.75</v>
      </c>
      <c r="G141">
        <v>0.25</v>
      </c>
      <c r="H141">
        <v>0.5</v>
      </c>
      <c r="I141">
        <v>0.5</v>
      </c>
      <c r="J141" s="272">
        <f>$C$3*($C$4*$E$4*B140*$B$7)*$G$4+$C$3*($C$4*$E$5*D141*$D$7)*$G$4+$C$3*($C$4*$E$4*C141*$C$7)*$G$5+$C$3*($C$4*$E$5*E141*$E$7)*$G$5+$C$3*($C$5*$E$4*F141*$F$7)*$H$4+$C$3*($C$5*$E$5*H141*$H$7)*$H$4+$C$3*($C$5*$E$5*I141*$I$7)*$H$5+$C$3*($C$5*$E$4*G141*$G$7)*$H$5</f>
        <v>2724868.6707874667</v>
      </c>
      <c r="K141" s="277">
        <f>ROUND(($C$4*$E$4*B141*$B$7+$C$4*$E$4*C141*$C$7+$C$4*$E$5*D141*$D$7+$C$4*$E$5*E141*$E$7+($C$5*$E$4*F141*$F$7+$C$5*$E$4*G141*$G$7+$C$5*$E$5*H141*$H$7+$C$5*$E$5*I141*$I$7)),2)</f>
        <v>0.47</v>
      </c>
      <c r="L141" s="276">
        <f>Scenario[[#This Row],[Total Cost]]/(Scenario[[#This Row],[Total Coverage]]*100)</f>
        <v>57975.929165690781</v>
      </c>
      <c r="M141" s="295" cm="1">
        <f t="array" ref="M141">IF(AND(K141=MAX(K$10:K141), L141=MIN(IF(K$10:K141=K141, L$10:L141))), 1, 0)</f>
        <v>1</v>
      </c>
      <c r="N141" s="295">
        <f>IF(AND(Scenario[[#This Row],[Total Coverage]]&gt;=70%,Scenario[[#This Row],[Frontier]]=1),1,0)</f>
        <v>0</v>
      </c>
    </row>
    <row r="142" spans="1:14" x14ac:dyDescent="0.25">
      <c r="A142">
        <v>80</v>
      </c>
      <c r="B142">
        <v>1</v>
      </c>
      <c r="C142">
        <v>0</v>
      </c>
      <c r="D142">
        <v>0.25</v>
      </c>
      <c r="E142">
        <v>0.75</v>
      </c>
      <c r="F142">
        <v>1</v>
      </c>
      <c r="G142">
        <v>0</v>
      </c>
      <c r="H142">
        <v>0</v>
      </c>
      <c r="I142">
        <v>1</v>
      </c>
      <c r="J142" s="272">
        <f>$C$3*($C$4*$E$4*B141*$B$7)*$G$4+$C$3*($C$4*$E$5*D142*$D$7)*$G$4+$C$3*($C$4*$E$4*C142*$C$7)*$G$5+$C$3*($C$4*$E$5*E142*$E$7)*$G$5+$C$3*($C$5*$E$4*F142*$F$7)*$H$4+$C$3*($C$5*$E$5*H142*$H$7)*$H$4+$C$3*($C$5*$E$5*I142*$I$7)*$H$5+$C$3*($C$5*$E$4*G142*$G$7)*$H$5</f>
        <v>3075763.7141753822</v>
      </c>
      <c r="K142" s="277">
        <f>ROUND(($C$4*$E$4*B142*$B$7+$C$4*$E$4*C142*$C$7+$C$4*$E$5*D142*$D$7+$C$4*$E$5*E142*$E$7+($C$5*$E$4*F142*$F$7+$C$5*$E$4*G142*$G$7+$C$5*$E$5*H142*$H$7+$C$5*$E$5*I142*$I$7)),2)</f>
        <v>0.47</v>
      </c>
      <c r="L142" s="276">
        <f>Scenario[[#This Row],[Total Cost]]/(Scenario[[#This Row],[Total Coverage]]*100)</f>
        <v>65441.781152667703</v>
      </c>
      <c r="M142" s="295" cm="1">
        <f t="array" ref="M142">IF(AND(K142=MAX(K$10:K142), L142=MIN(IF(K$10:K142=K142, L$10:L142))), 1, 0)</f>
        <v>0</v>
      </c>
      <c r="N142" s="295">
        <f>IF(AND(Scenario[[#This Row],[Total Coverage]]&gt;=70%,Scenario[[#This Row],[Frontier]]=1),1,0)</f>
        <v>0</v>
      </c>
    </row>
    <row r="143" spans="1:14" x14ac:dyDescent="0.25">
      <c r="A143">
        <v>9</v>
      </c>
      <c r="B143">
        <v>1</v>
      </c>
      <c r="C143">
        <v>0</v>
      </c>
      <c r="D143">
        <v>1</v>
      </c>
      <c r="E143">
        <v>0</v>
      </c>
      <c r="F143">
        <v>0.75</v>
      </c>
      <c r="G143">
        <v>0.25</v>
      </c>
      <c r="H143">
        <v>0.25</v>
      </c>
      <c r="I143">
        <v>0.75</v>
      </c>
      <c r="J143" s="272">
        <f>$C$3*($C$4*$E$4*B142*$B$7)*$G$4+$C$3*($C$4*$E$5*D143*$D$7)*$G$4+$C$3*($C$4*$E$4*C143*$C$7)*$G$5+$C$3*($C$4*$E$5*E143*$E$7)*$G$5+$C$3*($C$5*$E$4*F143*$F$7)*$H$4+$C$3*($C$5*$E$5*H143*$H$7)*$H$4+$C$3*($C$5*$E$5*I143*$I$7)*$H$5+$C$3*($C$5*$E$4*G143*$G$7)*$H$5</f>
        <v>2977631.107542899</v>
      </c>
      <c r="K143" s="277">
        <f>ROUND(($C$4*$E$4*B143*$B$7+$C$4*$E$4*C143*$C$7+$C$4*$E$5*D143*$D$7+$C$4*$E$5*E143*$E$7+($C$5*$E$4*F143*$F$7+$C$5*$E$4*G143*$G$7+$C$5*$E$5*H143*$H$7+$C$5*$E$5*I143*$I$7)),2)</f>
        <v>0.47</v>
      </c>
      <c r="L143" s="276">
        <f>Scenario[[#This Row],[Total Cost]]/(Scenario[[#This Row],[Total Coverage]]*100)</f>
        <v>63353.853351976577</v>
      </c>
      <c r="M143" s="295" cm="1">
        <f t="array" ref="M143">IF(AND(K143=MAX(K$10:K143), L143=MIN(IF(K$10:K143=K143, L$10:L143))), 1, 0)</f>
        <v>0</v>
      </c>
      <c r="N143" s="295">
        <f>IF(AND(Scenario[[#This Row],[Total Coverage]]&gt;=70%,Scenario[[#This Row],[Frontier]]=1),1,0)</f>
        <v>0</v>
      </c>
    </row>
    <row r="144" spans="1:14" x14ac:dyDescent="0.25">
      <c r="A144">
        <v>12</v>
      </c>
      <c r="B144">
        <v>1</v>
      </c>
      <c r="C144">
        <v>0</v>
      </c>
      <c r="D144">
        <v>1</v>
      </c>
      <c r="E144">
        <v>0</v>
      </c>
      <c r="F144">
        <v>0.5</v>
      </c>
      <c r="G144">
        <v>0.5</v>
      </c>
      <c r="H144">
        <v>0.75</v>
      </c>
      <c r="I144">
        <v>0.25</v>
      </c>
      <c r="J144" s="272">
        <f>$C$3*($C$4*$E$4*B143*$B$7)*$G$4+$C$3*($C$4*$E$5*D144*$D$7)*$G$4+$C$3*($C$4*$E$4*C144*$C$7)*$G$5+$C$3*($C$4*$E$5*E144*$E$7)*$G$5+$C$3*($C$5*$E$4*F144*$F$7)*$H$4+$C$3*($C$5*$E$5*H144*$H$7)*$H$4+$C$3*($C$5*$E$5*I144*$I$7)*$H$5+$C$3*($C$5*$E$4*G144*$G$7)*$H$5</f>
        <v>3052374.5797479819</v>
      </c>
      <c r="K144" s="277">
        <f>ROUND(($C$4*$E$4*B144*$B$7+$C$4*$E$4*C144*$C$7+$C$4*$E$5*D144*$D$7+$C$4*$E$5*E144*$E$7+($C$5*$E$4*F144*$F$7+$C$5*$E$4*G144*$G$7+$C$5*$E$5*H144*$H$7+$C$5*$E$5*I144*$I$7)),2)</f>
        <v>0.47</v>
      </c>
      <c r="L144" s="276">
        <f>Scenario[[#This Row],[Total Cost]]/(Scenario[[#This Row],[Total Coverage]]*100)</f>
        <v>64944.13999463791</v>
      </c>
      <c r="M144" s="295" cm="1">
        <f t="array" ref="M144">IF(AND(K144=MAX(K$10:K144), L144=MIN(IF(K$10:K144=K144, L$10:L144))), 1, 0)</f>
        <v>0</v>
      </c>
      <c r="N144" s="295">
        <f>IF(AND(Scenario[[#This Row],[Total Coverage]]&gt;=70%,Scenario[[#This Row],[Frontier]]=1),1,0)</f>
        <v>0</v>
      </c>
    </row>
    <row r="145" spans="1:14" x14ac:dyDescent="0.25">
      <c r="A145">
        <v>232</v>
      </c>
      <c r="B145">
        <v>0.75</v>
      </c>
      <c r="C145">
        <v>0.25</v>
      </c>
      <c r="D145">
        <v>0</v>
      </c>
      <c r="E145">
        <v>1</v>
      </c>
      <c r="F145">
        <v>0.75</v>
      </c>
      <c r="G145">
        <v>0.25</v>
      </c>
      <c r="H145">
        <v>0.75</v>
      </c>
      <c r="I145">
        <v>0.25</v>
      </c>
      <c r="J145" s="272">
        <f>$C$3*($C$4*$E$4*B144*$B$7)*$G$4+$C$3*($C$4*$E$5*D145*$D$7)*$G$4+$C$3*($C$4*$E$4*C145*$C$7)*$G$5+$C$3*($C$4*$E$5*E145*$E$7)*$G$5+$C$3*($C$5*$E$4*F145*$F$7)*$H$4+$C$3*($C$5*$E$5*H145*$H$7)*$H$4+$C$3*($C$5*$E$5*I145*$I$7)*$H$5+$C$3*($C$5*$E$4*G145*$G$7)*$H$5</f>
        <v>3447852.3297358691</v>
      </c>
      <c r="K145" s="277">
        <f>ROUND(($C$4*$E$4*B145*$B$7+$C$4*$E$4*C145*$C$7+$C$4*$E$5*D145*$D$7+$C$4*$E$5*E145*$E$7+($C$5*$E$4*F145*$F$7+$C$5*$E$4*G145*$G$7+$C$5*$E$5*H145*$H$7+$C$5*$E$5*I145*$I$7)),2)</f>
        <v>0.47</v>
      </c>
      <c r="L145" s="276">
        <f>Scenario[[#This Row],[Total Cost]]/(Scenario[[#This Row],[Total Coverage]]*100)</f>
        <v>73358.560207146147</v>
      </c>
      <c r="M145" s="295" cm="1">
        <f t="array" ref="M145">IF(AND(K145=MAX(K$10:K145), L145=MIN(IF(K$10:K145=K145, L$10:L145))), 1, 0)</f>
        <v>0</v>
      </c>
      <c r="N145" s="295">
        <f>IF(AND(Scenario[[#This Row],[Total Coverage]]&gt;=70%,Scenario[[#This Row],[Frontier]]=1),1,0)</f>
        <v>0</v>
      </c>
    </row>
    <row r="146" spans="1:14" x14ac:dyDescent="0.25">
      <c r="A146">
        <v>229</v>
      </c>
      <c r="B146">
        <v>0.75</v>
      </c>
      <c r="C146">
        <v>0.25</v>
      </c>
      <c r="D146">
        <v>0</v>
      </c>
      <c r="E146">
        <v>1</v>
      </c>
      <c r="F146">
        <v>1</v>
      </c>
      <c r="G146">
        <v>0</v>
      </c>
      <c r="H146">
        <v>0.25</v>
      </c>
      <c r="I146">
        <v>0.75</v>
      </c>
      <c r="J146" s="272">
        <f>$C$3*($C$4*$E$4*B145*$B$7)*$G$4+$C$3*($C$4*$E$5*D146*$D$7)*$G$4+$C$3*($C$4*$E$4*C146*$C$7)*$G$5+$C$3*($C$4*$E$5*E146*$E$7)*$G$5+$C$3*($C$5*$E$4*F146*$F$7)*$H$4+$C$3*($C$5*$E$5*H146*$H$7)*$H$4+$C$3*($C$5*$E$5*I146*$I$7)*$H$5+$C$3*($C$5*$E$4*G146*$G$7)*$H$5</f>
        <v>3266699.2286325367</v>
      </c>
      <c r="K146" s="277">
        <f>ROUND(($C$4*$E$4*B146*$B$7+$C$4*$E$4*C146*$C$7+$C$4*$E$5*D146*$D$7+$C$4*$E$5*E146*$E$7+($C$5*$E$4*F146*$F$7+$C$5*$E$4*G146*$G$7+$C$5*$E$5*H146*$H$7+$C$5*$E$5*I146*$I$7)),2)</f>
        <v>0.47</v>
      </c>
      <c r="L146" s="276">
        <f>Scenario[[#This Row],[Total Cost]]/(Scenario[[#This Row],[Total Coverage]]*100)</f>
        <v>69504.238907075254</v>
      </c>
      <c r="M146" s="295" cm="1">
        <f t="array" ref="M146">IF(AND(K146=MAX(K$10:K146), L146=MIN(IF(K$10:K146=K146, L$10:L146))), 1, 0)</f>
        <v>0</v>
      </c>
      <c r="N146" s="295">
        <f>IF(AND(Scenario[[#This Row],[Total Coverage]]&gt;=70%,Scenario[[#This Row],[Frontier]]=1),1,0)</f>
        <v>0</v>
      </c>
    </row>
    <row r="147" spans="1:14" x14ac:dyDescent="0.25">
      <c r="A147">
        <v>158</v>
      </c>
      <c r="B147">
        <v>0.75</v>
      </c>
      <c r="C147">
        <v>0.25</v>
      </c>
      <c r="D147">
        <v>0.75</v>
      </c>
      <c r="E147">
        <v>0.25</v>
      </c>
      <c r="F147">
        <v>0.75</v>
      </c>
      <c r="G147">
        <v>0.25</v>
      </c>
      <c r="H147">
        <v>0.5</v>
      </c>
      <c r="I147">
        <v>0.5</v>
      </c>
      <c r="J147" s="272">
        <f>$C$3*($C$4*$E$4*B146*$B$7)*$G$4+$C$3*($C$4*$E$5*D147*$D$7)*$G$4+$C$3*($C$4*$E$4*C147*$C$7)*$G$5+$C$3*($C$4*$E$5*E147*$E$7)*$G$5+$C$3*($C$5*$E$4*F147*$F$7)*$H$4+$C$3*($C$5*$E$5*H147*$H$7)*$H$4+$C$3*($C$5*$E$5*I147*$I$7)*$H$5+$C$3*($C$5*$E$4*G147*$G$7)*$H$5</f>
        <v>3168566.6220000545</v>
      </c>
      <c r="K147" s="277">
        <f>ROUND(($C$4*$E$4*B147*$B$7+$C$4*$E$4*C147*$C$7+$C$4*$E$5*D147*$D$7+$C$4*$E$5*E147*$E$7+($C$5*$E$4*F147*$F$7+$C$5*$E$4*G147*$G$7+$C$5*$E$5*H147*$H$7+$C$5*$E$5*I147*$I$7)),2)</f>
        <v>0.47</v>
      </c>
      <c r="L147" s="276">
        <f>Scenario[[#This Row],[Total Cost]]/(Scenario[[#This Row],[Total Coverage]]*100)</f>
        <v>67416.311106384135</v>
      </c>
      <c r="M147" s="295" cm="1">
        <f t="array" ref="M147">IF(AND(K147=MAX(K$10:K147), L147=MIN(IF(K$10:K147=K147, L$10:L147))), 1, 0)</f>
        <v>0</v>
      </c>
      <c r="N147" s="295">
        <f>IF(AND(Scenario[[#This Row],[Total Coverage]]&gt;=70%,Scenario[[#This Row],[Frontier]]=1),1,0)</f>
        <v>0</v>
      </c>
    </row>
    <row r="148" spans="1:14" x14ac:dyDescent="0.25">
      <c r="A148">
        <v>161</v>
      </c>
      <c r="B148">
        <v>0.75</v>
      </c>
      <c r="C148">
        <v>0.25</v>
      </c>
      <c r="D148">
        <v>0.75</v>
      </c>
      <c r="E148">
        <v>0.25</v>
      </c>
      <c r="F148">
        <v>0.5</v>
      </c>
      <c r="G148">
        <v>0.5</v>
      </c>
      <c r="H148">
        <v>1</v>
      </c>
      <c r="I148">
        <v>0</v>
      </c>
      <c r="J148" s="272">
        <f>$C$3*($C$4*$E$4*B147*$B$7)*$G$4+$C$3*($C$4*$E$5*D148*$D$7)*$G$4+$C$3*($C$4*$E$4*C148*$C$7)*$G$5+$C$3*($C$4*$E$5*E148*$E$7)*$G$5+$C$3*($C$5*$E$4*F148*$F$7)*$H$4+$C$3*($C$5*$E$5*H148*$H$7)*$H$4+$C$3*($C$5*$E$5*I148*$I$7)*$H$5+$C$3*($C$5*$E$4*G148*$G$7)*$H$5</f>
        <v>3243310.0942051373</v>
      </c>
      <c r="K148" s="277">
        <f>ROUND(($C$4*$E$4*B148*$B$7+$C$4*$E$4*C148*$C$7+$C$4*$E$5*D148*$D$7+$C$4*$E$5*E148*$E$7+($C$5*$E$4*F148*$F$7+$C$5*$E$4*G148*$G$7+$C$5*$E$5*H148*$H$7+$C$5*$E$5*I148*$I$7)),2)</f>
        <v>0.47</v>
      </c>
      <c r="L148" s="276">
        <f>Scenario[[#This Row],[Total Cost]]/(Scenario[[#This Row],[Total Coverage]]*100)</f>
        <v>69006.597749045482</v>
      </c>
      <c r="M148" s="295" cm="1">
        <f t="array" ref="M148">IF(AND(K148=MAX(K$10:K148), L148=MIN(IF(K$10:K148=K148, L$10:L148))), 1, 0)</f>
        <v>0</v>
      </c>
      <c r="N148" s="295">
        <f>IF(AND(Scenario[[#This Row],[Total Coverage]]&gt;=70%,Scenario[[#This Row],[Frontier]]=1),1,0)</f>
        <v>0</v>
      </c>
    </row>
    <row r="149" spans="1:14" x14ac:dyDescent="0.25">
      <c r="A149">
        <v>329</v>
      </c>
      <c r="B149">
        <v>0.5</v>
      </c>
      <c r="C149">
        <v>0.5</v>
      </c>
      <c r="D149">
        <v>0.25</v>
      </c>
      <c r="E149">
        <v>0.75</v>
      </c>
      <c r="F149">
        <v>1</v>
      </c>
      <c r="G149">
        <v>0</v>
      </c>
      <c r="H149">
        <v>0.25</v>
      </c>
      <c r="I149">
        <v>0.75</v>
      </c>
      <c r="J149" s="272">
        <f>$C$3*($C$4*$E$4*B148*$B$7)*$G$4+$C$3*($C$4*$E$5*D149*$D$7)*$G$4+$C$3*($C$4*$E$4*C149*$C$7)*$G$5+$C$3*($C$4*$E$5*E149*$E$7)*$G$5+$C$3*($C$5*$E$4*F149*$F$7)*$H$4+$C$3*($C$5*$E$5*H149*$H$7)*$H$4+$C$3*($C$5*$E$5*I149*$I$7)*$H$5+$C$3*($C$5*$E$4*G149*$G$7)*$H$5</f>
        <v>3575444.6128412848</v>
      </c>
      <c r="K149" s="277">
        <f>ROUND(($C$4*$E$4*B149*$B$7+$C$4*$E$4*C149*$C$7+$C$4*$E$5*D149*$D$7+$C$4*$E$5*E149*$E$7+($C$5*$E$4*F149*$F$7+$C$5*$E$4*G149*$G$7+$C$5*$E$5*H149*$H$7+$C$5*$E$5*I149*$I$7)),2)</f>
        <v>0.47</v>
      </c>
      <c r="L149" s="276">
        <f>Scenario[[#This Row],[Total Cost]]/(Scenario[[#This Row],[Total Coverage]]*100)</f>
        <v>76073.289634920948</v>
      </c>
      <c r="M149" s="295" cm="1">
        <f t="array" ref="M149">IF(AND(K149=MAX(K$10:K149), L149=MIN(IF(K$10:K149=K149, L$10:L149))), 1, 0)</f>
        <v>0</v>
      </c>
      <c r="N149" s="295">
        <f>IF(AND(Scenario[[#This Row],[Total Coverage]]&gt;=70%,Scenario[[#This Row],[Frontier]]=1),1,0)</f>
        <v>0</v>
      </c>
    </row>
    <row r="150" spans="1:14" x14ac:dyDescent="0.25">
      <c r="A150">
        <v>258</v>
      </c>
      <c r="B150">
        <v>0.5</v>
      </c>
      <c r="C150">
        <v>0.5</v>
      </c>
      <c r="D150">
        <v>1</v>
      </c>
      <c r="E150">
        <v>0</v>
      </c>
      <c r="F150">
        <v>0.75</v>
      </c>
      <c r="G150">
        <v>0.25</v>
      </c>
      <c r="H150">
        <v>0.5</v>
      </c>
      <c r="I150">
        <v>0.5</v>
      </c>
      <c r="J150" s="272">
        <f>$C$3*($C$4*$E$4*B149*$B$7)*$G$4+$C$3*($C$4*$E$5*D150*$D$7)*$G$4+$C$3*($C$4*$E$4*C150*$C$7)*$G$5+$C$3*($C$4*$E$5*E150*$E$7)*$G$5+$C$3*($C$5*$E$4*F150*$F$7)*$H$4+$C$3*($C$5*$E$5*H150*$H$7)*$H$4+$C$3*($C$5*$E$5*I150*$I$7)*$H$5+$C$3*($C$5*$E$4*G150*$G$7)*$H$5</f>
        <v>3370902.3773105526</v>
      </c>
      <c r="K150" s="277">
        <f>ROUND(($C$4*$E$4*B150*$B$7+$C$4*$E$4*C150*$C$7+$C$4*$E$5*D150*$D$7+$C$4*$E$5*E150*$E$7+($C$5*$E$4*F150*$F$7+$C$5*$E$4*G150*$G$7+$C$5*$E$5*H150*$H$7+$C$5*$E$5*I150*$I$7)),2)</f>
        <v>0.47</v>
      </c>
      <c r="L150" s="276">
        <f>Scenario[[#This Row],[Total Cost]]/(Scenario[[#This Row],[Total Coverage]]*100)</f>
        <v>71721.327176820269</v>
      </c>
      <c r="M150" s="295" cm="1">
        <f t="array" ref="M150">IF(AND(K150=MAX(K$10:K150), L150=MIN(IF(K$10:K150=K150, L$10:L150))), 1, 0)</f>
        <v>0</v>
      </c>
      <c r="N150" s="295">
        <f>IF(AND(Scenario[[#This Row],[Total Coverage]]&gt;=70%,Scenario[[#This Row],[Frontier]]=1),1,0)</f>
        <v>0</v>
      </c>
    </row>
    <row r="151" spans="1:14" x14ac:dyDescent="0.25">
      <c r="A151">
        <v>404</v>
      </c>
      <c r="B151">
        <v>0.25</v>
      </c>
      <c r="C151">
        <v>0.75</v>
      </c>
      <c r="D151">
        <v>0.75</v>
      </c>
      <c r="E151">
        <v>0.25</v>
      </c>
      <c r="F151">
        <v>1</v>
      </c>
      <c r="G151">
        <v>0</v>
      </c>
      <c r="H151">
        <v>0.25</v>
      </c>
      <c r="I151">
        <v>0.75</v>
      </c>
      <c r="J151" s="272">
        <f>$C$3*($C$4*$E$4*B150*$B$7)*$G$4+$C$3*($C$4*$E$5*D151*$D$7)*$G$4+$C$3*($C$4*$E$4*C151*$C$7)*$G$5+$C$3*($C$4*$E$5*E151*$E$7)*$G$5+$C$3*($C$5*$E$4*F151*$F$7)*$H$4+$C$3*($C$5*$E$5*H151*$H$7)*$H$4+$C$3*($C$5*$E$5*I151*$I$7)*$H$5+$C$3*($C$5*$E$4*G151*$G$7)*$H$5</f>
        <v>3593504.0484608747</v>
      </c>
      <c r="K151" s="277">
        <f>ROUND(($C$4*$E$4*B151*$B$7+$C$4*$E$4*C151*$C$7+$C$4*$E$5*D151*$D$7+$C$4*$E$5*E151*$E$7+($C$5*$E$4*F151*$F$7+$C$5*$E$4*G151*$G$7+$C$5*$E$5*H151*$H$7+$C$5*$E$5*I151*$I$7)),2)</f>
        <v>0.47</v>
      </c>
      <c r="L151" s="276">
        <f>Scenario[[#This Row],[Total Cost]]/(Scenario[[#This Row],[Total Coverage]]*100)</f>
        <v>76457.532945976054</v>
      </c>
      <c r="M151" s="295" cm="1">
        <f t="array" ref="M151">IF(AND(K151=MAX(K$10:K151), L151=MIN(IF(K$10:K151=K151, L$10:L151))), 1, 0)</f>
        <v>0</v>
      </c>
      <c r="N151" s="295">
        <f>IF(AND(Scenario[[#This Row],[Total Coverage]]&gt;=70%,Scenario[[#This Row],[Frontier]]=1),1,0)</f>
        <v>0</v>
      </c>
    </row>
    <row r="152" spans="1:14" x14ac:dyDescent="0.25">
      <c r="A152">
        <v>255</v>
      </c>
      <c r="B152">
        <v>0.5</v>
      </c>
      <c r="C152">
        <v>0.5</v>
      </c>
      <c r="D152">
        <v>1</v>
      </c>
      <c r="E152">
        <v>0</v>
      </c>
      <c r="F152">
        <v>1</v>
      </c>
      <c r="G152">
        <v>0</v>
      </c>
      <c r="H152">
        <v>0</v>
      </c>
      <c r="I152">
        <v>1</v>
      </c>
      <c r="J152" s="272">
        <f>$C$3*($C$4*$E$4*B151*$B$7)*$G$4+$C$3*($C$4*$E$5*D152*$D$7)*$G$4+$C$3*($C$4*$E$4*C152*$C$7)*$G$5+$C$3*($C$4*$E$5*E152*$E$7)*$G$5+$C$3*($C$5*$E$4*F152*$F$7)*$H$4+$C$3*($C$5*$E$5*H152*$H$7)*$H$4+$C$3*($C$5*$E$5*I152*$I$7)*$H$5+$C$3*($C$5*$E$4*G152*$G$7)*$H$5</f>
        <v>3189749.2762072207</v>
      </c>
      <c r="K152" s="277">
        <f>ROUND(($C$4*$E$4*B152*$B$7+$C$4*$E$4*C152*$C$7+$C$4*$E$5*D152*$D$7+$C$4*$E$5*E152*$E$7+($C$5*$E$4*F152*$F$7+$C$5*$E$4*G152*$G$7+$C$5*$E$5*H152*$H$7+$C$5*$E$5*I152*$I$7)),2)</f>
        <v>0.47</v>
      </c>
      <c r="L152" s="276">
        <f>Scenario[[#This Row],[Total Cost]]/(Scenario[[#This Row],[Total Coverage]]*100)</f>
        <v>67867.005876749376</v>
      </c>
      <c r="M152" s="295" cm="1">
        <f t="array" ref="M152">IF(AND(K152=MAX(K$10:K152), L152=MIN(IF(K$10:K152=K152, L$10:L152))), 1, 0)</f>
        <v>0</v>
      </c>
      <c r="N152" s="295">
        <f>IF(AND(Scenario[[#This Row],[Total Coverage]]&gt;=70%,Scenario[[#This Row],[Frontier]]=1),1,0)</f>
        <v>0</v>
      </c>
    </row>
    <row r="153" spans="1:14" x14ac:dyDescent="0.25">
      <c r="A153">
        <v>478</v>
      </c>
      <c r="B153">
        <v>0.25</v>
      </c>
      <c r="C153">
        <v>0.75</v>
      </c>
      <c r="D153">
        <v>0</v>
      </c>
      <c r="E153">
        <v>1</v>
      </c>
      <c r="F153">
        <v>1</v>
      </c>
      <c r="G153">
        <v>0</v>
      </c>
      <c r="H153">
        <v>0.5</v>
      </c>
      <c r="I153">
        <v>0.5</v>
      </c>
      <c r="J153" s="272">
        <f>$C$3*($C$4*$E$4*B152*$B$7)*$G$4+$C$3*($C$4*$E$5*D153*$D$7)*$G$4+$C$3*($C$4*$E$4*C153*$C$7)*$G$5+$C$3*($C$4*$E$5*E153*$E$7)*$G$5+$C$3*($C$5*$E$4*F153*$F$7)*$H$4+$C$3*($C$5*$E$5*H153*$H$7)*$H$4+$C$3*($C$5*$E$5*I153*$I$7)*$H$5+$C$3*($C$5*$E$4*G153*$G$7)*$H$5</f>
        <v>3766380.1272984399</v>
      </c>
      <c r="K153" s="277">
        <f>ROUND(($C$4*$E$4*B153*$B$7+$C$4*$E$4*C153*$C$7+$C$4*$E$5*D153*$D$7+$C$4*$E$5*E153*$E$7+($C$5*$E$4*F153*$F$7+$C$5*$E$4*G153*$G$7+$C$5*$E$5*H153*$H$7+$C$5*$E$5*I153*$I$7)),2)</f>
        <v>0.47</v>
      </c>
      <c r="L153" s="276">
        <f>Scenario[[#This Row],[Total Cost]]/(Scenario[[#This Row],[Total Coverage]]*100)</f>
        <v>80135.747389328506</v>
      </c>
      <c r="M153" s="295" cm="1">
        <f t="array" ref="M153">IF(AND(K153=MAX(K$10:K153), L153=MIN(IF(K$10:K153=K153, L$10:L153))), 1, 0)</f>
        <v>0</v>
      </c>
      <c r="N153" s="295">
        <f>IF(AND(Scenario[[#This Row],[Total Coverage]]&gt;=70%,Scenario[[#This Row],[Frontier]]=1),1,0)</f>
        <v>0</v>
      </c>
    </row>
    <row r="154" spans="1:14" x14ac:dyDescent="0.25">
      <c r="A154">
        <v>407</v>
      </c>
      <c r="B154">
        <v>0.25</v>
      </c>
      <c r="C154">
        <v>0.75</v>
      </c>
      <c r="D154">
        <v>0.75</v>
      </c>
      <c r="E154">
        <v>0.25</v>
      </c>
      <c r="F154">
        <v>0.75</v>
      </c>
      <c r="G154">
        <v>0.25</v>
      </c>
      <c r="H154">
        <v>0.75</v>
      </c>
      <c r="I154">
        <v>0.25</v>
      </c>
      <c r="J154" s="272">
        <f>$C$3*($C$4*$E$4*B153*$B$7)*$G$4+$C$3*($C$4*$E$5*D154*$D$7)*$G$4+$C$3*($C$4*$E$4*C154*$C$7)*$G$5+$C$3*($C$4*$E$5*E154*$E$7)*$G$5+$C$3*($C$5*$E$4*F154*$F$7)*$H$4+$C$3*($C$5*$E$5*H154*$H$7)*$H$4+$C$3*($C$5*$E$5*I154*$I$7)*$H$5+$C$3*($C$5*$E$4*G154*$G$7)*$H$5</f>
        <v>3561837.8917677081</v>
      </c>
      <c r="K154" s="277">
        <f>ROUND(($C$4*$E$4*B154*$B$7+$C$4*$E$4*C154*$C$7+$C$4*$E$5*D154*$D$7+$C$4*$E$5*E154*$E$7+($C$5*$E$4*F154*$F$7+$C$5*$E$4*G154*$G$7+$C$5*$E$5*H154*$H$7+$C$5*$E$5*I154*$I$7)),2)</f>
        <v>0.47</v>
      </c>
      <c r="L154" s="276">
        <f>Scenario[[#This Row],[Total Cost]]/(Scenario[[#This Row],[Total Coverage]]*100)</f>
        <v>75783.784931227827</v>
      </c>
      <c r="M154" s="295" cm="1">
        <f t="array" ref="M154">IF(AND(K154=MAX(K$10:K154), L154=MIN(IF(K$10:K154=K154, L$10:L154))), 1, 0)</f>
        <v>0</v>
      </c>
      <c r="N154" s="295">
        <f>IF(AND(Scenario[[#This Row],[Total Coverage]]&gt;=70%,Scenario[[#This Row],[Frontier]]=1),1,0)</f>
        <v>0</v>
      </c>
    </row>
    <row r="155" spans="1:14" x14ac:dyDescent="0.25">
      <c r="A155">
        <v>553</v>
      </c>
      <c r="B155">
        <v>0</v>
      </c>
      <c r="C155">
        <v>1</v>
      </c>
      <c r="D155">
        <v>0.5</v>
      </c>
      <c r="E155">
        <v>0.5</v>
      </c>
      <c r="F155">
        <v>1</v>
      </c>
      <c r="G155">
        <v>0</v>
      </c>
      <c r="H155">
        <v>0.5</v>
      </c>
      <c r="I155">
        <v>0.5</v>
      </c>
      <c r="J155" s="272">
        <f>$C$3*($C$4*$E$4*B154*$B$7)*$G$4+$C$3*($C$4*$E$5*D155*$D$7)*$G$4+$C$3*($C$4*$E$4*C155*$C$7)*$G$5+$C$3*($C$4*$E$5*E155*$E$7)*$G$5+$C$3*($C$5*$E$4*F155*$F$7)*$H$4+$C$3*($C$5*$E$5*H155*$H$7)*$H$4+$C$3*($C$5*$E$5*I155*$I$7)*$H$5+$C$3*($C$5*$E$4*G155*$G$7)*$H$5</f>
        <v>3784439.5629180297</v>
      </c>
      <c r="K155" s="277">
        <f>ROUND(($C$4*$E$4*B155*$B$7+$C$4*$E$4*C155*$C$7+$C$4*$E$5*D155*$D$7+$C$4*$E$5*E155*$E$7+($C$5*$E$4*F155*$F$7+$C$5*$E$4*G155*$G$7+$C$5*$E$5*H155*$H$7+$C$5*$E$5*I155*$I$7)),2)</f>
        <v>0.47</v>
      </c>
      <c r="L155" s="276">
        <f>Scenario[[#This Row],[Total Cost]]/(Scenario[[#This Row],[Total Coverage]]*100)</f>
        <v>80519.990700383612</v>
      </c>
      <c r="M155" s="295" cm="1">
        <f t="array" ref="M155">IF(AND(K155=MAX(K$10:K155), L155=MIN(IF(K$10:K155=K155, L$10:L155))), 1, 0)</f>
        <v>0</v>
      </c>
      <c r="N155" s="295">
        <f>IF(AND(Scenario[[#This Row],[Total Coverage]]&gt;=70%,Scenario[[#This Row],[Frontier]]=1),1,0)</f>
        <v>0</v>
      </c>
    </row>
    <row r="156" spans="1:14" x14ac:dyDescent="0.25">
      <c r="A156">
        <v>556</v>
      </c>
      <c r="B156">
        <v>0</v>
      </c>
      <c r="C156">
        <v>1</v>
      </c>
      <c r="D156">
        <v>0.5</v>
      </c>
      <c r="E156">
        <v>0.5</v>
      </c>
      <c r="F156">
        <v>0.75</v>
      </c>
      <c r="G156">
        <v>0.25</v>
      </c>
      <c r="H156">
        <v>1</v>
      </c>
      <c r="I156">
        <v>0</v>
      </c>
      <c r="J156" s="272">
        <f>$C$3*($C$4*$E$4*B155*$B$7)*$G$4+$C$3*($C$4*$E$5*D156*$D$7)*$G$4+$C$3*($C$4*$E$4*C156*$C$7)*$G$5+$C$3*($C$4*$E$5*E156*$E$7)*$G$5+$C$3*($C$5*$E$4*F156*$F$7)*$H$4+$C$3*($C$5*$E$5*H156*$H$7)*$H$4+$C$3*($C$5*$E$5*I156*$I$7)*$H$5+$C$3*($C$5*$E$4*G156*$G$7)*$H$5</f>
        <v>3752773.4062248631</v>
      </c>
      <c r="K156" s="277">
        <f>ROUND(($C$4*$E$4*B156*$B$7+$C$4*$E$4*C156*$C$7+$C$4*$E$5*D156*$D$7+$C$4*$E$5*E156*$E$7+($C$5*$E$4*F156*$F$7+$C$5*$E$4*G156*$G$7+$C$5*$E$5*H156*$H$7+$C$5*$E$5*I156*$I$7)),2)</f>
        <v>0.47</v>
      </c>
      <c r="L156" s="276">
        <f>Scenario[[#This Row],[Total Cost]]/(Scenario[[#This Row],[Total Coverage]]*100)</f>
        <v>79846.242685635385</v>
      </c>
      <c r="M156" s="295" cm="1">
        <f t="array" ref="M156">IF(AND(K156=MAX(K$10:K156), L156=MIN(IF(K$10:K156=K156, L$10:L156))), 1, 0)</f>
        <v>0</v>
      </c>
      <c r="N156" s="295">
        <f>IF(AND(Scenario[[#This Row],[Total Coverage]]&gt;=70%,Scenario[[#This Row],[Frontier]]=1),1,0)</f>
        <v>0</v>
      </c>
    </row>
    <row r="157" spans="1:14" x14ac:dyDescent="0.25">
      <c r="A157">
        <v>86</v>
      </c>
      <c r="B157">
        <v>1</v>
      </c>
      <c r="C157">
        <v>0</v>
      </c>
      <c r="D157">
        <v>0.25</v>
      </c>
      <c r="E157">
        <v>0.75</v>
      </c>
      <c r="F157">
        <v>0.5</v>
      </c>
      <c r="G157">
        <v>0.5</v>
      </c>
      <c r="H157">
        <v>1</v>
      </c>
      <c r="I157">
        <v>0</v>
      </c>
      <c r="J157" s="272">
        <f>$C$3*($C$4*$E$4*B156*$B$7)*$G$4+$C$3*($C$4*$E$5*D157*$D$7)*$G$4+$C$3*($C$4*$E$4*C157*$C$7)*$G$5+$C$3*($C$4*$E$5*E157*$E$7)*$G$5+$C$3*($C$5*$E$4*F157*$F$7)*$H$4+$C$3*($C$5*$E$5*H157*$H$7)*$H$4+$C$3*($C$5*$E$5*I157*$I$7)*$H$5+$C$3*($C$5*$E$4*G157*$G$7)*$H$5</f>
        <v>2799612.1429925491</v>
      </c>
      <c r="K157" s="277">
        <f>ROUND(($C$4*$E$4*B157*$B$7+$C$4*$E$4*C157*$C$7+$C$4*$E$5*D157*$D$7+$C$4*$E$5*E157*$E$7+($C$5*$E$4*F157*$F$7+$C$5*$E$4*G157*$G$7+$C$5*$E$5*H157*$H$7+$C$5*$E$5*I157*$I$7)),2)</f>
        <v>0.48</v>
      </c>
      <c r="L157" s="276">
        <f>Scenario[[#This Row],[Total Cost]]/(Scenario[[#This Row],[Total Coverage]]*100)</f>
        <v>58325.252979011442</v>
      </c>
      <c r="M157" s="295" cm="1">
        <f t="array" ref="M157">IF(AND(K157=MAX(K$10:K157), L157=MIN(IF(K$10:K157=K157, L$10:L157))), 1, 0)</f>
        <v>1</v>
      </c>
      <c r="N157" s="295">
        <f>IF(AND(Scenario[[#This Row],[Total Coverage]]&gt;=70%,Scenario[[#This Row],[Frontier]]=1),1,0)</f>
        <v>0</v>
      </c>
    </row>
    <row r="158" spans="1:14" x14ac:dyDescent="0.25">
      <c r="A158">
        <v>108</v>
      </c>
      <c r="B158">
        <v>1</v>
      </c>
      <c r="C158">
        <v>0</v>
      </c>
      <c r="D158">
        <v>0</v>
      </c>
      <c r="E158">
        <v>1</v>
      </c>
      <c r="F158">
        <v>0.75</v>
      </c>
      <c r="G158">
        <v>0.25</v>
      </c>
      <c r="H158">
        <v>0.5</v>
      </c>
      <c r="I158">
        <v>0.5</v>
      </c>
      <c r="J158" s="272">
        <f>$C$3*($C$4*$E$4*B157*$B$7)*$G$4+$C$3*($C$4*$E$5*D158*$D$7)*$G$4+$C$3*($C$4*$E$4*C158*$C$7)*$G$5+$C$3*($C$4*$E$5*E158*$E$7)*$G$5+$C$3*($C$5*$E$4*F158*$F$7)*$H$4+$C$3*($C$5*$E$5*H158*$H$7)*$H$4+$C$3*($C$5*$E$5*I158*$I$7)*$H$5+$C$3*($C$5*$E$4*G158*$G$7)*$H$5</f>
        <v>3334783.5060713729</v>
      </c>
      <c r="K158" s="277">
        <f>ROUND(($C$4*$E$4*B158*$B$7+$C$4*$E$4*C158*$C$7+$C$4*$E$5*D158*$D$7+$C$4*$E$5*E158*$E$7+($C$5*$E$4*F158*$F$7+$C$5*$E$4*G158*$G$7+$C$5*$E$5*H158*$H$7+$C$5*$E$5*I158*$I$7)),2)</f>
        <v>0.48</v>
      </c>
      <c r="L158" s="276">
        <f>Scenario[[#This Row],[Total Cost]]/(Scenario[[#This Row],[Total Coverage]]*100)</f>
        <v>69474.656376486935</v>
      </c>
      <c r="M158" s="295" cm="1">
        <f t="array" ref="M158">IF(AND(K158=MAX(K$10:K158), L158=MIN(IF(K$10:K158=K158, L$10:L158))), 1, 0)</f>
        <v>0</v>
      </c>
      <c r="N158" s="295">
        <f>IF(AND(Scenario[[#This Row],[Total Coverage]]&gt;=70%,Scenario[[#This Row],[Frontier]]=1),1,0)</f>
        <v>0</v>
      </c>
    </row>
    <row r="159" spans="1:14" x14ac:dyDescent="0.25">
      <c r="A159">
        <v>105</v>
      </c>
      <c r="B159">
        <v>1</v>
      </c>
      <c r="C159">
        <v>0</v>
      </c>
      <c r="D159">
        <v>0</v>
      </c>
      <c r="E159">
        <v>1</v>
      </c>
      <c r="F159">
        <v>1</v>
      </c>
      <c r="G159">
        <v>0</v>
      </c>
      <c r="H159">
        <v>0</v>
      </c>
      <c r="I159">
        <v>1</v>
      </c>
      <c r="J159" s="272">
        <f>$C$3*($C$4*$E$4*B158*$B$7)*$G$4+$C$3*($C$4*$E$5*D159*$D$7)*$G$4+$C$3*($C$4*$E$4*C159*$C$7)*$G$5+$C$3*($C$4*$E$5*E159*$E$7)*$G$5+$C$3*($C$5*$E$4*F159*$F$7)*$H$4+$C$3*($C$5*$E$5*H159*$H$7)*$H$4+$C$3*($C$5*$E$5*I159*$I$7)*$H$5+$C$3*($C$5*$E$4*G159*$G$7)*$H$5</f>
        <v>3260040.03386629</v>
      </c>
      <c r="K159" s="277">
        <f>ROUND(($C$4*$E$4*B159*$B$7+$C$4*$E$4*C159*$C$7+$C$4*$E$5*D159*$D$7+$C$4*$E$5*E159*$E$7+($C$5*$E$4*F159*$F$7+$C$5*$E$4*G159*$G$7+$C$5*$E$5*H159*$H$7+$C$5*$E$5*I159*$I$7)),2)</f>
        <v>0.48</v>
      </c>
      <c r="L159" s="276">
        <f>Scenario[[#This Row],[Total Cost]]/(Scenario[[#This Row],[Total Coverage]]*100)</f>
        <v>67917.500705547704</v>
      </c>
      <c r="M159" s="295" cm="1">
        <f t="array" ref="M159">IF(AND(K159=MAX(K$10:K159), L159=MIN(IF(K$10:K159=K159, L$10:L159))), 1, 0)</f>
        <v>0</v>
      </c>
      <c r="N159" s="295">
        <f>IF(AND(Scenario[[#This Row],[Total Coverage]]&gt;=70%,Scenario[[#This Row],[Frontier]]=1),1,0)</f>
        <v>0</v>
      </c>
    </row>
    <row r="160" spans="1:14" x14ac:dyDescent="0.25">
      <c r="A160">
        <v>34</v>
      </c>
      <c r="B160">
        <v>1</v>
      </c>
      <c r="C160">
        <v>0</v>
      </c>
      <c r="D160">
        <v>0.75</v>
      </c>
      <c r="E160">
        <v>0.25</v>
      </c>
      <c r="F160">
        <v>0.75</v>
      </c>
      <c r="G160">
        <v>0.25</v>
      </c>
      <c r="H160">
        <v>0.25</v>
      </c>
      <c r="I160">
        <v>0.75</v>
      </c>
      <c r="J160" s="272">
        <f>$C$3*($C$4*$E$4*B159*$B$7)*$G$4+$C$3*($C$4*$E$5*D160*$D$7)*$G$4+$C$3*($C$4*$E$4*C160*$C$7)*$G$5+$C$3*($C$4*$E$5*E160*$E$7)*$G$5+$C$3*($C$5*$E$4*F160*$F$7)*$H$4+$C$3*($C$5*$E$5*H160*$H$7)*$H$4+$C$3*($C$5*$E$5*I160*$I$7)*$H$5+$C$3*($C$5*$E$4*G160*$G$7)*$H$5</f>
        <v>3161907.4272338073</v>
      </c>
      <c r="K160" s="277">
        <f>ROUND(($C$4*$E$4*B160*$B$7+$C$4*$E$4*C160*$C$7+$C$4*$E$5*D160*$D$7+$C$4*$E$5*E160*$E$7+($C$5*$E$4*F160*$F$7+$C$5*$E$4*G160*$G$7+$C$5*$E$5*H160*$H$7+$C$5*$E$5*I160*$I$7)),2)</f>
        <v>0.48</v>
      </c>
      <c r="L160" s="276">
        <f>Scenario[[#This Row],[Total Cost]]/(Scenario[[#This Row],[Total Coverage]]*100)</f>
        <v>65873.071400704313</v>
      </c>
      <c r="M160" s="295" cm="1">
        <f t="array" ref="M160">IF(AND(K160=MAX(K$10:K160), L160=MIN(IF(K$10:K160=K160, L$10:L160))), 1, 0)</f>
        <v>0</v>
      </c>
      <c r="N160" s="295">
        <f>IF(AND(Scenario[[#This Row],[Total Coverage]]&gt;=70%,Scenario[[#This Row],[Frontier]]=1),1,0)</f>
        <v>0</v>
      </c>
    </row>
    <row r="161" spans="1:14" x14ac:dyDescent="0.25">
      <c r="A161">
        <v>186</v>
      </c>
      <c r="B161">
        <v>0.75</v>
      </c>
      <c r="C161">
        <v>0.25</v>
      </c>
      <c r="D161">
        <v>0.5</v>
      </c>
      <c r="E161">
        <v>0.5</v>
      </c>
      <c r="F161">
        <v>0.5</v>
      </c>
      <c r="G161">
        <v>0.5</v>
      </c>
      <c r="H161">
        <v>1</v>
      </c>
      <c r="I161">
        <v>0</v>
      </c>
      <c r="J161" s="272">
        <f>$C$3*($C$4*$E$4*B160*$B$7)*$G$4+$C$3*($C$4*$E$5*D161*$D$7)*$G$4+$C$3*($C$4*$E$4*C161*$C$7)*$G$5+$C$3*($C$4*$E$5*E161*$E$7)*$G$5+$C$3*($C$5*$E$4*F161*$F$7)*$H$4+$C$3*($C$5*$E$5*H161*$H$7)*$H$4+$C$3*($C$5*$E$5*I161*$I$7)*$H$5+$C$3*($C$5*$E$4*G161*$G$7)*$H$5</f>
        <v>3533996.0427942947</v>
      </c>
      <c r="K161" s="277">
        <f>ROUND(($C$4*$E$4*B161*$B$7+$C$4*$E$4*C161*$C$7+$C$4*$E$5*D161*$D$7+$C$4*$E$5*E161*$E$7+($C$5*$E$4*F161*$F$7+$C$5*$E$4*G161*$G$7+$C$5*$E$5*H161*$H$7+$C$5*$E$5*I161*$I$7)),2)</f>
        <v>0.48</v>
      </c>
      <c r="L161" s="276">
        <f>Scenario[[#This Row],[Total Cost]]/(Scenario[[#This Row],[Total Coverage]]*100)</f>
        <v>73624.917558214467</v>
      </c>
      <c r="M161" s="295" cm="1">
        <f t="array" ref="M161">IF(AND(K161=MAX(K$10:K161), L161=MIN(IF(K$10:K161=K161, L$10:L161))), 1, 0)</f>
        <v>0</v>
      </c>
      <c r="N161" s="295">
        <f>IF(AND(Scenario[[#This Row],[Total Coverage]]&gt;=70%,Scenario[[#This Row],[Frontier]]=1),1,0)</f>
        <v>0</v>
      </c>
    </row>
    <row r="162" spans="1:14" x14ac:dyDescent="0.25">
      <c r="A162">
        <v>37</v>
      </c>
      <c r="B162">
        <v>1</v>
      </c>
      <c r="C162">
        <v>0</v>
      </c>
      <c r="D162">
        <v>0.75</v>
      </c>
      <c r="E162">
        <v>0.25</v>
      </c>
      <c r="F162">
        <v>0.5</v>
      </c>
      <c r="G162">
        <v>0.5</v>
      </c>
      <c r="H162">
        <v>0.75</v>
      </c>
      <c r="I162">
        <v>0.25</v>
      </c>
      <c r="J162" s="272">
        <f>$C$3*($C$4*$E$4*B161*$B$7)*$G$4+$C$3*($C$4*$E$5*D162*$D$7)*$G$4+$C$3*($C$4*$E$4*C162*$C$7)*$G$5+$C$3*($C$4*$E$5*E162*$E$7)*$G$5+$C$3*($C$5*$E$4*F162*$F$7)*$H$4+$C$3*($C$5*$E$5*H162*$H$7)*$H$4+$C$3*($C$5*$E$5*I162*$I$7)*$H$5+$C$3*($C$5*$E$4*G162*$G$7)*$H$5</f>
        <v>3130241.2705406407</v>
      </c>
      <c r="K162" s="277">
        <f>ROUND(($C$4*$E$4*B162*$B$7+$C$4*$E$4*C162*$C$7+$C$4*$E$5*D162*$D$7+$C$4*$E$5*E162*$E$7+($C$5*$E$4*F162*$F$7+$C$5*$E$4*G162*$G$7+$C$5*$E$5*H162*$H$7+$C$5*$E$5*I162*$I$7)),2)</f>
        <v>0.48</v>
      </c>
      <c r="L162" s="276">
        <f>Scenario[[#This Row],[Total Cost]]/(Scenario[[#This Row],[Total Coverage]]*100)</f>
        <v>65213.359802930012</v>
      </c>
      <c r="M162" s="295" cm="1">
        <f t="array" ref="M162">IF(AND(K162=MAX(K$10:K162), L162=MIN(IF(K$10:K162=K162, L$10:L162))), 1, 0)</f>
        <v>0</v>
      </c>
      <c r="N162" s="295">
        <f>IF(AND(Scenario[[#This Row],[Total Coverage]]&gt;=70%,Scenario[[#This Row],[Frontier]]=1),1,0)</f>
        <v>0</v>
      </c>
    </row>
    <row r="163" spans="1:14" x14ac:dyDescent="0.25">
      <c r="A163">
        <v>183</v>
      </c>
      <c r="B163">
        <v>0.75</v>
      </c>
      <c r="C163">
        <v>0.25</v>
      </c>
      <c r="D163">
        <v>0.5</v>
      </c>
      <c r="E163">
        <v>0.5</v>
      </c>
      <c r="F163">
        <v>0.75</v>
      </c>
      <c r="G163">
        <v>0.25</v>
      </c>
      <c r="H163">
        <v>0.5</v>
      </c>
      <c r="I163">
        <v>0.5</v>
      </c>
      <c r="J163" s="272">
        <f>$C$3*($C$4*$E$4*B162*$B$7)*$G$4+$C$3*($C$4*$E$5*D163*$D$7)*$G$4+$C$3*($C$4*$E$4*C163*$C$7)*$G$5+$C$3*($C$4*$E$5*E163*$E$7)*$G$5+$C$3*($C$5*$E$4*F163*$F$7)*$H$4+$C$3*($C$5*$E$5*H163*$H$7)*$H$4+$C$3*($C$5*$E$5*I163*$I$7)*$H$5+$C$3*($C$5*$E$4*G163*$G$7)*$H$5</f>
        <v>3459252.5705892122</v>
      </c>
      <c r="K163" s="277">
        <f>ROUND(($C$4*$E$4*B163*$B$7+$C$4*$E$4*C163*$C$7+$C$4*$E$5*D163*$D$7+$C$4*$E$5*E163*$E$7+($C$5*$E$4*F163*$F$7+$C$5*$E$4*G163*$G$7+$C$5*$E$5*H163*$H$7+$C$5*$E$5*I163*$I$7)),2)</f>
        <v>0.48</v>
      </c>
      <c r="L163" s="276">
        <f>Scenario[[#This Row],[Total Cost]]/(Scenario[[#This Row],[Total Coverage]]*100)</f>
        <v>72067.76188727525</v>
      </c>
      <c r="M163" s="295" cm="1">
        <f t="array" ref="M163">IF(AND(K163=MAX(K$10:K163), L163=MIN(IF(K$10:K163=K163, L$10:L163))), 1, 0)</f>
        <v>0</v>
      </c>
      <c r="N163" s="295">
        <f>IF(AND(Scenario[[#This Row],[Total Coverage]]&gt;=70%,Scenario[[#This Row],[Frontier]]=1),1,0)</f>
        <v>0</v>
      </c>
    </row>
    <row r="164" spans="1:14" x14ac:dyDescent="0.25">
      <c r="A164">
        <v>332</v>
      </c>
      <c r="B164">
        <v>0.5</v>
      </c>
      <c r="C164">
        <v>0.5</v>
      </c>
      <c r="D164">
        <v>0.25</v>
      </c>
      <c r="E164">
        <v>0.75</v>
      </c>
      <c r="F164">
        <v>0.75</v>
      </c>
      <c r="G164">
        <v>0.25</v>
      </c>
      <c r="H164">
        <v>0.75</v>
      </c>
      <c r="I164">
        <v>0.25</v>
      </c>
      <c r="J164" s="272">
        <f>$C$3*($C$4*$E$4*B163*$B$7)*$G$4+$C$3*($C$4*$E$5*D164*$D$7)*$G$4+$C$3*($C$4*$E$4*C164*$C$7)*$G$5+$C$3*($C$4*$E$5*E164*$E$7)*$G$5+$C$3*($C$5*$E$4*F164*$F$7)*$H$4+$C$3*($C$5*$E$5*H164*$H$7)*$H$4+$C$3*($C$5*$E$5*I164*$I$7)*$H$5+$C$3*($C$5*$E$4*G164*$G$7)*$H$5</f>
        <v>3650188.0850463673</v>
      </c>
      <c r="K164" s="277">
        <f>ROUND(($C$4*$E$4*B164*$B$7+$C$4*$E$4*C164*$C$7+$C$4*$E$5*D164*$D$7+$C$4*$E$5*E164*$E$7+($C$5*$E$4*F164*$F$7+$C$5*$E$4*G164*$G$7+$C$5*$E$5*H164*$H$7+$C$5*$E$5*I164*$I$7)),2)</f>
        <v>0.48</v>
      </c>
      <c r="L164" s="276">
        <f>Scenario[[#This Row],[Total Cost]]/(Scenario[[#This Row],[Total Coverage]]*100)</f>
        <v>76045.585105132646</v>
      </c>
      <c r="M164" s="295" cm="1">
        <f t="array" ref="M164">IF(AND(K164=MAX(K$10:K164), L164=MIN(IF(K$10:K164=K164, L$10:L164))), 1, 0)</f>
        <v>0</v>
      </c>
      <c r="N164" s="295">
        <f>IF(AND(Scenario[[#This Row],[Total Coverage]]&gt;=70%,Scenario[[#This Row],[Frontier]]=1),1,0)</f>
        <v>0</v>
      </c>
    </row>
    <row r="165" spans="1:14" x14ac:dyDescent="0.25">
      <c r="A165">
        <v>180</v>
      </c>
      <c r="B165">
        <v>0.75</v>
      </c>
      <c r="C165">
        <v>0.25</v>
      </c>
      <c r="D165">
        <v>0.5</v>
      </c>
      <c r="E165">
        <v>0.5</v>
      </c>
      <c r="F165">
        <v>1</v>
      </c>
      <c r="G165">
        <v>0</v>
      </c>
      <c r="H165">
        <v>0</v>
      </c>
      <c r="I165">
        <v>1</v>
      </c>
      <c r="J165" s="272">
        <f>$C$3*($C$4*$E$4*B164*$B$7)*$G$4+$C$3*($C$4*$E$5*D165*$D$7)*$G$4+$C$3*($C$4*$E$4*C165*$C$7)*$G$5+$C$3*($C$4*$E$5*E165*$E$7)*$G$5+$C$3*($C$5*$E$4*F165*$F$7)*$H$4+$C$3*($C$5*$E$5*H165*$H$7)*$H$4+$C$3*($C$5*$E$5*I165*$I$7)*$H$5+$C$3*($C$5*$E$4*G165*$G$7)*$H$5</f>
        <v>3171689.8405876309</v>
      </c>
      <c r="K165" s="277">
        <f>ROUND(($C$4*$E$4*B165*$B$7+$C$4*$E$4*C165*$C$7+$C$4*$E$5*D165*$D$7+$C$4*$E$5*E165*$E$7+($C$5*$E$4*F165*$F$7+$C$5*$E$4*G165*$G$7+$C$5*$E$5*H165*$H$7+$C$5*$E$5*I165*$I$7)),2)</f>
        <v>0.48</v>
      </c>
      <c r="L165" s="276">
        <f>Scenario[[#This Row],[Total Cost]]/(Scenario[[#This Row],[Total Coverage]]*100)</f>
        <v>66076.871678908981</v>
      </c>
      <c r="M165" s="295" cm="1">
        <f t="array" ref="M165">IF(AND(K165=MAX(K$10:K165), L165=MIN(IF(K$10:K165=K165, L$10:L165))), 1, 0)</f>
        <v>0</v>
      </c>
      <c r="N165" s="295">
        <f>IF(AND(Scenario[[#This Row],[Total Coverage]]&gt;=70%,Scenario[[#This Row],[Frontier]]=1),1,0)</f>
        <v>0</v>
      </c>
    </row>
    <row r="166" spans="1:14" x14ac:dyDescent="0.25">
      <c r="A166">
        <v>261</v>
      </c>
      <c r="B166">
        <v>0.5</v>
      </c>
      <c r="C166">
        <v>0.5</v>
      </c>
      <c r="D166">
        <v>1</v>
      </c>
      <c r="E166">
        <v>0</v>
      </c>
      <c r="F166">
        <v>0.5</v>
      </c>
      <c r="G166">
        <v>0.5</v>
      </c>
      <c r="H166">
        <v>1</v>
      </c>
      <c r="I166">
        <v>0</v>
      </c>
      <c r="J166" s="272">
        <f>$C$3*($C$4*$E$4*B165*$B$7)*$G$4+$C$3*($C$4*$E$5*D166*$D$7)*$G$4+$C$3*($C$4*$E$4*C166*$C$7)*$G$5+$C$3*($C$4*$E$5*E166*$E$7)*$G$5+$C$3*($C$5*$E$4*F166*$F$7)*$H$4+$C$3*($C$5*$E$5*H166*$H$7)*$H$4+$C$3*($C$5*$E$5*I166*$I$7)*$H$5+$C$3*($C$5*$E$4*G166*$G$7)*$H$5</f>
        <v>3552055.4784138845</v>
      </c>
      <c r="K166" s="277">
        <f>ROUND(($C$4*$E$4*B166*$B$7+$C$4*$E$4*C166*$C$7+$C$4*$E$5*D166*$D$7+$C$4*$E$5*E166*$E$7+($C$5*$E$4*F166*$F$7+$C$5*$E$4*G166*$G$7+$C$5*$E$5*H166*$H$7+$C$5*$E$5*I166*$I$7)),2)</f>
        <v>0.48</v>
      </c>
      <c r="L166" s="276">
        <f>Scenario[[#This Row],[Total Cost]]/(Scenario[[#This Row],[Total Coverage]]*100)</f>
        <v>74001.155800289256</v>
      </c>
      <c r="M166" s="295" cm="1">
        <f t="array" ref="M166">IF(AND(K166=MAX(K$10:K166), L166=MIN(IF(K$10:K166=K166, L$10:L166))), 1, 0)</f>
        <v>0</v>
      </c>
      <c r="N166" s="295">
        <f>IF(AND(Scenario[[#This Row],[Total Coverage]]&gt;=70%,Scenario[[#This Row],[Frontier]]=1),1,0)</f>
        <v>0</v>
      </c>
    </row>
    <row r="167" spans="1:14" x14ac:dyDescent="0.25">
      <c r="A167">
        <v>429</v>
      </c>
      <c r="B167">
        <v>0.25</v>
      </c>
      <c r="C167">
        <v>0.75</v>
      </c>
      <c r="D167">
        <v>0.5</v>
      </c>
      <c r="E167">
        <v>0.5</v>
      </c>
      <c r="F167">
        <v>1</v>
      </c>
      <c r="G167">
        <v>0</v>
      </c>
      <c r="H167">
        <v>0.25</v>
      </c>
      <c r="I167">
        <v>0.75</v>
      </c>
      <c r="J167" s="272">
        <f>$C$3*($C$4*$E$4*B166*$B$7)*$G$4+$C$3*($C$4*$E$5*D167*$D$7)*$G$4+$C$3*($C$4*$E$4*C167*$C$7)*$G$5+$C$3*($C$4*$E$5*E167*$E$7)*$G$5+$C$3*($C$5*$E$4*F167*$F$7)*$H$4+$C$3*($C$5*$E$5*H167*$H$7)*$H$4+$C$3*($C$5*$E$5*I167*$I$7)*$H$5+$C$3*($C$5*$E$4*G167*$G$7)*$H$5</f>
        <v>3777780.368151783</v>
      </c>
      <c r="K167" s="277">
        <f>ROUND(($C$4*$E$4*B167*$B$7+$C$4*$E$4*C167*$C$7+$C$4*$E$5*D167*$D$7+$C$4*$E$5*E167*$E$7+($C$5*$E$4*F167*$F$7+$C$5*$E$4*G167*$G$7+$C$5*$E$5*H167*$H$7+$C$5*$E$5*I167*$I$7)),2)</f>
        <v>0.48</v>
      </c>
      <c r="L167" s="276">
        <f>Scenario[[#This Row],[Total Cost]]/(Scenario[[#This Row],[Total Coverage]]*100)</f>
        <v>78703.757669828818</v>
      </c>
      <c r="M167" s="295" cm="1">
        <f t="array" ref="M167">IF(AND(K167=MAX(K$10:K167), L167=MIN(IF(K$10:K167=K167, L$10:L167))), 1, 0)</f>
        <v>0</v>
      </c>
      <c r="N167" s="295">
        <f>IF(AND(Scenario[[#This Row],[Total Coverage]]&gt;=70%,Scenario[[#This Row],[Frontier]]=1),1,0)</f>
        <v>0</v>
      </c>
    </row>
    <row r="168" spans="1:14" x14ac:dyDescent="0.25">
      <c r="A168">
        <v>280</v>
      </c>
      <c r="B168">
        <v>0.5</v>
      </c>
      <c r="C168">
        <v>0.5</v>
      </c>
      <c r="D168">
        <v>0.75</v>
      </c>
      <c r="E168">
        <v>0.25</v>
      </c>
      <c r="F168">
        <v>1</v>
      </c>
      <c r="G168">
        <v>0</v>
      </c>
      <c r="H168">
        <v>0</v>
      </c>
      <c r="I168">
        <v>1</v>
      </c>
      <c r="J168" s="272">
        <f>$C$3*($C$4*$E$4*B167*$B$7)*$G$4+$C$3*($C$4*$E$5*D168*$D$7)*$G$4+$C$3*($C$4*$E$4*C168*$C$7)*$G$5+$C$3*($C$4*$E$5*E168*$E$7)*$G$5+$C$3*($C$5*$E$4*F168*$F$7)*$H$4+$C$3*($C$5*$E$5*H168*$H$7)*$H$4+$C$3*($C$5*$E$5*I168*$I$7)*$H$5+$C$3*($C$5*$E$4*G168*$G$7)*$H$5</f>
        <v>3374025.595898129</v>
      </c>
      <c r="K168" s="277">
        <f>ROUND(($C$4*$E$4*B168*$B$7+$C$4*$E$4*C168*$C$7+$C$4*$E$5*D168*$D$7+$C$4*$E$5*E168*$E$7+($C$5*$E$4*F168*$F$7+$C$5*$E$4*G168*$G$7+$C$5*$E$5*H168*$H$7+$C$5*$E$5*I168*$I$7)),2)</f>
        <v>0.48</v>
      </c>
      <c r="L168" s="276">
        <f>Scenario[[#This Row],[Total Cost]]/(Scenario[[#This Row],[Total Coverage]]*100)</f>
        <v>70292.199914544355</v>
      </c>
      <c r="M168" s="295" cm="1">
        <f t="array" ref="M168">IF(AND(K168=MAX(K$10:K168), L168=MIN(IF(K$10:K168=K168, L$10:L168))), 1, 0)</f>
        <v>0</v>
      </c>
      <c r="N168" s="295">
        <f>IF(AND(Scenario[[#This Row],[Total Coverage]]&gt;=70%,Scenario[[#This Row],[Frontier]]=1),1,0)</f>
        <v>0</v>
      </c>
    </row>
    <row r="169" spans="1:14" x14ac:dyDescent="0.25">
      <c r="A169">
        <v>507</v>
      </c>
      <c r="B169">
        <v>0</v>
      </c>
      <c r="C169">
        <v>1</v>
      </c>
      <c r="D169">
        <v>1</v>
      </c>
      <c r="E169">
        <v>0</v>
      </c>
      <c r="F169">
        <v>0.75</v>
      </c>
      <c r="G169">
        <v>0.25</v>
      </c>
      <c r="H169">
        <v>0.75</v>
      </c>
      <c r="I169">
        <v>0.25</v>
      </c>
      <c r="J169" s="272">
        <f>$C$3*($C$4*$E$4*B168*$B$7)*$G$4+$C$3*($C$4*$E$5*D169*$D$7)*$G$4+$C$3*($C$4*$E$4*C169*$C$7)*$G$5+$C$3*($C$4*$E$5*E169*$E$7)*$G$5+$C$3*($C$5*$E$4*F169*$F$7)*$H$4+$C$3*($C$5*$E$5*H169*$H$7)*$H$4+$C$3*($C$5*$E$5*I169*$I$7)*$H$5+$C$3*($C$5*$E$4*G169*$G$7)*$H$5</f>
        <v>3976992.9048747052</v>
      </c>
      <c r="K169" s="277">
        <f>ROUND(($C$4*$E$4*B169*$B$7+$C$4*$E$4*C169*$C$7+$C$4*$E$5*D169*$D$7+$C$4*$E$5*E169*$E$7+($C$5*$E$4*F169*$F$7+$C$5*$E$4*G169*$G$7+$C$5*$E$5*H169*$H$7+$C$5*$E$5*I169*$I$7)),2)</f>
        <v>0.48</v>
      </c>
      <c r="L169" s="276">
        <f>Scenario[[#This Row],[Total Cost]]/(Scenario[[#This Row],[Total Coverage]]*100)</f>
        <v>82854.018851556364</v>
      </c>
      <c r="M169" s="295" cm="1">
        <f t="array" ref="M169">IF(AND(K169=MAX(K$10:K169), L169=MIN(IF(K$10:K169=K169, L$10:L169))), 1, 0)</f>
        <v>0</v>
      </c>
      <c r="N169" s="295">
        <f>IF(AND(Scenario[[#This Row],[Total Coverage]]&gt;=70%,Scenario[[#This Row],[Frontier]]=1),1,0)</f>
        <v>0</v>
      </c>
    </row>
    <row r="170" spans="1:14" x14ac:dyDescent="0.25">
      <c r="A170">
        <v>504</v>
      </c>
      <c r="B170">
        <v>0</v>
      </c>
      <c r="C170">
        <v>1</v>
      </c>
      <c r="D170">
        <v>1</v>
      </c>
      <c r="E170">
        <v>0</v>
      </c>
      <c r="F170">
        <v>1</v>
      </c>
      <c r="G170">
        <v>0</v>
      </c>
      <c r="H170">
        <v>0.25</v>
      </c>
      <c r="I170">
        <v>0.75</v>
      </c>
      <c r="J170" s="272">
        <f>$C$3*($C$4*$E$4*B169*$B$7)*$G$4+$C$3*($C$4*$E$5*D170*$D$7)*$G$4+$C$3*($C$4*$E$4*C170*$C$7)*$G$5+$C$3*($C$4*$E$5*E170*$E$7)*$G$5+$C$3*($C$5*$E$4*F170*$F$7)*$H$4+$C$3*($C$5*$E$5*H170*$H$7)*$H$4+$C$3*($C$5*$E$5*I170*$I$7)*$H$5+$C$3*($C$5*$E$4*G170*$G$7)*$H$5</f>
        <v>3689430.1748731239</v>
      </c>
      <c r="K170" s="277">
        <f>ROUND(($C$4*$E$4*B170*$B$7+$C$4*$E$4*C170*$C$7+$C$4*$E$5*D170*$D$7+$C$4*$E$5*E170*$E$7+($C$5*$E$4*F170*$F$7+$C$5*$E$4*G170*$G$7+$C$5*$E$5*H170*$H$7+$C$5*$E$5*I170*$I$7)),2)</f>
        <v>0.48</v>
      </c>
      <c r="L170" s="276">
        <f>Scenario[[#This Row],[Total Cost]]/(Scenario[[#This Row],[Total Coverage]]*100)</f>
        <v>76863.128643190081</v>
      </c>
      <c r="M170" s="295" cm="1">
        <f t="array" ref="M170">IF(AND(K170=MAX(K$10:K170), L170=MIN(IF(K$10:K170=K170, L$10:L170))), 1, 0)</f>
        <v>0</v>
      </c>
      <c r="N170" s="295">
        <f>IF(AND(Scenario[[#This Row],[Total Coverage]]&gt;=70%,Scenario[[#This Row],[Frontier]]=1),1,0)</f>
        <v>0</v>
      </c>
    </row>
    <row r="171" spans="1:14" x14ac:dyDescent="0.25">
      <c r="A171">
        <v>481</v>
      </c>
      <c r="B171">
        <v>0.25</v>
      </c>
      <c r="C171">
        <v>0.75</v>
      </c>
      <c r="D171">
        <v>0</v>
      </c>
      <c r="E171">
        <v>1</v>
      </c>
      <c r="F171">
        <v>0.75</v>
      </c>
      <c r="G171">
        <v>0.25</v>
      </c>
      <c r="H171">
        <v>1</v>
      </c>
      <c r="I171">
        <v>0</v>
      </c>
      <c r="J171" s="272">
        <f>$C$3*($C$4*$E$4*B170*$B$7)*$G$4+$C$3*($C$4*$E$5*D171*$D$7)*$G$4+$C$3*($C$4*$E$4*C171*$C$7)*$G$5+$C$3*($C$4*$E$5*E171*$E$7)*$G$5+$C$3*($C$5*$E$4*F171*$F$7)*$H$4+$C$3*($C$5*$E$5*H171*$H$7)*$H$4+$C$3*($C$5*$E$5*I171*$I$7)*$H$5+$C$3*($C$5*$E$4*G171*$G$7)*$H$5</f>
        <v>3628304.3417070238</v>
      </c>
      <c r="K171" s="277">
        <f>ROUND(($C$4*$E$4*B171*$B$7+$C$4*$E$4*C171*$C$7+$C$4*$E$5*D171*$D$7+$C$4*$E$5*E171*$E$7+($C$5*$E$4*F171*$F$7+$C$5*$E$4*G171*$G$7+$C$5*$E$5*H171*$H$7+$C$5*$E$5*I171*$I$7)),2)</f>
        <v>0.48</v>
      </c>
      <c r="L171" s="276">
        <f>Scenario[[#This Row],[Total Cost]]/(Scenario[[#This Row],[Total Coverage]]*100)</f>
        <v>75589.673785562991</v>
      </c>
      <c r="M171" s="295" cm="1">
        <f t="array" ref="M171">IF(AND(K171=MAX(K$10:K171), L171=MIN(IF(K$10:K171=K171, L$10:L171))), 1, 0)</f>
        <v>0</v>
      </c>
      <c r="N171" s="295">
        <f>IF(AND(Scenario[[#This Row],[Total Coverage]]&gt;=70%,Scenario[[#This Row],[Frontier]]=1),1,0)</f>
        <v>0</v>
      </c>
    </row>
    <row r="172" spans="1:14" x14ac:dyDescent="0.25">
      <c r="A172">
        <v>578</v>
      </c>
      <c r="B172">
        <v>0</v>
      </c>
      <c r="C172">
        <v>1</v>
      </c>
      <c r="D172">
        <v>0.25</v>
      </c>
      <c r="E172">
        <v>0.75</v>
      </c>
      <c r="F172">
        <v>1</v>
      </c>
      <c r="G172">
        <v>0</v>
      </c>
      <c r="H172">
        <v>0.5</v>
      </c>
      <c r="I172">
        <v>0.5</v>
      </c>
      <c r="J172" s="272">
        <f>$C$3*($C$4*$E$4*B171*$B$7)*$G$4+$C$3*($C$4*$E$5*D172*$D$7)*$G$4+$C$3*($C$4*$E$4*C172*$C$7)*$G$5+$C$3*($C$4*$E$5*E172*$E$7)*$G$5+$C$3*($C$5*$E$4*F172*$F$7)*$H$4+$C$3*($C$5*$E$5*H172*$H$7)*$H$4+$C$3*($C$5*$E$5*I172*$I$7)*$H$5+$C$3*($C$5*$E$4*G172*$G$7)*$H$5</f>
        <v>3968715.882608938</v>
      </c>
      <c r="K172" s="277">
        <f>ROUND(($C$4*$E$4*B172*$B$7+$C$4*$E$4*C172*$C$7+$C$4*$E$5*D172*$D$7+$C$4*$E$5*E172*$E$7+($C$5*$E$4*F172*$F$7+$C$5*$E$4*G172*$G$7+$C$5*$E$5*H172*$H$7+$C$5*$E$5*I172*$I$7)),2)</f>
        <v>0.48</v>
      </c>
      <c r="L172" s="276">
        <f>Scenario[[#This Row],[Total Cost]]/(Scenario[[#This Row],[Total Coverage]]*100)</f>
        <v>82681.580887686214</v>
      </c>
      <c r="M172" s="295" cm="1">
        <f t="array" ref="M172">IF(AND(K172=MAX(K$10:K172), L172=MIN(IF(K$10:K172=K172, L$10:L172))), 1, 0)</f>
        <v>0</v>
      </c>
      <c r="N172" s="295">
        <f>IF(AND(Scenario[[#This Row],[Total Coverage]]&gt;=70%,Scenario[[#This Row],[Frontier]]=1),1,0)</f>
        <v>0</v>
      </c>
    </row>
    <row r="173" spans="1:14" x14ac:dyDescent="0.25">
      <c r="A173">
        <v>111</v>
      </c>
      <c r="B173">
        <v>1</v>
      </c>
      <c r="C173">
        <v>0</v>
      </c>
      <c r="D173">
        <v>0</v>
      </c>
      <c r="E173">
        <v>1</v>
      </c>
      <c r="F173">
        <v>0.5</v>
      </c>
      <c r="G173">
        <v>0.5</v>
      </c>
      <c r="H173">
        <v>1</v>
      </c>
      <c r="I173">
        <v>0</v>
      </c>
      <c r="J173" s="272">
        <f>$C$3*($C$4*$E$4*B172*$B$7)*$G$4+$C$3*($C$4*$E$5*D173*$D$7)*$G$4+$C$3*($C$4*$E$4*C173*$C$7)*$G$5+$C$3*($C$4*$E$5*E173*$E$7)*$G$5+$C$3*($C$5*$E$4*F173*$F$7)*$H$4+$C$3*($C$5*$E$5*H173*$H$7)*$H$4+$C$3*($C$5*$E$5*I173*$I$7)*$H$5+$C$3*($C$5*$E$4*G173*$G$7)*$H$5</f>
        <v>2983888.4626834579</v>
      </c>
      <c r="K173" s="277">
        <f>ROUND(($C$4*$E$4*B173*$B$7+$C$4*$E$4*C173*$C$7+$C$4*$E$5*D173*$D$7+$C$4*$E$5*E173*$E$7+($C$5*$E$4*F173*$F$7+$C$5*$E$4*G173*$G$7+$C$5*$E$5*H173*$H$7+$C$5*$E$5*I173*$I$7)),2)</f>
        <v>0.49</v>
      </c>
      <c r="L173" s="276">
        <f>Scenario[[#This Row],[Total Cost]]/(Scenario[[#This Row],[Total Coverage]]*100)</f>
        <v>60895.682911907301</v>
      </c>
      <c r="M173" s="295" cm="1">
        <f t="array" ref="M173">IF(AND(K173=MAX(K$10:K173), L173=MIN(IF(K$10:K173=K173, L$10:L173))), 1, 0)</f>
        <v>1</v>
      </c>
      <c r="N173" s="295">
        <f>IF(AND(Scenario[[#This Row],[Total Coverage]]&gt;=70%,Scenario[[#This Row],[Frontier]]=1),1,0)</f>
        <v>0</v>
      </c>
    </row>
    <row r="174" spans="1:14" x14ac:dyDescent="0.25">
      <c r="A174">
        <v>59</v>
      </c>
      <c r="B174">
        <v>1</v>
      </c>
      <c r="C174">
        <v>0</v>
      </c>
      <c r="D174">
        <v>0.5</v>
      </c>
      <c r="E174">
        <v>0.5</v>
      </c>
      <c r="F174">
        <v>0.75</v>
      </c>
      <c r="G174">
        <v>0.25</v>
      </c>
      <c r="H174">
        <v>0.25</v>
      </c>
      <c r="I174">
        <v>0.75</v>
      </c>
      <c r="J174" s="272">
        <f>$C$3*($C$4*$E$4*B173*$B$7)*$G$4+$C$3*($C$4*$E$5*D174*$D$7)*$G$4+$C$3*($C$4*$E$4*C174*$C$7)*$G$5+$C$3*($C$4*$E$5*E174*$E$7)*$G$5+$C$3*($C$5*$E$4*F174*$F$7)*$H$4+$C$3*($C$5*$E$5*H174*$H$7)*$H$4+$C$3*($C$5*$E$5*I174*$I$7)*$H$5+$C$3*($C$5*$E$4*G174*$G$7)*$H$5</f>
        <v>3346183.746924716</v>
      </c>
      <c r="K174" s="277">
        <f>ROUND(($C$4*$E$4*B174*$B$7+$C$4*$E$4*C174*$C$7+$C$4*$E$5*D174*$D$7+$C$4*$E$5*E174*$E$7+($C$5*$E$4*F174*$F$7+$C$5*$E$4*G174*$G$7+$C$5*$E$5*H174*$H$7+$C$5*$E$5*I174*$I$7)),2)</f>
        <v>0.49</v>
      </c>
      <c r="L174" s="276">
        <f>Scenario[[#This Row],[Total Cost]]/(Scenario[[#This Row],[Total Coverage]]*100)</f>
        <v>68289.464222953393</v>
      </c>
      <c r="M174" s="295" cm="1">
        <f t="array" ref="M174">IF(AND(K174=MAX(K$10:K174), L174=MIN(IF(K$10:K174=K174, L$10:L174))), 1, 0)</f>
        <v>0</v>
      </c>
      <c r="N174" s="295">
        <f>IF(AND(Scenario[[#This Row],[Total Coverage]]&gt;=70%,Scenario[[#This Row],[Frontier]]=1),1,0)</f>
        <v>0</v>
      </c>
    </row>
    <row r="175" spans="1:14" x14ac:dyDescent="0.25">
      <c r="A175">
        <v>208</v>
      </c>
      <c r="B175">
        <v>0.75</v>
      </c>
      <c r="C175">
        <v>0.25</v>
      </c>
      <c r="D175">
        <v>0.25</v>
      </c>
      <c r="E175">
        <v>0.75</v>
      </c>
      <c r="F175">
        <v>0.75</v>
      </c>
      <c r="G175">
        <v>0.25</v>
      </c>
      <c r="H175">
        <v>0.5</v>
      </c>
      <c r="I175">
        <v>0.5</v>
      </c>
      <c r="J175" s="272">
        <f>$C$3*($C$4*$E$4*B174*$B$7)*$G$4+$C$3*($C$4*$E$5*D175*$D$7)*$G$4+$C$3*($C$4*$E$4*C175*$C$7)*$G$5+$C$3*($C$4*$E$5*E175*$E$7)*$G$5+$C$3*($C$5*$E$4*F175*$F$7)*$H$4+$C$3*($C$5*$E$5*H175*$H$7)*$H$4+$C$3*($C$5*$E$5*I175*$I$7)*$H$5+$C$3*($C$5*$E$4*G175*$G$7)*$H$5</f>
        <v>3643528.8902801205</v>
      </c>
      <c r="K175" s="277">
        <f>ROUND(($C$4*$E$4*B175*$B$7+$C$4*$E$4*C175*$C$7+$C$4*$E$5*D175*$D$7+$C$4*$E$5*E175*$E$7+($C$5*$E$4*F175*$F$7+$C$5*$E$4*G175*$G$7+$C$5*$E$5*H175*$H$7+$C$5*$E$5*I175*$I$7)),2)</f>
        <v>0.49</v>
      </c>
      <c r="L175" s="276">
        <f>Scenario[[#This Row],[Total Cost]]/(Scenario[[#This Row],[Total Coverage]]*100)</f>
        <v>74357.732454696335</v>
      </c>
      <c r="M175" s="295" cm="1">
        <f t="array" ref="M175">IF(AND(K175=MAX(K$10:K175), L175=MIN(IF(K$10:K175=K175, L$10:L175))), 1, 0)</f>
        <v>0</v>
      </c>
      <c r="N175" s="295">
        <f>IF(AND(Scenario[[#This Row],[Total Coverage]]&gt;=70%,Scenario[[#This Row],[Frontier]]=1),1,0)</f>
        <v>0</v>
      </c>
    </row>
    <row r="176" spans="1:14" x14ac:dyDescent="0.25">
      <c r="A176">
        <v>134</v>
      </c>
      <c r="B176">
        <v>0.75</v>
      </c>
      <c r="C176">
        <v>0.25</v>
      </c>
      <c r="D176">
        <v>1</v>
      </c>
      <c r="E176">
        <v>0</v>
      </c>
      <c r="F176">
        <v>0.75</v>
      </c>
      <c r="G176">
        <v>0.25</v>
      </c>
      <c r="H176">
        <v>0.25</v>
      </c>
      <c r="I176">
        <v>0.75</v>
      </c>
      <c r="J176" s="272">
        <f>$C$3*($C$4*$E$4*B175*$B$7)*$G$4+$C$3*($C$4*$E$5*D176*$D$7)*$G$4+$C$3*($C$4*$E$4*C176*$C$7)*$G$5+$C$3*($C$4*$E$5*E176*$E$7)*$G$5+$C$3*($C$5*$E$4*F176*$F$7)*$H$4+$C$3*($C$5*$E$5*H176*$H$7)*$H$4+$C$3*($C$5*$E$5*I176*$I$7)*$H$5+$C$3*($C$5*$E$4*G176*$G$7)*$H$5</f>
        <v>3364243.1825443059</v>
      </c>
      <c r="K176" s="277">
        <f>ROUND(($C$4*$E$4*B176*$B$7+$C$4*$E$4*C176*$C$7+$C$4*$E$5*D176*$D$7+$C$4*$E$5*E176*$E$7+($C$5*$E$4*F176*$F$7+$C$5*$E$4*G176*$G$7+$C$5*$E$5*H176*$H$7+$C$5*$E$5*I176*$I$7)),2)</f>
        <v>0.49</v>
      </c>
      <c r="L176" s="276">
        <f>Scenario[[#This Row],[Total Cost]]/(Scenario[[#This Row],[Total Coverage]]*100)</f>
        <v>68658.024133557265</v>
      </c>
      <c r="M176" s="295" cm="1">
        <f t="array" ref="M176">IF(AND(K176=MAX(K$10:K176), L176=MIN(IF(K$10:K176=K176, L$10:L176))), 1, 0)</f>
        <v>0</v>
      </c>
      <c r="N176" s="295">
        <f>IF(AND(Scenario[[#This Row],[Total Coverage]]&gt;=70%,Scenario[[#This Row],[Frontier]]=1),1,0)</f>
        <v>0</v>
      </c>
    </row>
    <row r="177" spans="1:14" x14ac:dyDescent="0.25">
      <c r="A177">
        <v>137</v>
      </c>
      <c r="B177">
        <v>0.75</v>
      </c>
      <c r="C177">
        <v>0.25</v>
      </c>
      <c r="D177">
        <v>1</v>
      </c>
      <c r="E177">
        <v>0</v>
      </c>
      <c r="F177">
        <v>0.5</v>
      </c>
      <c r="G177">
        <v>0.5</v>
      </c>
      <c r="H177">
        <v>0.75</v>
      </c>
      <c r="I177">
        <v>0.25</v>
      </c>
      <c r="J177" s="272">
        <f>$C$3*($C$4*$E$4*B176*$B$7)*$G$4+$C$3*($C$4*$E$5*D177*$D$7)*$G$4+$C$3*($C$4*$E$4*C177*$C$7)*$G$5+$C$3*($C$4*$E$5*E177*$E$7)*$G$5+$C$3*($C$5*$E$4*F177*$F$7)*$H$4+$C$3*($C$5*$E$5*H177*$H$7)*$H$4+$C$3*($C$5*$E$5*I177*$I$7)*$H$5+$C$3*($C$5*$E$4*G177*$G$7)*$H$5</f>
        <v>3438986.6547493888</v>
      </c>
      <c r="K177" s="277">
        <f>ROUND(($C$4*$E$4*B177*$B$7+$C$4*$E$4*C177*$C$7+$C$4*$E$5*D177*$D$7+$C$4*$E$5*E177*$E$7+($C$5*$E$4*F177*$F$7+$C$5*$E$4*G177*$G$7+$C$5*$E$5*H177*$H$7+$C$5*$E$5*I177*$I$7)),2)</f>
        <v>0.49</v>
      </c>
      <c r="L177" s="276">
        <f>Scenario[[#This Row],[Total Cost]]/(Scenario[[#This Row],[Total Coverage]]*100)</f>
        <v>70183.401117334462</v>
      </c>
      <c r="M177" s="295" cm="1">
        <f t="array" ref="M177">IF(AND(K177=MAX(K$10:K177), L177=MIN(IF(K$10:K177=K177, L$10:L177))), 1, 0)</f>
        <v>0</v>
      </c>
      <c r="N177" s="295">
        <f>IF(AND(Scenario[[#This Row],[Total Coverage]]&gt;=70%,Scenario[[#This Row],[Frontier]]=1),1,0)</f>
        <v>0</v>
      </c>
    </row>
    <row r="178" spans="1:14" x14ac:dyDescent="0.25">
      <c r="A178">
        <v>357</v>
      </c>
      <c r="B178">
        <v>0.5</v>
      </c>
      <c r="C178">
        <v>0.5</v>
      </c>
      <c r="D178">
        <v>0</v>
      </c>
      <c r="E178">
        <v>1</v>
      </c>
      <c r="F178">
        <v>0.75</v>
      </c>
      <c r="G178">
        <v>0.25</v>
      </c>
      <c r="H178">
        <v>0.75</v>
      </c>
      <c r="I178">
        <v>0.25</v>
      </c>
      <c r="J178" s="272">
        <f>$C$3*($C$4*$E$4*B177*$B$7)*$G$4+$C$3*($C$4*$E$5*D178*$D$7)*$G$4+$C$3*($C$4*$E$4*C178*$C$7)*$G$5+$C$3*($C$4*$E$5*E178*$E$7)*$G$5+$C$3*($C$5*$E$4*F178*$F$7)*$H$4+$C$3*($C$5*$E$5*H178*$H$7)*$H$4+$C$3*($C$5*$E$5*I178*$I$7)*$H$5+$C$3*($C$5*$E$4*G178*$G$7)*$H$5</f>
        <v>3834464.404737276</v>
      </c>
      <c r="K178" s="277">
        <f>ROUND(($C$4*$E$4*B178*$B$7+$C$4*$E$4*C178*$C$7+$C$4*$E$5*D178*$D$7+$C$4*$E$5*E178*$E$7+($C$5*$E$4*F178*$F$7+$C$5*$E$4*G178*$G$7+$C$5*$E$5*H178*$H$7+$C$5*$E$5*I178*$I$7)),2)</f>
        <v>0.49</v>
      </c>
      <c r="L178" s="276">
        <f>Scenario[[#This Row],[Total Cost]]/(Scenario[[#This Row],[Total Coverage]]*100)</f>
        <v>78254.375606883186</v>
      </c>
      <c r="M178" s="295" cm="1">
        <f t="array" ref="M178">IF(AND(K178=MAX(K$10:K178), L178=MIN(IF(K$10:K178=K178, L$10:L178))), 1, 0)</f>
        <v>0</v>
      </c>
      <c r="N178" s="295">
        <f>IF(AND(Scenario[[#This Row],[Total Coverage]]&gt;=70%,Scenario[[#This Row],[Frontier]]=1),1,0)</f>
        <v>0</v>
      </c>
    </row>
    <row r="179" spans="1:14" x14ac:dyDescent="0.25">
      <c r="A179">
        <v>354</v>
      </c>
      <c r="B179">
        <v>0.5</v>
      </c>
      <c r="C179">
        <v>0.5</v>
      </c>
      <c r="D179">
        <v>0</v>
      </c>
      <c r="E179">
        <v>1</v>
      </c>
      <c r="F179">
        <v>1</v>
      </c>
      <c r="G179">
        <v>0</v>
      </c>
      <c r="H179">
        <v>0.25</v>
      </c>
      <c r="I179">
        <v>0.75</v>
      </c>
      <c r="J179" s="272">
        <f>$C$3*($C$4*$E$4*B178*$B$7)*$G$4+$C$3*($C$4*$E$5*D179*$D$7)*$G$4+$C$3*($C$4*$E$4*C179*$C$7)*$G$5+$C$3*($C$4*$E$5*E179*$E$7)*$G$5+$C$3*($C$5*$E$4*F179*$F$7)*$H$4+$C$3*($C$5*$E$5*H179*$H$7)*$H$4+$C$3*($C$5*$E$5*I179*$I$7)*$H$5+$C$3*($C$5*$E$4*G179*$G$7)*$H$5</f>
        <v>3653311.3036339432</v>
      </c>
      <c r="K179" s="277">
        <f>ROUND(($C$4*$E$4*B179*$B$7+$C$4*$E$4*C179*$C$7+$C$4*$E$5*D179*$D$7+$C$4*$E$5*E179*$E$7+($C$5*$E$4*F179*$F$7+$C$5*$E$4*G179*$G$7+$C$5*$E$5*H179*$H$7+$C$5*$E$5*I179*$I$7)),2)</f>
        <v>0.49</v>
      </c>
      <c r="L179" s="276">
        <f>Scenario[[#This Row],[Total Cost]]/(Scenario[[#This Row],[Total Coverage]]*100)</f>
        <v>74557.373543549867</v>
      </c>
      <c r="M179" s="295" cm="1">
        <f t="array" ref="M179">IF(AND(K179=MAX(K$10:K179), L179=MIN(IF(K$10:K179=K179, L$10:L179))), 1, 0)</f>
        <v>0</v>
      </c>
      <c r="N179" s="295">
        <f>IF(AND(Scenario[[#This Row],[Total Coverage]]&gt;=70%,Scenario[[#This Row],[Frontier]]=1),1,0)</f>
        <v>0</v>
      </c>
    </row>
    <row r="180" spans="1:14" x14ac:dyDescent="0.25">
      <c r="A180">
        <v>283</v>
      </c>
      <c r="B180">
        <v>0.5</v>
      </c>
      <c r="C180">
        <v>0.5</v>
      </c>
      <c r="D180">
        <v>0.75</v>
      </c>
      <c r="E180">
        <v>0.25</v>
      </c>
      <c r="F180">
        <v>0.75</v>
      </c>
      <c r="G180">
        <v>0.25</v>
      </c>
      <c r="H180">
        <v>0.5</v>
      </c>
      <c r="I180">
        <v>0.5</v>
      </c>
      <c r="J180" s="272">
        <f>$C$3*($C$4*$E$4*B179*$B$7)*$G$4+$C$3*($C$4*$E$5*D180*$D$7)*$G$4+$C$3*($C$4*$E$4*C180*$C$7)*$G$5+$C$3*($C$4*$E$5*E180*$E$7)*$G$5+$C$3*($C$5*$E$4*F180*$F$7)*$H$4+$C$3*($C$5*$E$5*H180*$H$7)*$H$4+$C$3*($C$5*$E$5*I180*$I$7)*$H$5+$C$3*($C$5*$E$4*G180*$G$7)*$H$5</f>
        <v>3555178.6970014609</v>
      </c>
      <c r="K180" s="277">
        <f>ROUND(($C$4*$E$4*B180*$B$7+$C$4*$E$4*C180*$C$7+$C$4*$E$5*D180*$D$7+$C$4*$E$5*E180*$E$7+($C$5*$E$4*F180*$F$7+$C$5*$E$4*G180*$G$7+$C$5*$E$5*H180*$H$7+$C$5*$E$5*I180*$I$7)),2)</f>
        <v>0.49</v>
      </c>
      <c r="L180" s="276">
        <f>Scenario[[#This Row],[Total Cost]]/(Scenario[[#This Row],[Total Coverage]]*100)</f>
        <v>72554.667285744101</v>
      </c>
      <c r="M180" s="295" cm="1">
        <f t="array" ref="M180">IF(AND(K180=MAX(K$10:K180), L180=MIN(IF(K$10:K180=K180, L$10:L180))), 1, 0)</f>
        <v>0</v>
      </c>
      <c r="N180" s="295">
        <f>IF(AND(Scenario[[#This Row],[Total Coverage]]&gt;=70%,Scenario[[#This Row],[Frontier]]=1),1,0)</f>
        <v>0</v>
      </c>
    </row>
    <row r="181" spans="1:14" x14ac:dyDescent="0.25">
      <c r="A181">
        <v>205</v>
      </c>
      <c r="B181">
        <v>0.75</v>
      </c>
      <c r="C181">
        <v>0.25</v>
      </c>
      <c r="D181">
        <v>0.25</v>
      </c>
      <c r="E181">
        <v>0.75</v>
      </c>
      <c r="F181">
        <v>1</v>
      </c>
      <c r="G181">
        <v>0</v>
      </c>
      <c r="H181">
        <v>0</v>
      </c>
      <c r="I181">
        <v>1</v>
      </c>
      <c r="J181" s="272">
        <f>$C$3*($C$4*$E$4*B180*$B$7)*$G$4+$C$3*($C$4*$E$5*D181*$D$7)*$G$4+$C$3*($C$4*$E$4*C181*$C$7)*$G$5+$C$3*($C$4*$E$5*E181*$E$7)*$G$5+$C$3*($C$5*$E$4*F181*$F$7)*$H$4+$C$3*($C$5*$E$5*H181*$H$7)*$H$4+$C$3*($C$5*$E$5*I181*$I$7)*$H$5+$C$3*($C$5*$E$4*G181*$G$7)*$H$5</f>
        <v>3355966.1602785392</v>
      </c>
      <c r="K181" s="277">
        <f>ROUND(($C$4*$E$4*B181*$B$7+$C$4*$E$4*C181*$C$7+$C$4*$E$5*D181*$D$7+$C$4*$E$5*E181*$E$7+($C$5*$E$4*F181*$F$7+$C$5*$E$4*G181*$G$7+$C$5*$E$5*H181*$H$7+$C$5*$E$5*I181*$I$7)),2)</f>
        <v>0.49</v>
      </c>
      <c r="L181" s="276">
        <f>Scenario[[#This Row],[Total Cost]]/(Scenario[[#This Row],[Total Coverage]]*100)</f>
        <v>68489.105311806925</v>
      </c>
      <c r="M181" s="295" cm="1">
        <f t="array" ref="M181">IF(AND(K181=MAX(K$10:K181), L181=MIN(IF(K$10:K181=K181, L$10:L181))), 1, 0)</f>
        <v>0</v>
      </c>
      <c r="N181" s="295">
        <f>IF(AND(Scenario[[#This Row],[Total Coverage]]&gt;=70%,Scenario[[#This Row],[Frontier]]=1),1,0)</f>
        <v>0</v>
      </c>
    </row>
    <row r="182" spans="1:14" x14ac:dyDescent="0.25">
      <c r="A182">
        <v>286</v>
      </c>
      <c r="B182">
        <v>0.5</v>
      </c>
      <c r="C182">
        <v>0.5</v>
      </c>
      <c r="D182">
        <v>0.75</v>
      </c>
      <c r="E182">
        <v>0.25</v>
      </c>
      <c r="F182">
        <v>0.5</v>
      </c>
      <c r="G182">
        <v>0.5</v>
      </c>
      <c r="H182">
        <v>1</v>
      </c>
      <c r="I182">
        <v>0</v>
      </c>
      <c r="J182" s="272">
        <f>$C$3*($C$4*$E$4*B181*$B$7)*$G$4+$C$3*($C$4*$E$5*D182*$D$7)*$G$4+$C$3*($C$4*$E$4*C182*$C$7)*$G$5+$C$3*($C$4*$E$5*E182*$E$7)*$G$5+$C$3*($C$5*$E$4*F182*$F$7)*$H$4+$C$3*($C$5*$E$5*H182*$H$7)*$H$4+$C$3*($C$5*$E$5*I182*$I$7)*$H$5+$C$3*($C$5*$E$4*G182*$G$7)*$H$5</f>
        <v>3736331.7981047928</v>
      </c>
      <c r="K182" s="277">
        <f>ROUND(($C$4*$E$4*B182*$B$7+$C$4*$E$4*C182*$C$7+$C$4*$E$5*D182*$D$7+$C$4*$E$5*E182*$E$7+($C$5*$E$4*F182*$F$7+$C$5*$E$4*G182*$G$7+$C$5*$E$5*H182*$H$7+$C$5*$E$5*I182*$I$7)),2)</f>
        <v>0.49</v>
      </c>
      <c r="L182" s="276">
        <f>Scenario[[#This Row],[Total Cost]]/(Scenario[[#This Row],[Total Coverage]]*100)</f>
        <v>76251.669349077405</v>
      </c>
      <c r="M182" s="295" cm="1">
        <f t="array" ref="M182">IF(AND(K182=MAX(K$10:K182), L182=MIN(IF(K$10:K182=K182, L$10:L182))), 1, 0)</f>
        <v>0</v>
      </c>
      <c r="N182" s="295">
        <f>IF(AND(Scenario[[#This Row],[Total Coverage]]&gt;=70%,Scenario[[#This Row],[Frontier]]=1),1,0)</f>
        <v>0</v>
      </c>
    </row>
    <row r="183" spans="1:14" x14ac:dyDescent="0.25">
      <c r="A183">
        <v>432</v>
      </c>
      <c r="B183">
        <v>0.25</v>
      </c>
      <c r="C183">
        <v>0.75</v>
      </c>
      <c r="D183">
        <v>0.5</v>
      </c>
      <c r="E183">
        <v>0.5</v>
      </c>
      <c r="F183">
        <v>0.75</v>
      </c>
      <c r="G183">
        <v>0.25</v>
      </c>
      <c r="H183">
        <v>0.75</v>
      </c>
      <c r="I183">
        <v>0.25</v>
      </c>
      <c r="J183" s="272">
        <f>$C$3*($C$4*$E$4*B182*$B$7)*$G$4+$C$3*($C$4*$E$5*D183*$D$7)*$G$4+$C$3*($C$4*$E$4*C183*$C$7)*$G$5+$C$3*($C$4*$E$5*E183*$E$7)*$G$5+$C$3*($C$5*$E$4*F183*$F$7)*$H$4+$C$3*($C$5*$E$5*H183*$H$7)*$H$4+$C$3*($C$5*$E$5*I183*$I$7)*$H$5+$C$3*($C$5*$E$4*G183*$G$7)*$H$5</f>
        <v>3852523.8403568659</v>
      </c>
      <c r="K183" s="277">
        <f>ROUND(($C$4*$E$4*B183*$B$7+$C$4*$E$4*C183*$C$7+$C$4*$E$5*D183*$D$7+$C$4*$E$5*E183*$E$7+($C$5*$E$4*F183*$F$7+$C$5*$E$4*G183*$G$7+$C$5*$E$5*H183*$H$7+$C$5*$E$5*I183*$I$7)),2)</f>
        <v>0.49</v>
      </c>
      <c r="L183" s="276">
        <f>Scenario[[#This Row],[Total Cost]]/(Scenario[[#This Row],[Total Coverage]]*100)</f>
        <v>78622.935517487058</v>
      </c>
      <c r="M183" s="295" cm="1">
        <f t="array" ref="M183">IF(AND(K183=MAX(K$10:K183), L183=MIN(IF(K$10:K183=K183, L$10:L183))), 1, 0)</f>
        <v>0</v>
      </c>
      <c r="N183" s="295">
        <f>IF(AND(Scenario[[#This Row],[Total Coverage]]&gt;=70%,Scenario[[#This Row],[Frontier]]=1),1,0)</f>
        <v>0</v>
      </c>
    </row>
    <row r="184" spans="1:14" x14ac:dyDescent="0.25">
      <c r="A184">
        <v>380</v>
      </c>
      <c r="B184">
        <v>0.25</v>
      </c>
      <c r="C184">
        <v>0.75</v>
      </c>
      <c r="D184">
        <v>1</v>
      </c>
      <c r="E184">
        <v>0</v>
      </c>
      <c r="F184">
        <v>1</v>
      </c>
      <c r="G184">
        <v>0</v>
      </c>
      <c r="H184">
        <v>0</v>
      </c>
      <c r="I184">
        <v>1</v>
      </c>
      <c r="J184" s="272">
        <f>$C$3*($C$4*$E$4*B183*$B$7)*$G$4+$C$3*($C$4*$E$5*D184*$D$7)*$G$4+$C$3*($C$4*$E$4*C184*$C$7)*$G$5+$C$3*($C$4*$E$5*E184*$E$7)*$G$5+$C$3*($C$5*$E$4*F184*$F$7)*$H$4+$C$3*($C$5*$E$5*H184*$H$7)*$H$4+$C$3*($C$5*$E$5*I184*$I$7)*$H$5+$C$3*($C$5*$E$4*G184*$G$7)*$H$5</f>
        <v>3682770.9801068772</v>
      </c>
      <c r="K184" s="277">
        <f>ROUND(($C$4*$E$4*B184*$B$7+$C$4*$E$4*C184*$C$7+$C$4*$E$5*D184*$D$7+$C$4*$E$5*E184*$E$7+($C$5*$E$4*F184*$F$7+$C$5*$E$4*G184*$G$7+$C$5*$E$5*H184*$H$7+$C$5*$E$5*I184*$I$7)),2)</f>
        <v>0.49</v>
      </c>
      <c r="L184" s="276">
        <f>Scenario[[#This Row],[Total Cost]]/(Scenario[[#This Row],[Total Coverage]]*100)</f>
        <v>75158.591430752596</v>
      </c>
      <c r="M184" s="295" cm="1">
        <f t="array" ref="M184">IF(AND(K184=MAX(K$10:K184), L184=MIN(IF(K$10:K184=K184, L$10:L184))), 1, 0)</f>
        <v>0</v>
      </c>
      <c r="N184" s="295">
        <f>IF(AND(Scenario[[#This Row],[Total Coverage]]&gt;=70%,Scenario[[#This Row],[Frontier]]=1),1,0)</f>
        <v>0</v>
      </c>
    </row>
    <row r="185" spans="1:14" x14ac:dyDescent="0.25">
      <c r="A185">
        <v>529</v>
      </c>
      <c r="B185">
        <v>0</v>
      </c>
      <c r="C185">
        <v>1</v>
      </c>
      <c r="D185">
        <v>0.75</v>
      </c>
      <c r="E185">
        <v>0.25</v>
      </c>
      <c r="F185">
        <v>1</v>
      </c>
      <c r="G185">
        <v>0</v>
      </c>
      <c r="H185">
        <v>0.25</v>
      </c>
      <c r="I185">
        <v>0.75</v>
      </c>
      <c r="J185" s="272">
        <f>$C$3*($C$4*$E$4*B184*$B$7)*$G$4+$C$3*($C$4*$E$5*D185*$D$7)*$G$4+$C$3*($C$4*$E$4*C185*$C$7)*$G$5+$C$3*($C$4*$E$5*E185*$E$7)*$G$5+$C$3*($C$5*$E$4*F185*$F$7)*$H$4+$C$3*($C$5*$E$5*H185*$H$7)*$H$4+$C$3*($C$5*$E$5*I185*$I$7)*$H$5+$C$3*($C$5*$E$4*G185*$G$7)*$H$5</f>
        <v>3980116.1234622812</v>
      </c>
      <c r="K185" s="277">
        <f>ROUND(($C$4*$E$4*B185*$B$7+$C$4*$E$4*C185*$C$7+$C$4*$E$5*D185*$D$7+$C$4*$E$5*E185*$E$7+($C$5*$E$4*F185*$F$7+$C$5*$E$4*G185*$G$7+$C$5*$E$5*H185*$H$7+$C$5*$E$5*I185*$I$7)),2)</f>
        <v>0.49</v>
      </c>
      <c r="L185" s="276">
        <f>Scenario[[#This Row],[Total Cost]]/(Scenario[[#This Row],[Total Coverage]]*100)</f>
        <v>81226.859662495539</v>
      </c>
      <c r="M185" s="295" cm="1">
        <f t="array" ref="M185">IF(AND(K185=MAX(K$10:K185), L185=MIN(IF(K$10:K185=K185, L$10:L185))), 1, 0)</f>
        <v>0</v>
      </c>
      <c r="N185" s="295">
        <f>IF(AND(Scenario[[#This Row],[Total Coverage]]&gt;=70%,Scenario[[#This Row],[Frontier]]=1),1,0)</f>
        <v>0</v>
      </c>
    </row>
    <row r="186" spans="1:14" x14ac:dyDescent="0.25">
      <c r="A186">
        <v>581</v>
      </c>
      <c r="B186">
        <v>0</v>
      </c>
      <c r="C186">
        <v>1</v>
      </c>
      <c r="D186">
        <v>0.25</v>
      </c>
      <c r="E186">
        <v>0.75</v>
      </c>
      <c r="F186">
        <v>0.75</v>
      </c>
      <c r="G186">
        <v>0.25</v>
      </c>
      <c r="H186">
        <v>1</v>
      </c>
      <c r="I186">
        <v>0</v>
      </c>
      <c r="J186" s="272">
        <f>$C$3*($C$4*$E$4*B185*$B$7)*$G$4+$C$3*($C$4*$E$5*D186*$D$7)*$G$4+$C$3*($C$4*$E$4*C186*$C$7)*$G$5+$C$3*($C$4*$E$5*E186*$E$7)*$G$5+$C$3*($C$5*$E$4*F186*$F$7)*$H$4+$C$3*($C$5*$E$5*H186*$H$7)*$H$4+$C$3*($C$5*$E$5*I186*$I$7)*$H$5+$C$3*($C$5*$E$4*G186*$G$7)*$H$5</f>
        <v>3937049.7259157719</v>
      </c>
      <c r="K186" s="277">
        <f>ROUND(($C$4*$E$4*B186*$B$7+$C$4*$E$4*C186*$C$7+$C$4*$E$5*D186*$D$7+$C$4*$E$5*E186*$E$7+($C$5*$E$4*F186*$F$7+$C$5*$E$4*G186*$G$7+$C$5*$E$5*H186*$H$7+$C$5*$E$5*I186*$I$7)),2)</f>
        <v>0.49</v>
      </c>
      <c r="L186" s="276">
        <f>Scenario[[#This Row],[Total Cost]]/(Scenario[[#This Row],[Total Coverage]]*100)</f>
        <v>80347.953590117788</v>
      </c>
      <c r="M186" s="295" cm="1">
        <f t="array" ref="M186">IF(AND(K186=MAX(K$10:K186), L186=MIN(IF(K$10:K186=K186, L$10:L186))), 1, 0)</f>
        <v>0</v>
      </c>
      <c r="N186" s="295">
        <f>IF(AND(Scenario[[#This Row],[Total Coverage]]&gt;=70%,Scenario[[#This Row],[Frontier]]=1),1,0)</f>
        <v>0</v>
      </c>
    </row>
    <row r="187" spans="1:14" x14ac:dyDescent="0.25">
      <c r="A187">
        <v>62</v>
      </c>
      <c r="B187">
        <v>1</v>
      </c>
      <c r="C187">
        <v>0</v>
      </c>
      <c r="D187">
        <v>0.5</v>
      </c>
      <c r="E187">
        <v>0.5</v>
      </c>
      <c r="F187">
        <v>0.5</v>
      </c>
      <c r="G187">
        <v>0.5</v>
      </c>
      <c r="H187">
        <v>0.75</v>
      </c>
      <c r="I187">
        <v>0.25</v>
      </c>
      <c r="J187" s="272">
        <f>$C$3*($C$4*$E$4*B186*$B$7)*$G$4+$C$3*($C$4*$E$5*D187*$D$7)*$G$4+$C$3*($C$4*$E$4*C187*$C$7)*$G$5+$C$3*($C$4*$E$5*E187*$E$7)*$G$5+$C$3*($C$5*$E$4*F187*$F$7)*$H$4+$C$3*($C$5*$E$5*H187*$H$7)*$H$4+$C$3*($C$5*$E$5*I187*$I$7)*$H$5+$C$3*($C$5*$E$4*G187*$G$7)*$H$5</f>
        <v>2995288.703536801</v>
      </c>
      <c r="K187" s="277">
        <f>ROUND(($C$4*$E$4*B187*$B$7+$C$4*$E$4*C187*$C$7+$C$4*$E$5*D187*$D$7+$C$4*$E$5*E187*$E$7+($C$5*$E$4*F187*$F$7+$C$5*$E$4*G187*$G$7+$C$5*$E$5*H187*$H$7+$C$5*$E$5*I187*$I$7)),2)</f>
        <v>0.5</v>
      </c>
      <c r="L187" s="276">
        <f>Scenario[[#This Row],[Total Cost]]/(Scenario[[#This Row],[Total Coverage]]*100)</f>
        <v>59905.774070736021</v>
      </c>
      <c r="M187" s="295" cm="1">
        <f t="array" ref="M187">IF(AND(K187=MAX(K$10:K187), L187=MIN(IF(K$10:K187=K187, L$10:L187))), 1, 0)</f>
        <v>1</v>
      </c>
      <c r="N187" s="295">
        <f>IF(AND(Scenario[[#This Row],[Total Coverage]]&gt;=70%,Scenario[[#This Row],[Frontier]]=1),1,0)</f>
        <v>0</v>
      </c>
    </row>
    <row r="188" spans="1:14" x14ac:dyDescent="0.25">
      <c r="A188">
        <v>10</v>
      </c>
      <c r="B188">
        <v>1</v>
      </c>
      <c r="C188">
        <v>0</v>
      </c>
      <c r="D188">
        <v>1</v>
      </c>
      <c r="E188">
        <v>0</v>
      </c>
      <c r="F188">
        <v>0.75</v>
      </c>
      <c r="G188">
        <v>0.25</v>
      </c>
      <c r="H188">
        <v>0</v>
      </c>
      <c r="I188">
        <v>1</v>
      </c>
      <c r="J188" s="272">
        <f>$C$3*($C$4*$E$4*B187*$B$7)*$G$4+$C$3*($C$4*$E$5*D188*$D$7)*$G$4+$C$3*($C$4*$E$4*C188*$C$7)*$G$5+$C$3*($C$4*$E$5*E188*$E$7)*$G$5+$C$3*($C$5*$E$4*F188*$F$7)*$H$4+$C$3*($C$5*$E$5*H188*$H$7)*$H$4+$C$3*($C$5*$E$5*I188*$I$7)*$H$5+$C$3*($C$5*$E$4*G188*$G$7)*$H$5</f>
        <v>3357583.9877780592</v>
      </c>
      <c r="K188" s="277">
        <f>ROUND(($C$4*$E$4*B188*$B$7+$C$4*$E$4*C188*$C$7+$C$4*$E$5*D188*$D$7+$C$4*$E$5*E188*$E$7+($C$5*$E$4*F188*$F$7+$C$5*$E$4*G188*$G$7+$C$5*$E$5*H188*$H$7+$C$5*$E$5*I188*$I$7)),2)</f>
        <v>0.5</v>
      </c>
      <c r="L188" s="276">
        <f>Scenario[[#This Row],[Total Cost]]/(Scenario[[#This Row],[Total Coverage]]*100)</f>
        <v>67151.679755561185</v>
      </c>
      <c r="M188" s="295" cm="1">
        <f t="array" ref="M188">IF(AND(K188=MAX(K$10:K188), L188=MIN(IF(K$10:K188=K188, L$10:L188))), 1, 0)</f>
        <v>0</v>
      </c>
      <c r="N188" s="295">
        <f>IF(AND(Scenario[[#This Row],[Total Coverage]]&gt;=70%,Scenario[[#This Row],[Frontier]]=1),1,0)</f>
        <v>0</v>
      </c>
    </row>
    <row r="189" spans="1:14" x14ac:dyDescent="0.25">
      <c r="A189">
        <v>211</v>
      </c>
      <c r="B189">
        <v>0.75</v>
      </c>
      <c r="C189">
        <v>0.25</v>
      </c>
      <c r="D189">
        <v>0.25</v>
      </c>
      <c r="E189">
        <v>0.75</v>
      </c>
      <c r="F189">
        <v>0.5</v>
      </c>
      <c r="G189">
        <v>0.5</v>
      </c>
      <c r="H189">
        <v>1</v>
      </c>
      <c r="I189">
        <v>0</v>
      </c>
      <c r="J189" s="272">
        <f>$C$3*($C$4*$E$4*B188*$B$7)*$G$4+$C$3*($C$4*$E$5*D189*$D$7)*$G$4+$C$3*($C$4*$E$4*C189*$C$7)*$G$5+$C$3*($C$4*$E$5*E189*$E$7)*$G$5+$C$3*($C$5*$E$4*F189*$F$7)*$H$4+$C$3*($C$5*$E$5*H189*$H$7)*$H$4+$C$3*($C$5*$E$5*I189*$I$7)*$H$5+$C$3*($C$5*$E$4*G189*$G$7)*$H$5</f>
        <v>3718272.362485203</v>
      </c>
      <c r="K189" s="277">
        <f>ROUND(($C$4*$E$4*B189*$B$7+$C$4*$E$4*C189*$C$7+$C$4*$E$5*D189*$D$7+$C$4*$E$5*E189*$E$7+($C$5*$E$4*F189*$F$7+$C$5*$E$4*G189*$G$7+$C$5*$E$5*H189*$H$7+$C$5*$E$5*I189*$I$7)),2)</f>
        <v>0.5</v>
      </c>
      <c r="L189" s="276">
        <f>Scenario[[#This Row],[Total Cost]]/(Scenario[[#This Row],[Total Coverage]]*100)</f>
        <v>74365.447249704055</v>
      </c>
      <c r="M189" s="295" cm="1">
        <f t="array" ref="M189">IF(AND(K189=MAX(K$10:K189), L189=MIN(IF(K$10:K189=K189, L$10:L189))), 1, 0)</f>
        <v>0</v>
      </c>
      <c r="N189" s="295">
        <f>IF(AND(Scenario[[#This Row],[Total Coverage]]&gt;=70%,Scenario[[#This Row],[Frontier]]=1),1,0)</f>
        <v>0</v>
      </c>
    </row>
    <row r="190" spans="1:14" x14ac:dyDescent="0.25">
      <c r="A190">
        <v>230</v>
      </c>
      <c r="B190">
        <v>0.75</v>
      </c>
      <c r="C190">
        <v>0.25</v>
      </c>
      <c r="D190">
        <v>0</v>
      </c>
      <c r="E190">
        <v>1</v>
      </c>
      <c r="F190">
        <v>1</v>
      </c>
      <c r="G190">
        <v>0</v>
      </c>
      <c r="H190">
        <v>0</v>
      </c>
      <c r="I190">
        <v>1</v>
      </c>
      <c r="J190" s="272">
        <f>$C$3*($C$4*$E$4*B189*$B$7)*$G$4+$C$3*($C$4*$E$5*D190*$D$7)*$G$4+$C$3*($C$4*$E$4*C190*$C$7)*$G$5+$C$3*($C$4*$E$5*E190*$E$7)*$G$5+$C$3*($C$5*$E$4*F190*$F$7)*$H$4+$C$3*($C$5*$E$5*H190*$H$7)*$H$4+$C$3*($C$5*$E$5*I190*$I$7)*$H$5+$C$3*($C$5*$E$4*G190*$G$7)*$H$5</f>
        <v>3646652.108867697</v>
      </c>
      <c r="K190" s="277">
        <f>ROUND(($C$4*$E$4*B190*$B$7+$C$4*$E$4*C190*$C$7+$C$4*$E$5*D190*$D$7+$C$4*$E$5*E190*$E$7+($C$5*$E$4*F190*$F$7+$C$5*$E$4*G190*$G$7+$C$5*$E$5*H190*$H$7+$C$5*$E$5*I190*$I$7)),2)</f>
        <v>0.5</v>
      </c>
      <c r="L190" s="276">
        <f>Scenario[[#This Row],[Total Cost]]/(Scenario[[#This Row],[Total Coverage]]*100)</f>
        <v>72933.042177353942</v>
      </c>
      <c r="M190" s="295" cm="1">
        <f t="array" ref="M190">IF(AND(K190=MAX(K$10:K190), L190=MIN(IF(K$10:K190=K190, L$10:L190))), 1, 0)</f>
        <v>0</v>
      </c>
      <c r="N190" s="295">
        <f>IF(AND(Scenario[[#This Row],[Total Coverage]]&gt;=70%,Scenario[[#This Row],[Frontier]]=1),1,0)</f>
        <v>0</v>
      </c>
    </row>
    <row r="191" spans="1:14" x14ac:dyDescent="0.25">
      <c r="A191">
        <v>159</v>
      </c>
      <c r="B191">
        <v>0.75</v>
      </c>
      <c r="C191">
        <v>0.25</v>
      </c>
      <c r="D191">
        <v>0.75</v>
      </c>
      <c r="E191">
        <v>0.25</v>
      </c>
      <c r="F191">
        <v>0.75</v>
      </c>
      <c r="G191">
        <v>0.25</v>
      </c>
      <c r="H191">
        <v>0.25</v>
      </c>
      <c r="I191">
        <v>0.75</v>
      </c>
      <c r="J191" s="272">
        <f>$C$3*($C$4*$E$4*B190*$B$7)*$G$4+$C$3*($C$4*$E$5*D191*$D$7)*$G$4+$C$3*($C$4*$E$4*C191*$C$7)*$G$5+$C$3*($C$4*$E$5*E191*$E$7)*$G$5+$C$3*($C$5*$E$4*F191*$F$7)*$H$4+$C$3*($C$5*$E$5*H191*$H$7)*$H$4+$C$3*($C$5*$E$5*I191*$I$7)*$H$5+$C$3*($C$5*$E$4*G191*$G$7)*$H$5</f>
        <v>3548519.5022352142</v>
      </c>
      <c r="K191" s="277">
        <f>ROUND(($C$4*$E$4*B191*$B$7+$C$4*$E$4*C191*$C$7+$C$4*$E$5*D191*$D$7+$C$4*$E$5*E191*$E$7+($C$5*$E$4*F191*$F$7+$C$5*$E$4*G191*$G$7+$C$5*$E$5*H191*$H$7+$C$5*$E$5*I191*$I$7)),2)</f>
        <v>0.5</v>
      </c>
      <c r="L191" s="276">
        <f>Scenario[[#This Row],[Total Cost]]/(Scenario[[#This Row],[Total Coverage]]*100)</f>
        <v>70970.390044704283</v>
      </c>
      <c r="M191" s="295" cm="1">
        <f t="array" ref="M191">IF(AND(K191=MAX(K$10:K191), L191=MIN(IF(K$10:K191=K191, L$10:L191))), 1, 0)</f>
        <v>0</v>
      </c>
      <c r="N191" s="295">
        <f>IF(AND(Scenario[[#This Row],[Total Coverage]]&gt;=70%,Scenario[[#This Row],[Frontier]]=1),1,0)</f>
        <v>0</v>
      </c>
    </row>
    <row r="192" spans="1:14" x14ac:dyDescent="0.25">
      <c r="A192">
        <v>308</v>
      </c>
      <c r="B192">
        <v>0.5</v>
      </c>
      <c r="C192">
        <v>0.5</v>
      </c>
      <c r="D192">
        <v>0.5</v>
      </c>
      <c r="E192">
        <v>0.5</v>
      </c>
      <c r="F192">
        <v>0.75</v>
      </c>
      <c r="G192">
        <v>0.25</v>
      </c>
      <c r="H192">
        <v>0.5</v>
      </c>
      <c r="I192">
        <v>0.5</v>
      </c>
      <c r="J192" s="272">
        <f>$C$3*($C$4*$E$4*B191*$B$7)*$G$4+$C$3*($C$4*$E$5*D192*$D$7)*$G$4+$C$3*($C$4*$E$4*C192*$C$7)*$G$5+$C$3*($C$4*$E$5*E192*$E$7)*$G$5+$C$3*($C$5*$E$4*F192*$F$7)*$H$4+$C$3*($C$5*$E$5*H192*$H$7)*$H$4+$C$3*($C$5*$E$5*I192*$I$7)*$H$5+$C$3*($C$5*$E$4*G192*$G$7)*$H$5</f>
        <v>3845864.6455906187</v>
      </c>
      <c r="K192" s="277">
        <f>ROUND(($C$4*$E$4*B192*$B$7+$C$4*$E$4*C192*$C$7+$C$4*$E$5*D192*$D$7+$C$4*$E$5*E192*$E$7+($C$5*$E$4*F192*$F$7+$C$5*$E$4*G192*$G$7+$C$5*$E$5*H192*$H$7+$C$5*$E$5*I192*$I$7)),2)</f>
        <v>0.5</v>
      </c>
      <c r="L192" s="276">
        <f>Scenario[[#This Row],[Total Cost]]/(Scenario[[#This Row],[Total Coverage]]*100)</f>
        <v>76917.292911812372</v>
      </c>
      <c r="M192" s="295" cm="1">
        <f t="array" ref="M192">IF(AND(K192=MAX(K$10:K192), L192=MIN(IF(K$10:K192=K192, L$10:L192))), 1, 0)</f>
        <v>0</v>
      </c>
      <c r="N192" s="295">
        <f>IF(AND(Scenario[[#This Row],[Total Coverage]]&gt;=70%,Scenario[[#This Row],[Frontier]]=1),1,0)</f>
        <v>0</v>
      </c>
    </row>
    <row r="193" spans="1:14" x14ac:dyDescent="0.25">
      <c r="A193">
        <v>454</v>
      </c>
      <c r="B193">
        <v>0.25</v>
      </c>
      <c r="C193">
        <v>0.75</v>
      </c>
      <c r="D193">
        <v>0.25</v>
      </c>
      <c r="E193">
        <v>0.75</v>
      </c>
      <c r="F193">
        <v>1</v>
      </c>
      <c r="G193">
        <v>0</v>
      </c>
      <c r="H193">
        <v>0.25</v>
      </c>
      <c r="I193">
        <v>0.75</v>
      </c>
      <c r="J193" s="272">
        <f>$C$3*($C$4*$E$4*B192*$B$7)*$G$4+$C$3*($C$4*$E$5*D193*$D$7)*$G$4+$C$3*($C$4*$E$4*C193*$C$7)*$G$5+$C$3*($C$4*$E$5*E193*$E$7)*$G$5+$C$3*($C$5*$E$4*F193*$F$7)*$H$4+$C$3*($C$5*$E$5*H193*$H$7)*$H$4+$C$3*($C$5*$E$5*I193*$I$7)*$H$5+$C$3*($C$5*$E$4*G193*$G$7)*$H$5</f>
        <v>3962056.6878426913</v>
      </c>
      <c r="K193" s="277">
        <f>ROUND(($C$4*$E$4*B193*$B$7+$C$4*$E$4*C193*$C$7+$C$4*$E$5*D193*$D$7+$C$4*$E$5*E193*$E$7+($C$5*$E$4*F193*$F$7+$C$5*$E$4*G193*$G$7+$C$5*$E$5*H193*$H$7+$C$5*$E$5*I193*$I$7)),2)</f>
        <v>0.5</v>
      </c>
      <c r="L193" s="276">
        <f>Scenario[[#This Row],[Total Cost]]/(Scenario[[#This Row],[Total Coverage]]*100)</f>
        <v>79241.133756853829</v>
      </c>
      <c r="M193" s="295" cm="1">
        <f t="array" ref="M193">IF(AND(K193=MAX(K$10:K193), L193=MIN(IF(K$10:K193=K193, L$10:L193))), 1, 0)</f>
        <v>0</v>
      </c>
      <c r="N193" s="295">
        <f>IF(AND(Scenario[[#This Row],[Total Coverage]]&gt;=70%,Scenario[[#This Row],[Frontier]]=1),1,0)</f>
        <v>0</v>
      </c>
    </row>
    <row r="194" spans="1:14" x14ac:dyDescent="0.25">
      <c r="A194">
        <v>383</v>
      </c>
      <c r="B194">
        <v>0.25</v>
      </c>
      <c r="C194">
        <v>0.75</v>
      </c>
      <c r="D194">
        <v>1</v>
      </c>
      <c r="E194">
        <v>0</v>
      </c>
      <c r="F194">
        <v>0.75</v>
      </c>
      <c r="G194">
        <v>0.25</v>
      </c>
      <c r="H194">
        <v>0.5</v>
      </c>
      <c r="I194">
        <v>0.5</v>
      </c>
      <c r="J194" s="272">
        <f>$C$3*($C$4*$E$4*B193*$B$7)*$G$4+$C$3*($C$4*$E$5*D194*$D$7)*$G$4+$C$3*($C$4*$E$4*C194*$C$7)*$G$5+$C$3*($C$4*$E$5*E194*$E$7)*$G$5+$C$3*($C$5*$E$4*F194*$F$7)*$H$4+$C$3*($C$5*$E$5*H194*$H$7)*$H$4+$C$3*($C$5*$E$5*I194*$I$7)*$H$5+$C$3*($C$5*$E$4*G194*$G$7)*$H$5</f>
        <v>3757514.4523119596</v>
      </c>
      <c r="K194" s="277">
        <f>ROUND(($C$4*$E$4*B194*$B$7+$C$4*$E$4*C194*$C$7+$C$4*$E$5*D194*$D$7+$C$4*$E$5*E194*$E$7+($C$5*$E$4*F194*$F$7+$C$5*$E$4*G194*$G$7+$C$5*$E$5*H194*$H$7+$C$5*$E$5*I194*$I$7)),2)</f>
        <v>0.5</v>
      </c>
      <c r="L194" s="276">
        <f>Scenario[[#This Row],[Total Cost]]/(Scenario[[#This Row],[Total Coverage]]*100)</f>
        <v>75150.289046239195</v>
      </c>
      <c r="M194" s="295" cm="1">
        <f t="array" ref="M194">IF(AND(K194=MAX(K$10:K194), L194=MIN(IF(K$10:K194=K194, L$10:L194))), 1, 0)</f>
        <v>0</v>
      </c>
      <c r="N194" s="295">
        <f>IF(AND(Scenario[[#This Row],[Total Coverage]]&gt;=70%,Scenario[[#This Row],[Frontier]]=1),1,0)</f>
        <v>0</v>
      </c>
    </row>
    <row r="195" spans="1:14" x14ac:dyDescent="0.25">
      <c r="A195">
        <v>305</v>
      </c>
      <c r="B195">
        <v>0.5</v>
      </c>
      <c r="C195">
        <v>0.5</v>
      </c>
      <c r="D195">
        <v>0.5</v>
      </c>
      <c r="E195">
        <v>0.5</v>
      </c>
      <c r="F195">
        <v>1</v>
      </c>
      <c r="G195">
        <v>0</v>
      </c>
      <c r="H195">
        <v>0</v>
      </c>
      <c r="I195">
        <v>1</v>
      </c>
      <c r="J195" s="272">
        <f>$C$3*($C$4*$E$4*B194*$B$7)*$G$4+$C$3*($C$4*$E$5*D195*$D$7)*$G$4+$C$3*($C$4*$E$4*C195*$C$7)*$G$5+$C$3*($C$4*$E$5*E195*$E$7)*$G$5+$C$3*($C$5*$E$4*F195*$F$7)*$H$4+$C$3*($C$5*$E$5*H195*$H$7)*$H$4+$C$3*($C$5*$E$5*I195*$I$7)*$H$5+$C$3*($C$5*$E$4*G195*$G$7)*$H$5</f>
        <v>3558301.9155890374</v>
      </c>
      <c r="K195" s="277">
        <f>ROUND(($C$4*$E$4*B195*$B$7+$C$4*$E$4*C195*$C$7+$C$4*$E$5*D195*$D$7+$C$4*$E$5*E195*$E$7+($C$5*$E$4*F195*$F$7+$C$5*$E$4*G195*$G$7+$C$5*$E$5*H195*$H$7+$C$5*$E$5*I195*$I$7)),2)</f>
        <v>0.5</v>
      </c>
      <c r="L195" s="276">
        <f>Scenario[[#This Row],[Total Cost]]/(Scenario[[#This Row],[Total Coverage]]*100)</f>
        <v>71166.038311780751</v>
      </c>
      <c r="M195" s="295" cm="1">
        <f t="array" ref="M195">IF(AND(K195=MAX(K$10:K195), L195=MIN(IF(K$10:K195=K195, L$10:L195))), 1, 0)</f>
        <v>0</v>
      </c>
      <c r="N195" s="295">
        <f>IF(AND(Scenario[[#This Row],[Total Coverage]]&gt;=70%,Scenario[[#This Row],[Frontier]]=1),1,0)</f>
        <v>0</v>
      </c>
    </row>
    <row r="196" spans="1:14" x14ac:dyDescent="0.25">
      <c r="A196">
        <v>457</v>
      </c>
      <c r="B196">
        <v>0.25</v>
      </c>
      <c r="C196">
        <v>0.75</v>
      </c>
      <c r="D196">
        <v>0.25</v>
      </c>
      <c r="E196">
        <v>0.75</v>
      </c>
      <c r="F196">
        <v>0.75</v>
      </c>
      <c r="G196">
        <v>0.25</v>
      </c>
      <c r="H196">
        <v>0.75</v>
      </c>
      <c r="I196">
        <v>0.25</v>
      </c>
      <c r="J196" s="272">
        <f>$C$3*($C$4*$E$4*B195*$B$7)*$G$4+$C$3*($C$4*$E$5*D196*$D$7)*$G$4+$C$3*($C$4*$E$4*C196*$C$7)*$G$5+$C$3*($C$4*$E$5*E196*$E$7)*$G$5+$C$3*($C$5*$E$4*F196*$F$7)*$H$4+$C$3*($C$5*$E$5*H196*$H$7)*$H$4+$C$3*($C$5*$E$5*I196*$I$7)*$H$5+$C$3*($C$5*$E$4*G196*$G$7)*$H$5</f>
        <v>4036800.1600477742</v>
      </c>
      <c r="K196" s="277">
        <f>ROUND(($C$4*$E$4*B196*$B$7+$C$4*$E$4*C196*$C$7+$C$4*$E$5*D196*$D$7+$C$4*$E$5*E196*$E$7+($C$5*$E$4*F196*$F$7+$C$5*$E$4*G196*$G$7+$C$5*$E$5*H196*$H$7+$C$5*$E$5*I196*$I$7)),2)</f>
        <v>0.5</v>
      </c>
      <c r="L196" s="276">
        <f>Scenario[[#This Row],[Total Cost]]/(Scenario[[#This Row],[Total Coverage]]*100)</f>
        <v>80736.003200955485</v>
      </c>
      <c r="M196" s="295" cm="1">
        <f t="array" ref="M196">IF(AND(K196=MAX(K$10:K196), L196=MIN(IF(K$10:K196=K196, L$10:L196))), 1, 0)</f>
        <v>0</v>
      </c>
      <c r="N196" s="295">
        <f>IF(AND(Scenario[[#This Row],[Total Coverage]]&gt;=70%,Scenario[[#This Row],[Frontier]]=1),1,0)</f>
        <v>0</v>
      </c>
    </row>
    <row r="197" spans="1:14" x14ac:dyDescent="0.25">
      <c r="A197">
        <v>386</v>
      </c>
      <c r="B197">
        <v>0.25</v>
      </c>
      <c r="C197">
        <v>0.75</v>
      </c>
      <c r="D197">
        <v>1</v>
      </c>
      <c r="E197">
        <v>0</v>
      </c>
      <c r="F197">
        <v>0.5</v>
      </c>
      <c r="G197">
        <v>0.5</v>
      </c>
      <c r="H197">
        <v>1</v>
      </c>
      <c r="I197">
        <v>0</v>
      </c>
      <c r="J197" s="272">
        <f>$C$3*($C$4*$E$4*B196*$B$7)*$G$4+$C$3*($C$4*$E$5*D197*$D$7)*$G$4+$C$3*($C$4*$E$4*C197*$C$7)*$G$5+$C$3*($C$4*$E$5*E197*$E$7)*$G$5+$C$3*($C$5*$E$4*F197*$F$7)*$H$4+$C$3*($C$5*$E$5*H197*$H$7)*$H$4+$C$3*($C$5*$E$5*I197*$I$7)*$H$5+$C$3*($C$5*$E$4*G197*$G$7)*$H$5</f>
        <v>3832257.924517042</v>
      </c>
      <c r="K197" s="277">
        <f>ROUND(($C$4*$E$4*B197*$B$7+$C$4*$E$4*C197*$C$7+$C$4*$E$5*D197*$D$7+$C$4*$E$5*E197*$E$7+($C$5*$E$4*F197*$F$7+$C$5*$E$4*G197*$G$7+$C$5*$E$5*H197*$H$7+$C$5*$E$5*I197*$I$7)),2)</f>
        <v>0.5</v>
      </c>
      <c r="L197" s="276">
        <f>Scenario[[#This Row],[Total Cost]]/(Scenario[[#This Row],[Total Coverage]]*100)</f>
        <v>76645.158490340837</v>
      </c>
      <c r="M197" s="295" cm="1">
        <f t="array" ref="M197">IF(AND(K197=MAX(K$10:K197), L197=MIN(IF(K$10:K197=K197, L$10:L197))), 1, 0)</f>
        <v>0</v>
      </c>
      <c r="N197" s="295">
        <f>IF(AND(Scenario[[#This Row],[Total Coverage]]&gt;=70%,Scenario[[#This Row],[Frontier]]=1),1,0)</f>
        <v>0</v>
      </c>
    </row>
    <row r="198" spans="1:14" x14ac:dyDescent="0.25">
      <c r="A198">
        <v>532</v>
      </c>
      <c r="B198">
        <v>0</v>
      </c>
      <c r="C198">
        <v>1</v>
      </c>
      <c r="D198">
        <v>0.75</v>
      </c>
      <c r="E198">
        <v>0.25</v>
      </c>
      <c r="F198">
        <v>0.75</v>
      </c>
      <c r="G198">
        <v>0.25</v>
      </c>
      <c r="H198">
        <v>0.75</v>
      </c>
      <c r="I198">
        <v>0.25</v>
      </c>
      <c r="J198" s="272">
        <f>$C$3*($C$4*$E$4*B197*$B$7)*$G$4+$C$3*($C$4*$E$5*D198*$D$7)*$G$4+$C$3*($C$4*$E$4*C198*$C$7)*$G$5+$C$3*($C$4*$E$5*E198*$E$7)*$G$5+$C$3*($C$5*$E$4*F198*$F$7)*$H$4+$C$3*($C$5*$E$5*H198*$H$7)*$H$4+$C$3*($C$5*$E$5*I198*$I$7)*$H$5+$C$3*($C$5*$E$4*G198*$G$7)*$H$5</f>
        <v>4054859.5956673641</v>
      </c>
      <c r="K198" s="277">
        <f>ROUND(($C$4*$E$4*B198*$B$7+$C$4*$E$4*C198*$C$7+$C$4*$E$5*D198*$D$7+$C$4*$E$5*E198*$E$7+($C$5*$E$4*F198*$F$7+$C$5*$E$4*G198*$G$7+$C$5*$E$5*H198*$H$7+$C$5*$E$5*I198*$I$7)),2)</f>
        <v>0.5</v>
      </c>
      <c r="L198" s="276">
        <f>Scenario[[#This Row],[Total Cost]]/(Scenario[[#This Row],[Total Coverage]]*100)</f>
        <v>81097.191913347284</v>
      </c>
      <c r="M198" s="295" cm="1">
        <f t="array" ref="M198">IF(AND(K198=MAX(K$10:K198), L198=MIN(IF(K$10:K198=K198, L$10:L198))), 1, 0)</f>
        <v>0</v>
      </c>
      <c r="N198" s="295">
        <f>IF(AND(Scenario[[#This Row],[Total Coverage]]&gt;=70%,Scenario[[#This Row],[Frontier]]=1),1,0)</f>
        <v>0</v>
      </c>
    </row>
    <row r="199" spans="1:14" x14ac:dyDescent="0.25">
      <c r="A199">
        <v>603</v>
      </c>
      <c r="B199">
        <v>0</v>
      </c>
      <c r="C199">
        <v>1</v>
      </c>
      <c r="D199">
        <v>0</v>
      </c>
      <c r="E199">
        <v>1</v>
      </c>
      <c r="F199">
        <v>1</v>
      </c>
      <c r="G199">
        <v>0</v>
      </c>
      <c r="H199">
        <v>0.5</v>
      </c>
      <c r="I199">
        <v>0.5</v>
      </c>
      <c r="J199" s="272">
        <f>$C$3*($C$4*$E$4*B198*$B$7)*$G$4+$C$3*($C$4*$E$5*D199*$D$7)*$G$4+$C$3*($C$4*$E$4*C199*$C$7)*$G$5+$C$3*($C$4*$E$5*E199*$E$7)*$G$5+$C$3*($C$5*$E$4*F199*$F$7)*$H$4+$C$3*($C$5*$E$5*H199*$H$7)*$H$4+$C$3*($C$5*$E$5*I199*$I$7)*$H$5+$C$3*($C$5*$E$4*G199*$G$7)*$H$5</f>
        <v>4046582.5734015973</v>
      </c>
      <c r="K199" s="277">
        <f>ROUND(($C$4*$E$4*B199*$B$7+$C$4*$E$4*C199*$C$7+$C$4*$E$5*D199*$D$7+$C$4*$E$5*E199*$E$7+($C$5*$E$4*F199*$F$7+$C$5*$E$4*G199*$G$7+$C$5*$E$5*H199*$H$7+$C$5*$E$5*I199*$I$7)),2)</f>
        <v>0.5</v>
      </c>
      <c r="L199" s="276">
        <f>Scenario[[#This Row],[Total Cost]]/(Scenario[[#This Row],[Total Coverage]]*100)</f>
        <v>80931.651468031952</v>
      </c>
      <c r="M199" s="295" cm="1">
        <f t="array" ref="M199">IF(AND(K199=MAX(K$10:K199), L199=MIN(IF(K$10:K199=K199, L$10:L199))), 1, 0)</f>
        <v>0</v>
      </c>
      <c r="N199" s="295">
        <f>IF(AND(Scenario[[#This Row],[Total Coverage]]&gt;=70%,Scenario[[#This Row],[Frontier]]=1),1,0)</f>
        <v>0</v>
      </c>
    </row>
    <row r="200" spans="1:14" x14ac:dyDescent="0.25">
      <c r="A200">
        <v>606</v>
      </c>
      <c r="B200">
        <v>0</v>
      </c>
      <c r="C200">
        <v>1</v>
      </c>
      <c r="D200">
        <v>0</v>
      </c>
      <c r="E200">
        <v>1</v>
      </c>
      <c r="F200">
        <v>0.75</v>
      </c>
      <c r="G200">
        <v>0.25</v>
      </c>
      <c r="H200">
        <v>1</v>
      </c>
      <c r="I200">
        <v>0</v>
      </c>
      <c r="J200" s="272">
        <f>$C$3*($C$4*$E$4*B199*$B$7)*$G$4+$C$3*($C$4*$E$5*D200*$D$7)*$G$4+$C$3*($C$4*$E$4*C200*$C$7)*$G$5+$C$3*($C$4*$E$5*E200*$E$7)*$G$5+$C$3*($C$5*$E$4*F200*$F$7)*$H$4+$C$3*($C$5*$E$5*H200*$H$7)*$H$4+$C$3*($C$5*$E$5*I200*$I$7)*$H$5+$C$3*($C$5*$E$4*G200*$G$7)*$H$5</f>
        <v>4121326.0456066797</v>
      </c>
      <c r="K200" s="277">
        <f>ROUND(($C$4*$E$4*B200*$B$7+$C$4*$E$4*C200*$C$7+$C$4*$E$5*D200*$D$7+$C$4*$E$5*E200*$E$7+($C$5*$E$4*F200*$F$7+$C$5*$E$4*G200*$G$7+$C$5*$E$5*H200*$H$7+$C$5*$E$5*I200*$I$7)),2)</f>
        <v>0.5</v>
      </c>
      <c r="L200" s="276">
        <f>Scenario[[#This Row],[Total Cost]]/(Scenario[[#This Row],[Total Coverage]]*100)</f>
        <v>82426.520912133594</v>
      </c>
      <c r="M200" s="295" cm="1">
        <f t="array" ref="M200">IF(AND(K200=MAX(K$10:K200), L200=MIN(IF(K$10:K200=K200, L$10:L200))), 1, 0)</f>
        <v>0</v>
      </c>
      <c r="N200" s="295">
        <f>IF(AND(Scenario[[#This Row],[Total Coverage]]&gt;=70%,Scenario[[#This Row],[Frontier]]=1),1,0)</f>
        <v>0</v>
      </c>
    </row>
    <row r="201" spans="1:14" x14ac:dyDescent="0.25">
      <c r="A201">
        <v>87</v>
      </c>
      <c r="B201">
        <v>1</v>
      </c>
      <c r="C201">
        <v>0</v>
      </c>
      <c r="D201">
        <v>0.25</v>
      </c>
      <c r="E201">
        <v>0.75</v>
      </c>
      <c r="F201">
        <v>0.5</v>
      </c>
      <c r="G201">
        <v>0.5</v>
      </c>
      <c r="H201">
        <v>0.75</v>
      </c>
      <c r="I201">
        <v>0.25</v>
      </c>
      <c r="J201" s="272">
        <f>$C$3*($C$4*$E$4*B200*$B$7)*$G$4+$C$3*($C$4*$E$5*D201*$D$7)*$G$4+$C$3*($C$4*$E$4*C201*$C$7)*$G$5+$C$3*($C$4*$E$5*E201*$E$7)*$G$5+$C$3*($C$5*$E$4*F201*$F$7)*$H$4+$C$3*($C$5*$E$5*H201*$H$7)*$H$4+$C$3*($C$5*$E$5*I201*$I$7)*$H$5+$C$3*($C$5*$E$4*G201*$G$7)*$H$5</f>
        <v>3179565.0232277093</v>
      </c>
      <c r="K201" s="277">
        <f>ROUND(($C$4*$E$4*B201*$B$7+$C$4*$E$4*C201*$C$7+$C$4*$E$5*D201*$D$7+$C$4*$E$5*E201*$E$7+($C$5*$E$4*F201*$F$7+$C$5*$E$4*G201*$G$7+$C$5*$E$5*H201*$H$7+$C$5*$E$5*I201*$I$7)),2)</f>
        <v>0.51</v>
      </c>
      <c r="L201" s="276">
        <f>Scenario[[#This Row],[Total Cost]]/(Scenario[[#This Row],[Total Coverage]]*100)</f>
        <v>62344.412220151164</v>
      </c>
      <c r="M201" s="295" cm="1">
        <f t="array" ref="M201">IF(AND(K201=MAX(K$10:K201), L201=MIN(IF(K$10:K201=K201, L$10:L201))), 1, 0)</f>
        <v>1</v>
      </c>
      <c r="N201" s="295">
        <f>IF(AND(Scenario[[#This Row],[Total Coverage]]&gt;=70%,Scenario[[#This Row],[Frontier]]=1),1,0)</f>
        <v>0</v>
      </c>
    </row>
    <row r="202" spans="1:14" x14ac:dyDescent="0.25">
      <c r="A202">
        <v>84</v>
      </c>
      <c r="B202">
        <v>1</v>
      </c>
      <c r="C202">
        <v>0</v>
      </c>
      <c r="D202">
        <v>0.25</v>
      </c>
      <c r="E202">
        <v>0.75</v>
      </c>
      <c r="F202">
        <v>0.75</v>
      </c>
      <c r="G202">
        <v>0.25</v>
      </c>
      <c r="H202">
        <v>0.25</v>
      </c>
      <c r="I202">
        <v>0.75</v>
      </c>
      <c r="J202" s="272">
        <f>$C$3*($C$4*$E$4*B201*$B$7)*$G$4+$C$3*($C$4*$E$5*D202*$D$7)*$G$4+$C$3*($C$4*$E$4*C202*$C$7)*$G$5+$C$3*($C$4*$E$5*E202*$E$7)*$G$5+$C$3*($C$5*$E$4*F202*$F$7)*$H$4+$C$3*($C$5*$E$5*H202*$H$7)*$H$4+$C$3*($C$5*$E$5*I202*$I$7)*$H$5+$C$3*($C$5*$E$4*G202*$G$7)*$H$5</f>
        <v>3530460.0666156244</v>
      </c>
      <c r="K202" s="277">
        <f>ROUND(($C$4*$E$4*B202*$B$7+$C$4*$E$4*C202*$C$7+$C$4*$E$5*D202*$D$7+$C$4*$E$5*E202*$E$7+($C$5*$E$4*F202*$F$7+$C$5*$E$4*G202*$G$7+$C$5*$E$5*H202*$H$7+$C$5*$E$5*I202*$I$7)),2)</f>
        <v>0.51</v>
      </c>
      <c r="L202" s="276">
        <f>Scenario[[#This Row],[Total Cost]]/(Scenario[[#This Row],[Total Coverage]]*100)</f>
        <v>69224.707188541652</v>
      </c>
      <c r="M202" s="295" cm="1">
        <f t="array" ref="M202">IF(AND(K202=MAX(K$10:K202), L202=MIN(IF(K$10:K202=K202, L$10:L202))), 1, 0)</f>
        <v>0</v>
      </c>
      <c r="N202" s="295">
        <f>IF(AND(Scenario[[#This Row],[Total Coverage]]&gt;=70%,Scenario[[#This Row],[Frontier]]=1),1,0)</f>
        <v>0</v>
      </c>
    </row>
    <row r="203" spans="1:14" x14ac:dyDescent="0.25">
      <c r="A203">
        <v>13</v>
      </c>
      <c r="B203">
        <v>1</v>
      </c>
      <c r="C203">
        <v>0</v>
      </c>
      <c r="D203">
        <v>1</v>
      </c>
      <c r="E203">
        <v>0</v>
      </c>
      <c r="F203">
        <v>0.5</v>
      </c>
      <c r="G203">
        <v>0.5</v>
      </c>
      <c r="H203">
        <v>0.5</v>
      </c>
      <c r="I203">
        <v>0.5</v>
      </c>
      <c r="J203" s="272">
        <f>$C$3*($C$4*$E$4*B202*$B$7)*$G$4+$C$3*($C$4*$E$5*D203*$D$7)*$G$4+$C$3*($C$4*$E$4*C203*$C$7)*$G$5+$C$3*($C$4*$E$5*E203*$E$7)*$G$5+$C$3*($C$5*$E$4*F203*$F$7)*$H$4+$C$3*($C$5*$E$5*H203*$H$7)*$H$4+$C$3*($C$5*$E$5*I203*$I$7)*$H$5+$C$3*($C$5*$E$4*G203*$G$7)*$H$5</f>
        <v>3432327.4599831421</v>
      </c>
      <c r="K203" s="277">
        <f>ROUND(($C$4*$E$4*B203*$B$7+$C$4*$E$4*C203*$C$7+$C$4*$E$5*D203*$D$7+$C$4*$E$5*E203*$E$7+($C$5*$E$4*F203*$F$7+$C$5*$E$4*G203*$G$7+$C$5*$E$5*H203*$H$7+$C$5*$E$5*I203*$I$7)),2)</f>
        <v>0.51</v>
      </c>
      <c r="L203" s="276">
        <f>Scenario[[#This Row],[Total Cost]]/(Scenario[[#This Row],[Total Coverage]]*100)</f>
        <v>67300.538431042005</v>
      </c>
      <c r="M203" s="295" cm="1">
        <f t="array" ref="M203">IF(AND(K203=MAX(K$10:K203), L203=MIN(IF(K$10:K203=K203, L$10:L203))), 1, 0)</f>
        <v>0</v>
      </c>
      <c r="N203" s="295">
        <f>IF(AND(Scenario[[#This Row],[Total Coverage]]&gt;=70%,Scenario[[#This Row],[Frontier]]=1),1,0)</f>
        <v>0</v>
      </c>
    </row>
    <row r="204" spans="1:14" x14ac:dyDescent="0.25">
      <c r="A204">
        <v>16</v>
      </c>
      <c r="B204">
        <v>1</v>
      </c>
      <c r="C204">
        <v>0</v>
      </c>
      <c r="D204">
        <v>1</v>
      </c>
      <c r="E204">
        <v>0</v>
      </c>
      <c r="F204">
        <v>0.25</v>
      </c>
      <c r="G204">
        <v>0.75</v>
      </c>
      <c r="H204">
        <v>1</v>
      </c>
      <c r="I204">
        <v>0</v>
      </c>
      <c r="J204" s="272">
        <f>$C$3*($C$4*$E$4*B203*$B$7)*$G$4+$C$3*($C$4*$E$5*D204*$D$7)*$G$4+$C$3*($C$4*$E$4*C204*$C$7)*$G$5+$C$3*($C$4*$E$5*E204*$E$7)*$G$5+$C$3*($C$5*$E$4*F204*$F$7)*$H$4+$C$3*($C$5*$E$5*H204*$H$7)*$H$4+$C$3*($C$5*$E$5*I204*$I$7)*$H$5+$C$3*($C$5*$E$4*G204*$G$7)*$H$5</f>
        <v>3507070.932188225</v>
      </c>
      <c r="K204" s="277">
        <f>ROUND(($C$4*$E$4*B204*$B$7+$C$4*$E$4*C204*$C$7+$C$4*$E$5*D204*$D$7+$C$4*$E$5*E204*$E$7+($C$5*$E$4*F204*$F$7+$C$5*$E$4*G204*$G$7+$C$5*$E$5*H204*$H$7+$C$5*$E$5*I204*$I$7)),2)</f>
        <v>0.51</v>
      </c>
      <c r="L204" s="276">
        <f>Scenario[[#This Row],[Total Cost]]/(Scenario[[#This Row],[Total Coverage]]*100)</f>
        <v>68766.096709573045</v>
      </c>
      <c r="M204" s="295" cm="1">
        <f t="array" ref="M204">IF(AND(K204=MAX(K$10:K204), L204=MIN(IF(K$10:K204=K204, L$10:L204))), 1, 0)</f>
        <v>0</v>
      </c>
      <c r="N204" s="295">
        <f>IF(AND(Scenario[[#This Row],[Total Coverage]]&gt;=70%,Scenario[[#This Row],[Frontier]]=1),1,0)</f>
        <v>0</v>
      </c>
    </row>
    <row r="205" spans="1:14" x14ac:dyDescent="0.25">
      <c r="A205">
        <v>233</v>
      </c>
      <c r="B205">
        <v>0.75</v>
      </c>
      <c r="C205">
        <v>0.25</v>
      </c>
      <c r="D205">
        <v>0</v>
      </c>
      <c r="E205">
        <v>1</v>
      </c>
      <c r="F205">
        <v>0.75</v>
      </c>
      <c r="G205">
        <v>0.25</v>
      </c>
      <c r="H205">
        <v>0.5</v>
      </c>
      <c r="I205">
        <v>0.5</v>
      </c>
      <c r="J205" s="272">
        <f>$C$3*($C$4*$E$4*B204*$B$7)*$G$4+$C$3*($C$4*$E$5*D205*$D$7)*$G$4+$C$3*($C$4*$E$4*C205*$C$7)*$G$5+$C$3*($C$4*$E$5*E205*$E$7)*$G$5+$C$3*($C$5*$E$4*F205*$F$7)*$H$4+$C$3*($C$5*$E$5*H205*$H$7)*$H$4+$C$3*($C$5*$E$5*I205*$I$7)*$H$5+$C$3*($C$5*$E$4*G205*$G$7)*$H$5</f>
        <v>3827805.2099710288</v>
      </c>
      <c r="K205" s="277">
        <f>ROUND(($C$4*$E$4*B205*$B$7+$C$4*$E$4*C205*$C$7+$C$4*$E$5*D205*$D$7+$C$4*$E$5*E205*$E$7+($C$5*$E$4*F205*$F$7+$C$5*$E$4*G205*$G$7+$C$5*$E$5*H205*$H$7+$C$5*$E$5*I205*$I$7)),2)</f>
        <v>0.51</v>
      </c>
      <c r="L205" s="276">
        <f>Scenario[[#This Row],[Total Cost]]/(Scenario[[#This Row],[Total Coverage]]*100)</f>
        <v>75055.004117078992</v>
      </c>
      <c r="M205" s="295" cm="1">
        <f t="array" ref="M205">IF(AND(K205=MAX(K$10:K205), L205=MIN(IF(K$10:K205=K205, L$10:L205))), 1, 0)</f>
        <v>0</v>
      </c>
      <c r="N205" s="295">
        <f>IF(AND(Scenario[[#This Row],[Total Coverage]]&gt;=70%,Scenario[[#This Row],[Frontier]]=1),1,0)</f>
        <v>0</v>
      </c>
    </row>
    <row r="206" spans="1:14" x14ac:dyDescent="0.25">
      <c r="A206">
        <v>236</v>
      </c>
      <c r="B206">
        <v>0.75</v>
      </c>
      <c r="C206">
        <v>0.25</v>
      </c>
      <c r="D206">
        <v>0</v>
      </c>
      <c r="E206">
        <v>1</v>
      </c>
      <c r="F206">
        <v>0.5</v>
      </c>
      <c r="G206">
        <v>0.5</v>
      </c>
      <c r="H206">
        <v>1</v>
      </c>
      <c r="I206">
        <v>0</v>
      </c>
      <c r="J206" s="272">
        <f>$C$3*($C$4*$E$4*B205*$B$7)*$G$4+$C$3*($C$4*$E$5*D206*$D$7)*$G$4+$C$3*($C$4*$E$4*C206*$C$7)*$G$5+$C$3*($C$4*$E$5*E206*$E$7)*$G$5+$C$3*($C$5*$E$4*F206*$F$7)*$H$4+$C$3*($C$5*$E$5*H206*$H$7)*$H$4+$C$3*($C$5*$E$5*I206*$I$7)*$H$5+$C$3*($C$5*$E$4*G206*$G$7)*$H$5</f>
        <v>3796139.0532778623</v>
      </c>
      <c r="K206" s="277">
        <f>ROUND(($C$4*$E$4*B206*$B$7+$C$4*$E$4*C206*$C$7+$C$4*$E$5*D206*$D$7+$C$4*$E$5*E206*$E$7+($C$5*$E$4*F206*$F$7+$C$5*$E$4*G206*$G$7+$C$5*$E$5*H206*$H$7+$C$5*$E$5*I206*$I$7)),2)</f>
        <v>0.51</v>
      </c>
      <c r="L206" s="276">
        <f>Scenario[[#This Row],[Total Cost]]/(Scenario[[#This Row],[Total Coverage]]*100)</f>
        <v>74434.099083879657</v>
      </c>
      <c r="M206" s="295" cm="1">
        <f t="array" ref="M206">IF(AND(K206=MAX(K$10:K206), L206=MIN(IF(K$10:K206=K206, L$10:L206))), 1, 0)</f>
        <v>0</v>
      </c>
      <c r="N206" s="295">
        <f>IF(AND(Scenario[[#This Row],[Total Coverage]]&gt;=70%,Scenario[[#This Row],[Frontier]]=1),1,0)</f>
        <v>0</v>
      </c>
    </row>
    <row r="207" spans="1:14" x14ac:dyDescent="0.25">
      <c r="A207">
        <v>311</v>
      </c>
      <c r="B207">
        <v>0.5</v>
      </c>
      <c r="C207">
        <v>0.5</v>
      </c>
      <c r="D207">
        <v>0.5</v>
      </c>
      <c r="E207">
        <v>0.5</v>
      </c>
      <c r="F207">
        <v>0.5</v>
      </c>
      <c r="G207">
        <v>0.5</v>
      </c>
      <c r="H207">
        <v>1</v>
      </c>
      <c r="I207">
        <v>0</v>
      </c>
      <c r="J207" s="272">
        <f>$C$3*($C$4*$E$4*B206*$B$7)*$G$4+$C$3*($C$4*$E$5*D207*$D$7)*$G$4+$C$3*($C$4*$E$4*C207*$C$7)*$G$5+$C$3*($C$4*$E$5*E207*$E$7)*$G$5+$C$3*($C$5*$E$4*F207*$F$7)*$H$4+$C$3*($C$5*$E$5*H207*$H$7)*$H$4+$C$3*($C$5*$E$5*I207*$I$7)*$H$5+$C$3*($C$5*$E$4*G207*$G$7)*$H$5</f>
        <v>3920608.1177957021</v>
      </c>
      <c r="K207" s="277">
        <f>ROUND(($C$4*$E$4*B207*$B$7+$C$4*$E$4*C207*$C$7+$C$4*$E$5*D207*$D$7+$C$4*$E$5*E207*$E$7+($C$5*$E$4*F207*$F$7+$C$5*$E$4*G207*$G$7+$C$5*$E$5*H207*$H$7+$C$5*$E$5*I207*$I$7)),2)</f>
        <v>0.51</v>
      </c>
      <c r="L207" s="276">
        <f>Scenario[[#This Row],[Total Cost]]/(Scenario[[#This Row],[Total Coverage]]*100)</f>
        <v>76874.668976386311</v>
      </c>
      <c r="M207" s="295" cm="1">
        <f t="array" ref="M207">IF(AND(K207=MAX(K$10:K207), L207=MIN(IF(K$10:K207=K207, L$10:L207))), 1, 0)</f>
        <v>0</v>
      </c>
      <c r="N207" s="295">
        <f>IF(AND(Scenario[[#This Row],[Total Coverage]]&gt;=70%,Scenario[[#This Row],[Frontier]]=1),1,0)</f>
        <v>0</v>
      </c>
    </row>
    <row r="208" spans="1:14" x14ac:dyDescent="0.25">
      <c r="A208">
        <v>162</v>
      </c>
      <c r="B208">
        <v>0.75</v>
      </c>
      <c r="C208">
        <v>0.25</v>
      </c>
      <c r="D208">
        <v>0.75</v>
      </c>
      <c r="E208">
        <v>0.25</v>
      </c>
      <c r="F208">
        <v>0.5</v>
      </c>
      <c r="G208">
        <v>0.5</v>
      </c>
      <c r="H208">
        <v>0.75</v>
      </c>
      <c r="I208">
        <v>0.25</v>
      </c>
      <c r="J208" s="272">
        <f>$C$3*($C$4*$E$4*B207*$B$7)*$G$4+$C$3*($C$4*$E$5*D208*$D$7)*$G$4+$C$3*($C$4*$E$4*C208*$C$7)*$G$5+$C$3*($C$4*$E$5*E208*$E$7)*$G$5+$C$3*($C$5*$E$4*F208*$F$7)*$H$4+$C$3*($C$5*$E$5*H208*$H$7)*$H$4+$C$3*($C$5*$E$5*I208*$I$7)*$H$5+$C$3*($C$5*$E$4*G208*$G$7)*$H$5</f>
        <v>3516853.3455420472</v>
      </c>
      <c r="K208" s="277">
        <f>ROUND(($C$4*$E$4*B208*$B$7+$C$4*$E$4*C208*$C$7+$C$4*$E$5*D208*$D$7+$C$4*$E$5*E208*$E$7+($C$5*$E$4*F208*$F$7+$C$5*$E$4*G208*$G$7+$C$5*$E$5*H208*$H$7+$C$5*$E$5*I208*$I$7)),2)</f>
        <v>0.51</v>
      </c>
      <c r="L208" s="276">
        <f>Scenario[[#This Row],[Total Cost]]/(Scenario[[#This Row],[Total Coverage]]*100)</f>
        <v>68957.908736118567</v>
      </c>
      <c r="M208" s="295" cm="1">
        <f t="array" ref="M208">IF(AND(K208=MAX(K$10:K208), L208=MIN(IF(K$10:K208=K208, L$10:L208))), 1, 0)</f>
        <v>0</v>
      </c>
      <c r="N208" s="295">
        <f>IF(AND(Scenario[[#This Row],[Total Coverage]]&gt;=70%,Scenario[[#This Row],[Frontier]]=1),1,0)</f>
        <v>0</v>
      </c>
    </row>
    <row r="209" spans="1:14" x14ac:dyDescent="0.25">
      <c r="A209">
        <v>259</v>
      </c>
      <c r="B209">
        <v>0.5</v>
      </c>
      <c r="C209">
        <v>0.5</v>
      </c>
      <c r="D209">
        <v>1</v>
      </c>
      <c r="E209">
        <v>0</v>
      </c>
      <c r="F209">
        <v>0.75</v>
      </c>
      <c r="G209">
        <v>0.25</v>
      </c>
      <c r="H209">
        <v>0.25</v>
      </c>
      <c r="I209">
        <v>0.75</v>
      </c>
      <c r="J209" s="272">
        <f>$C$3*($C$4*$E$4*B208*$B$7)*$G$4+$C$3*($C$4*$E$5*D209*$D$7)*$G$4+$C$3*($C$4*$E$4*C209*$C$7)*$G$5+$C$3*($C$4*$E$5*E209*$E$7)*$G$5+$C$3*($C$5*$E$4*F209*$F$7)*$H$4+$C$3*($C$5*$E$5*H209*$H$7)*$H$4+$C$3*($C$5*$E$5*I209*$I$7)*$H$5+$C$3*($C$5*$E$4*G209*$G$7)*$H$5</f>
        <v>3857264.8864439619</v>
      </c>
      <c r="K209" s="277">
        <f>ROUND(($C$4*$E$4*B209*$B$7+$C$4*$E$4*C209*$C$7+$C$4*$E$5*D209*$D$7+$C$4*$E$5*E209*$E$7+($C$5*$E$4*F209*$F$7+$C$5*$E$4*G209*$G$7+$C$5*$E$5*H209*$H$7+$C$5*$E$5*I209*$I$7)),2)</f>
        <v>0.51</v>
      </c>
      <c r="L209" s="276">
        <f>Scenario[[#This Row],[Total Cost]]/(Scenario[[#This Row],[Total Coverage]]*100)</f>
        <v>75632.644832234553</v>
      </c>
      <c r="M209" s="295" cm="1">
        <f t="array" ref="M209">IF(AND(K209=MAX(K$10:K209), L209=MIN(IF(K$10:K209=K209, L$10:L209))), 1, 0)</f>
        <v>0</v>
      </c>
      <c r="N209" s="295">
        <f>IF(AND(Scenario[[#This Row],[Total Coverage]]&gt;=70%,Scenario[[#This Row],[Frontier]]=1),1,0)</f>
        <v>0</v>
      </c>
    </row>
    <row r="210" spans="1:14" x14ac:dyDescent="0.25">
      <c r="A210">
        <v>479</v>
      </c>
      <c r="B210">
        <v>0.25</v>
      </c>
      <c r="C210">
        <v>0.75</v>
      </c>
      <c r="D210">
        <v>0</v>
      </c>
      <c r="E210">
        <v>1</v>
      </c>
      <c r="F210">
        <v>1</v>
      </c>
      <c r="G210">
        <v>0</v>
      </c>
      <c r="H210">
        <v>0.25</v>
      </c>
      <c r="I210">
        <v>0.75</v>
      </c>
      <c r="J210" s="272">
        <f>$C$3*($C$4*$E$4*B209*$B$7)*$G$4+$C$3*($C$4*$E$5*D210*$D$7)*$G$4+$C$3*($C$4*$E$4*C210*$C$7)*$G$5+$C$3*($C$4*$E$5*E210*$E$7)*$G$5+$C$3*($C$5*$E$4*F210*$F$7)*$H$4+$C$3*($C$5*$E$5*H210*$H$7)*$H$4+$C$3*($C$5*$E$5*I210*$I$7)*$H$5+$C$3*($C$5*$E$4*G210*$G$7)*$H$5</f>
        <v>4146333.0075335996</v>
      </c>
      <c r="K210" s="277">
        <f>ROUND(($C$4*$E$4*B210*$B$7+$C$4*$E$4*C210*$C$7+$C$4*$E$5*D210*$D$7+$C$4*$E$5*E210*$E$7+($C$5*$E$4*F210*$F$7+$C$5*$E$4*G210*$G$7+$C$5*$E$5*H210*$H$7+$C$5*$E$5*I210*$I$7)),2)</f>
        <v>0.51</v>
      </c>
      <c r="L210" s="276">
        <f>Scenario[[#This Row],[Total Cost]]/(Scenario[[#This Row],[Total Coverage]]*100)</f>
        <v>81300.647206541165</v>
      </c>
      <c r="M210" s="295" cm="1">
        <f t="array" ref="M210">IF(AND(K210=MAX(K$10:K210), L210=MIN(IF(K$10:K210=K210, L$10:L210))), 1, 0)</f>
        <v>0</v>
      </c>
      <c r="N210" s="295">
        <f>IF(AND(Scenario[[#This Row],[Total Coverage]]&gt;=70%,Scenario[[#This Row],[Frontier]]=1),1,0)</f>
        <v>0</v>
      </c>
    </row>
    <row r="211" spans="1:14" x14ac:dyDescent="0.25">
      <c r="A211">
        <v>408</v>
      </c>
      <c r="B211">
        <v>0.25</v>
      </c>
      <c r="C211">
        <v>0.75</v>
      </c>
      <c r="D211">
        <v>0.75</v>
      </c>
      <c r="E211">
        <v>0.25</v>
      </c>
      <c r="F211">
        <v>0.75</v>
      </c>
      <c r="G211">
        <v>0.25</v>
      </c>
      <c r="H211">
        <v>0.5</v>
      </c>
      <c r="I211">
        <v>0.5</v>
      </c>
      <c r="J211" s="272">
        <f>$C$3*($C$4*$E$4*B210*$B$7)*$G$4+$C$3*($C$4*$E$5*D211*$D$7)*$G$4+$C$3*($C$4*$E$4*C211*$C$7)*$G$5+$C$3*($C$4*$E$5*E211*$E$7)*$G$5+$C$3*($C$5*$E$4*F211*$F$7)*$H$4+$C$3*($C$5*$E$5*H211*$H$7)*$H$4+$C$3*($C$5*$E$5*I211*$I$7)*$H$5+$C$3*($C$5*$E$4*G211*$G$7)*$H$5</f>
        <v>3941790.7720028679</v>
      </c>
      <c r="K211" s="277">
        <f>ROUND(($C$4*$E$4*B211*$B$7+$C$4*$E$4*C211*$C$7+$C$4*$E$5*D211*$D$7+$C$4*$E$5*E211*$E$7+($C$5*$E$4*F211*$F$7+$C$5*$E$4*G211*$G$7+$C$5*$E$5*H211*$H$7+$C$5*$E$5*I211*$I$7)),2)</f>
        <v>0.51</v>
      </c>
      <c r="L211" s="276">
        <f>Scenario[[#This Row],[Total Cost]]/(Scenario[[#This Row],[Total Coverage]]*100)</f>
        <v>77290.015137311129</v>
      </c>
      <c r="M211" s="295" cm="1">
        <f t="array" ref="M211">IF(AND(K211=MAX(K$10:K211), L211=MIN(IF(K$10:K211=K211, L$10:L211))), 1, 0)</f>
        <v>0</v>
      </c>
      <c r="N211" s="295">
        <f>IF(AND(Scenario[[#This Row],[Total Coverage]]&gt;=70%,Scenario[[#This Row],[Frontier]]=1),1,0)</f>
        <v>0</v>
      </c>
    </row>
    <row r="212" spans="1:14" x14ac:dyDescent="0.25">
      <c r="A212">
        <v>330</v>
      </c>
      <c r="B212">
        <v>0.5</v>
      </c>
      <c r="C212">
        <v>0.5</v>
      </c>
      <c r="D212">
        <v>0.25</v>
      </c>
      <c r="E212">
        <v>0.75</v>
      </c>
      <c r="F212">
        <v>1</v>
      </c>
      <c r="G212">
        <v>0</v>
      </c>
      <c r="H212">
        <v>0</v>
      </c>
      <c r="I212">
        <v>1</v>
      </c>
      <c r="J212" s="272">
        <f>$C$3*($C$4*$E$4*B211*$B$7)*$G$4+$C$3*($C$4*$E$5*D212*$D$7)*$G$4+$C$3*($C$4*$E$4*C212*$C$7)*$G$5+$C$3*($C$4*$E$5*E212*$E$7)*$G$5+$C$3*($C$5*$E$4*F212*$F$7)*$H$4+$C$3*($C$5*$E$5*H212*$H$7)*$H$4+$C$3*($C$5*$E$5*I212*$I$7)*$H$5+$C$3*($C$5*$E$4*G212*$G$7)*$H$5</f>
        <v>3742578.2352799457</v>
      </c>
      <c r="K212" s="277">
        <f>ROUND(($C$4*$E$4*B212*$B$7+$C$4*$E$4*C212*$C$7+$C$4*$E$5*D212*$D$7+$C$4*$E$5*E212*$E$7+($C$5*$E$4*F212*$F$7+$C$5*$E$4*G212*$G$7+$C$5*$E$5*H212*$H$7+$C$5*$E$5*I212*$I$7)),2)</f>
        <v>0.51</v>
      </c>
      <c r="L212" s="276">
        <f>Scenario[[#This Row],[Total Cost]]/(Scenario[[#This Row],[Total Coverage]]*100)</f>
        <v>73383.886966273451</v>
      </c>
      <c r="M212" s="295" cm="1">
        <f t="array" ref="M212">IF(AND(K212=MAX(K$10:K212), L212=MIN(IF(K$10:K212=K212, L$10:L212))), 1, 0)</f>
        <v>0</v>
      </c>
      <c r="N212" s="295">
        <f>IF(AND(Scenario[[#This Row],[Total Coverage]]&gt;=70%,Scenario[[#This Row],[Frontier]]=1),1,0)</f>
        <v>0</v>
      </c>
    </row>
    <row r="213" spans="1:14" x14ac:dyDescent="0.25">
      <c r="A213">
        <v>405</v>
      </c>
      <c r="B213">
        <v>0.25</v>
      </c>
      <c r="C213">
        <v>0.75</v>
      </c>
      <c r="D213">
        <v>0.75</v>
      </c>
      <c r="E213">
        <v>0.25</v>
      </c>
      <c r="F213">
        <v>1</v>
      </c>
      <c r="G213">
        <v>0</v>
      </c>
      <c r="H213">
        <v>0</v>
      </c>
      <c r="I213">
        <v>1</v>
      </c>
      <c r="J213" s="272">
        <f>$C$3*($C$4*$E$4*B212*$B$7)*$G$4+$C$3*($C$4*$E$5*D213*$D$7)*$G$4+$C$3*($C$4*$E$4*C213*$C$7)*$G$5+$C$3*($C$4*$E$5*E213*$E$7)*$G$5+$C$3*($C$5*$E$4*F213*$F$7)*$H$4+$C$3*($C$5*$E$5*H213*$H$7)*$H$4+$C$3*($C$5*$E$5*I213*$I$7)*$H$5+$C$3*($C$5*$E$4*G213*$G$7)*$H$5</f>
        <v>3973456.9286960345</v>
      </c>
      <c r="K213" s="277">
        <f>ROUND(($C$4*$E$4*B213*$B$7+$C$4*$E$4*C213*$C$7+$C$4*$E$5*D213*$D$7+$C$4*$E$5*E213*$E$7+($C$5*$E$4*F213*$F$7+$C$5*$E$4*G213*$G$7+$C$5*$E$5*H213*$H$7+$C$5*$E$5*I213*$I$7)),2)</f>
        <v>0.51</v>
      </c>
      <c r="L213" s="276">
        <f>Scenario[[#This Row],[Total Cost]]/(Scenario[[#This Row],[Total Coverage]]*100)</f>
        <v>77910.920170510479</v>
      </c>
      <c r="M213" s="295" cm="1">
        <f t="array" ref="M213">IF(AND(K213=MAX(K$10:K213), L213=MIN(IF(K$10:K213=K213, L$10:L213))), 1, 0)</f>
        <v>0</v>
      </c>
      <c r="N213" s="295">
        <f>IF(AND(Scenario[[#This Row],[Total Coverage]]&gt;=70%,Scenario[[#This Row],[Frontier]]=1),1,0)</f>
        <v>0</v>
      </c>
    </row>
    <row r="214" spans="1:14" x14ac:dyDescent="0.25">
      <c r="A214">
        <v>554</v>
      </c>
      <c r="B214">
        <v>0</v>
      </c>
      <c r="C214">
        <v>1</v>
      </c>
      <c r="D214">
        <v>0.5</v>
      </c>
      <c r="E214">
        <v>0.5</v>
      </c>
      <c r="F214">
        <v>1</v>
      </c>
      <c r="G214">
        <v>0</v>
      </c>
      <c r="H214">
        <v>0.25</v>
      </c>
      <c r="I214">
        <v>0.75</v>
      </c>
      <c r="J214" s="272">
        <f>$C$3*($C$4*$E$4*B213*$B$7)*$G$4+$C$3*($C$4*$E$5*D214*$D$7)*$G$4+$C$3*($C$4*$E$4*C214*$C$7)*$G$5+$C$3*($C$4*$E$5*E214*$E$7)*$G$5+$C$3*($C$5*$E$4*F214*$F$7)*$H$4+$C$3*($C$5*$E$5*H214*$H$7)*$H$4+$C$3*($C$5*$E$5*I214*$I$7)*$H$5+$C$3*($C$5*$E$4*G214*$G$7)*$H$5</f>
        <v>4164392.4431531895</v>
      </c>
      <c r="K214" s="277">
        <f>ROUND(($C$4*$E$4*B214*$B$7+$C$4*$E$4*C214*$C$7+$C$4*$E$5*D214*$D$7+$C$4*$E$5*E214*$E$7+($C$5*$E$4*F214*$F$7+$C$5*$E$4*G214*$G$7+$C$5*$E$5*H214*$H$7+$C$5*$E$5*I214*$I$7)),2)</f>
        <v>0.51</v>
      </c>
      <c r="L214" s="276">
        <f>Scenario[[#This Row],[Total Cost]]/(Scenario[[#This Row],[Total Coverage]]*100)</f>
        <v>81654.753787317444</v>
      </c>
      <c r="M214" s="295" cm="1">
        <f t="array" ref="M214">IF(AND(K214=MAX(K$10:K214), L214=MIN(IF(K$10:K214=K214, L$10:L214))), 1, 0)</f>
        <v>0</v>
      </c>
      <c r="N214" s="295">
        <f>IF(AND(Scenario[[#This Row],[Total Coverage]]&gt;=70%,Scenario[[#This Row],[Frontier]]=1),1,0)</f>
        <v>0</v>
      </c>
    </row>
    <row r="215" spans="1:14" x14ac:dyDescent="0.25">
      <c r="A215">
        <v>557</v>
      </c>
      <c r="B215">
        <v>0</v>
      </c>
      <c r="C215">
        <v>1</v>
      </c>
      <c r="D215">
        <v>0.5</v>
      </c>
      <c r="E215">
        <v>0.5</v>
      </c>
      <c r="F215">
        <v>0.75</v>
      </c>
      <c r="G215">
        <v>0.25</v>
      </c>
      <c r="H215">
        <v>0.75</v>
      </c>
      <c r="I215">
        <v>0.25</v>
      </c>
      <c r="J215" s="272">
        <f>$C$3*($C$4*$E$4*B214*$B$7)*$G$4+$C$3*($C$4*$E$5*D215*$D$7)*$G$4+$C$3*($C$4*$E$4*C215*$C$7)*$G$5+$C$3*($C$4*$E$5*E215*$E$7)*$G$5+$C$3*($C$5*$E$4*F215*$F$7)*$H$4+$C$3*($C$5*$E$5*H215*$H$7)*$H$4+$C$3*($C$5*$E$5*I215*$I$7)*$H$5+$C$3*($C$5*$E$4*G215*$G$7)*$H$5</f>
        <v>4132726.2864600229</v>
      </c>
      <c r="K215" s="277">
        <f>ROUND(($C$4*$E$4*B215*$B$7+$C$4*$E$4*C215*$C$7+$C$4*$E$5*D215*$D$7+$C$4*$E$5*E215*$E$7+($C$5*$E$4*F215*$F$7+$C$5*$E$4*G215*$G$7+$C$5*$E$5*H215*$H$7+$C$5*$E$5*I215*$I$7)),2)</f>
        <v>0.51</v>
      </c>
      <c r="L215" s="276">
        <f>Scenario[[#This Row],[Total Cost]]/(Scenario[[#This Row],[Total Coverage]]*100)</f>
        <v>81033.848754118095</v>
      </c>
      <c r="M215" s="295" cm="1">
        <f t="array" ref="M215">IF(AND(K215=MAX(K$10:K215), L215=MIN(IF(K$10:K215=K215, L$10:L215))), 1, 0)</f>
        <v>0</v>
      </c>
      <c r="N215" s="295">
        <f>IF(AND(Scenario[[#This Row],[Total Coverage]]&gt;=70%,Scenario[[#This Row],[Frontier]]=1),1,0)</f>
        <v>0</v>
      </c>
    </row>
    <row r="216" spans="1:14" x14ac:dyDescent="0.25">
      <c r="A216">
        <v>35</v>
      </c>
      <c r="B216">
        <v>1</v>
      </c>
      <c r="C216">
        <v>0</v>
      </c>
      <c r="D216">
        <v>0.75</v>
      </c>
      <c r="E216">
        <v>0.25</v>
      </c>
      <c r="F216">
        <v>0.75</v>
      </c>
      <c r="G216">
        <v>0.25</v>
      </c>
      <c r="H216">
        <v>0</v>
      </c>
      <c r="I216">
        <v>1</v>
      </c>
      <c r="J216" s="272">
        <f>$C$3*($C$4*$E$4*B215*$B$7)*$G$4+$C$3*($C$4*$E$5*D216*$D$7)*$G$4+$C$3*($C$4*$E$4*C216*$C$7)*$G$5+$C$3*($C$4*$E$5*E216*$E$7)*$G$5+$C$3*($C$5*$E$4*F216*$F$7)*$H$4+$C$3*($C$5*$E$5*H216*$H$7)*$H$4+$C$3*($C$5*$E$5*I216*$I$7)*$H$5+$C$3*($C$5*$E$4*G216*$G$7)*$H$5</f>
        <v>3116221.7918759696</v>
      </c>
      <c r="K216" s="277">
        <f>ROUND(($C$4*$E$4*B216*$B$7+$C$4*$E$4*C216*$C$7+$C$4*$E$5*D216*$D$7+$C$4*$E$5*E216*$E$7+($C$5*$E$4*F216*$F$7+$C$5*$E$4*G216*$G$7+$C$5*$E$5*H216*$H$7+$C$5*$E$5*I216*$I$7)),2)</f>
        <v>0.52</v>
      </c>
      <c r="L216" s="276">
        <f>Scenario[[#This Row],[Total Cost]]/(Scenario[[#This Row],[Total Coverage]]*100)</f>
        <v>59927.342151460951</v>
      </c>
      <c r="M216" s="295" cm="1">
        <f t="array" ref="M216">IF(AND(K216=MAX(K$10:K216), L216=MIN(IF(K$10:K216=K216, L$10:L216))), 1, 0)</f>
        <v>1</v>
      </c>
      <c r="N216" s="295">
        <f>IF(AND(Scenario[[#This Row],[Total Coverage]]&gt;=70%,Scenario[[#This Row],[Frontier]]=1),1,0)</f>
        <v>0</v>
      </c>
    </row>
    <row r="217" spans="1:14" x14ac:dyDescent="0.25">
      <c r="A217">
        <v>187</v>
      </c>
      <c r="B217">
        <v>0.75</v>
      </c>
      <c r="C217">
        <v>0.25</v>
      </c>
      <c r="D217">
        <v>0.5</v>
      </c>
      <c r="E217">
        <v>0.5</v>
      </c>
      <c r="F217">
        <v>0.5</v>
      </c>
      <c r="G217">
        <v>0.5</v>
      </c>
      <c r="H217">
        <v>0.75</v>
      </c>
      <c r="I217">
        <v>0.25</v>
      </c>
      <c r="J217" s="272">
        <f>$C$3*($C$4*$E$4*B216*$B$7)*$G$4+$C$3*($C$4*$E$5*D217*$D$7)*$G$4+$C$3*($C$4*$E$4*C217*$C$7)*$G$5+$C$3*($C$4*$E$5*E217*$E$7)*$G$5+$C$3*($C$5*$E$4*F217*$F$7)*$H$4+$C$3*($C$5*$E$5*H217*$H$7)*$H$4+$C$3*($C$5*$E$5*I217*$I$7)*$H$5+$C$3*($C$5*$E$4*G217*$G$7)*$H$5</f>
        <v>3913948.9230294544</v>
      </c>
      <c r="K217" s="277">
        <f>ROUND(($C$4*$E$4*B217*$B$7+$C$4*$E$4*C217*$C$7+$C$4*$E$5*D217*$D$7+$C$4*$E$5*E217*$E$7+($C$5*$E$4*F217*$F$7+$C$5*$E$4*G217*$G$7+$C$5*$E$5*H217*$H$7+$C$5*$E$5*I217*$I$7)),2)</f>
        <v>0.52</v>
      </c>
      <c r="L217" s="276">
        <f>Scenario[[#This Row],[Total Cost]]/(Scenario[[#This Row],[Total Coverage]]*100)</f>
        <v>75268.248519797198</v>
      </c>
      <c r="M217" s="295" cm="1">
        <f t="array" ref="M217">IF(AND(K217=MAX(K$10:K217), L217=MIN(IF(K$10:K217=K217, L$10:L217))), 1, 0)</f>
        <v>0</v>
      </c>
      <c r="N217" s="295">
        <f>IF(AND(Scenario[[#This Row],[Total Coverage]]&gt;=70%,Scenario[[#This Row],[Frontier]]=1),1,0)</f>
        <v>0</v>
      </c>
    </row>
    <row r="218" spans="1:14" x14ac:dyDescent="0.25">
      <c r="A218">
        <v>109</v>
      </c>
      <c r="B218">
        <v>1</v>
      </c>
      <c r="C218">
        <v>0</v>
      </c>
      <c r="D218">
        <v>0</v>
      </c>
      <c r="E218">
        <v>1</v>
      </c>
      <c r="F218">
        <v>0.75</v>
      </c>
      <c r="G218">
        <v>0.25</v>
      </c>
      <c r="H218">
        <v>0.25</v>
      </c>
      <c r="I218">
        <v>0.75</v>
      </c>
      <c r="J218" s="272">
        <f>$C$3*($C$4*$E$4*B217*$B$7)*$G$4+$C$3*($C$4*$E$5*D218*$D$7)*$G$4+$C$3*($C$4*$E$4*C218*$C$7)*$G$5+$C$3*($C$4*$E$5*E218*$E$7)*$G$5+$C$3*($C$5*$E$4*F218*$F$7)*$H$4+$C$3*($C$5*$E$5*H218*$H$7)*$H$4+$C$3*($C$5*$E$5*I218*$I$7)*$H$5+$C$3*($C$5*$E$4*G218*$G$7)*$H$5</f>
        <v>3608326.7574082832</v>
      </c>
      <c r="K218" s="277">
        <f>ROUND(($C$4*$E$4*B218*$B$7+$C$4*$E$4*C218*$C$7+$C$4*$E$5*D218*$D$7+$C$4*$E$5*E218*$E$7+($C$5*$E$4*F218*$F$7+$C$5*$E$4*G218*$G$7+$C$5*$E$5*H218*$H$7+$C$5*$E$5*I218*$I$7)),2)</f>
        <v>0.52</v>
      </c>
      <c r="L218" s="276">
        <f>Scenario[[#This Row],[Total Cost]]/(Scenario[[#This Row],[Total Coverage]]*100)</f>
        <v>69390.899180928522</v>
      </c>
      <c r="M218" s="295" cm="1">
        <f t="array" ref="M218">IF(AND(K218=MAX(K$10:K218), L218=MIN(IF(K$10:K218=K218, L$10:L218))), 1, 0)</f>
        <v>0</v>
      </c>
      <c r="N218" s="295">
        <f>IF(AND(Scenario[[#This Row],[Total Coverage]]&gt;=70%,Scenario[[#This Row],[Frontier]]=1),1,0)</f>
        <v>0</v>
      </c>
    </row>
    <row r="219" spans="1:14" x14ac:dyDescent="0.25">
      <c r="A219">
        <v>38</v>
      </c>
      <c r="B219">
        <v>1</v>
      </c>
      <c r="C219">
        <v>0</v>
      </c>
      <c r="D219">
        <v>0.75</v>
      </c>
      <c r="E219">
        <v>0.25</v>
      </c>
      <c r="F219">
        <v>0.5</v>
      </c>
      <c r="G219">
        <v>0.5</v>
      </c>
      <c r="H219">
        <v>0.5</v>
      </c>
      <c r="I219">
        <v>0.5</v>
      </c>
      <c r="J219" s="272">
        <f>$C$3*($C$4*$E$4*B218*$B$7)*$G$4+$C$3*($C$4*$E$5*D219*$D$7)*$G$4+$C$3*($C$4*$E$4*C219*$C$7)*$G$5+$C$3*($C$4*$E$5*E219*$E$7)*$G$5+$C$3*($C$5*$E$4*F219*$F$7)*$H$4+$C$3*($C$5*$E$5*H219*$H$7)*$H$4+$C$3*($C$5*$E$5*I219*$I$7)*$H$5+$C$3*($C$5*$E$4*G219*$G$7)*$H$5</f>
        <v>3616603.7796740504</v>
      </c>
      <c r="K219" s="277">
        <f>ROUND(($C$4*$E$4*B219*$B$7+$C$4*$E$4*C219*$C$7+$C$4*$E$5*D219*$D$7+$C$4*$E$5*E219*$E$7+($C$5*$E$4*F219*$F$7+$C$5*$E$4*G219*$G$7+$C$5*$E$5*H219*$H$7+$C$5*$E$5*I219*$I$7)),2)</f>
        <v>0.52</v>
      </c>
      <c r="L219" s="276">
        <f>Scenario[[#This Row],[Total Cost]]/(Scenario[[#This Row],[Total Coverage]]*100)</f>
        <v>69550.072686039435</v>
      </c>
      <c r="M219" s="295" cm="1">
        <f t="array" ref="M219">IF(AND(K219=MAX(K$10:K219), L219=MIN(IF(K$10:K219=K219, L$10:L219))), 1, 0)</f>
        <v>0</v>
      </c>
      <c r="N219" s="295">
        <f>IF(AND(Scenario[[#This Row],[Total Coverage]]&gt;=70%,Scenario[[#This Row],[Frontier]]=1),1,0)</f>
        <v>0</v>
      </c>
    </row>
    <row r="220" spans="1:14" x14ac:dyDescent="0.25">
      <c r="A220">
        <v>184</v>
      </c>
      <c r="B220">
        <v>0.75</v>
      </c>
      <c r="C220">
        <v>0.25</v>
      </c>
      <c r="D220">
        <v>0.5</v>
      </c>
      <c r="E220">
        <v>0.5</v>
      </c>
      <c r="F220">
        <v>0.75</v>
      </c>
      <c r="G220">
        <v>0.25</v>
      </c>
      <c r="H220">
        <v>0.25</v>
      </c>
      <c r="I220">
        <v>0.75</v>
      </c>
      <c r="J220" s="272">
        <f>$C$3*($C$4*$E$4*B219*$B$7)*$G$4+$C$3*($C$4*$E$5*D220*$D$7)*$G$4+$C$3*($C$4*$E$4*C220*$C$7)*$G$5+$C$3*($C$4*$E$5*E220*$E$7)*$G$5+$C$3*($C$5*$E$4*F220*$F$7)*$H$4+$C$3*($C$5*$E$5*H220*$H$7)*$H$4+$C$3*($C$5*$E$5*I220*$I$7)*$H$5+$C$3*($C$5*$E$4*G220*$G$7)*$H$5</f>
        <v>3839205.450824372</v>
      </c>
      <c r="K220" s="277">
        <f>ROUND(($C$4*$E$4*B220*$B$7+$C$4*$E$4*C220*$C$7+$C$4*$E$5*D220*$D$7+$C$4*$E$5*E220*$E$7+($C$5*$E$4*F220*$F$7+$C$5*$E$4*G220*$G$7+$C$5*$E$5*H220*$H$7+$C$5*$E$5*I220*$I$7)),2)</f>
        <v>0.52</v>
      </c>
      <c r="L220" s="276">
        <f>Scenario[[#This Row],[Total Cost]]/(Scenario[[#This Row],[Total Coverage]]*100)</f>
        <v>73830.874054314845</v>
      </c>
      <c r="M220" s="295" cm="1">
        <f t="array" ref="M220">IF(AND(K220=MAX(K$10:K220), L220=MIN(IF(K$10:K220=K220, L$10:L220))), 1, 0)</f>
        <v>0</v>
      </c>
      <c r="N220" s="295">
        <f>IF(AND(Scenario[[#This Row],[Total Coverage]]&gt;=70%,Scenario[[#This Row],[Frontier]]=1),1,0)</f>
        <v>0</v>
      </c>
    </row>
    <row r="221" spans="1:14" x14ac:dyDescent="0.25">
      <c r="A221">
        <v>333</v>
      </c>
      <c r="B221">
        <v>0.5</v>
      </c>
      <c r="C221">
        <v>0.5</v>
      </c>
      <c r="D221">
        <v>0.25</v>
      </c>
      <c r="E221">
        <v>0.75</v>
      </c>
      <c r="F221">
        <v>0.75</v>
      </c>
      <c r="G221">
        <v>0.25</v>
      </c>
      <c r="H221">
        <v>0.5</v>
      </c>
      <c r="I221">
        <v>0.5</v>
      </c>
      <c r="J221" s="272">
        <f>$C$3*($C$4*$E$4*B220*$B$7)*$G$4+$C$3*($C$4*$E$5*D221*$D$7)*$G$4+$C$3*($C$4*$E$4*C221*$C$7)*$G$5+$C$3*($C$4*$E$5*E221*$E$7)*$G$5+$C$3*($C$5*$E$4*F221*$F$7)*$H$4+$C$3*($C$5*$E$5*H221*$H$7)*$H$4+$C$3*($C$5*$E$5*I221*$I$7)*$H$5+$C$3*($C$5*$E$4*G221*$G$7)*$H$5</f>
        <v>4030140.965281527</v>
      </c>
      <c r="K221" s="277">
        <f>ROUND(($C$4*$E$4*B221*$B$7+$C$4*$E$4*C221*$C$7+$C$4*$E$5*D221*$D$7+$C$4*$E$5*E221*$E$7+($C$5*$E$4*F221*$F$7+$C$5*$E$4*G221*$G$7+$C$5*$E$5*H221*$H$7+$C$5*$E$5*I221*$I$7)),2)</f>
        <v>0.52</v>
      </c>
      <c r="L221" s="276">
        <f>Scenario[[#This Row],[Total Cost]]/(Scenario[[#This Row],[Total Coverage]]*100)</f>
        <v>77502.71087079859</v>
      </c>
      <c r="M221" s="295" cm="1">
        <f t="array" ref="M221">IF(AND(K221=MAX(K$10:K221), L221=MIN(IF(K$10:K221=K221, L$10:L221))), 1, 0)</f>
        <v>0</v>
      </c>
      <c r="N221" s="295">
        <f>IF(AND(Scenario[[#This Row],[Total Coverage]]&gt;=70%,Scenario[[#This Row],[Frontier]]=1),1,0)</f>
        <v>0</v>
      </c>
    </row>
    <row r="222" spans="1:14" x14ac:dyDescent="0.25">
      <c r="A222">
        <v>336</v>
      </c>
      <c r="B222">
        <v>0.5</v>
      </c>
      <c r="C222">
        <v>0.5</v>
      </c>
      <c r="D222">
        <v>0.25</v>
      </c>
      <c r="E222">
        <v>0.75</v>
      </c>
      <c r="F222">
        <v>0.5</v>
      </c>
      <c r="G222">
        <v>0.5</v>
      </c>
      <c r="H222">
        <v>1</v>
      </c>
      <c r="I222">
        <v>0</v>
      </c>
      <c r="J222" s="272">
        <f>$C$3*($C$4*$E$4*B221*$B$7)*$G$4+$C$3*($C$4*$E$5*D222*$D$7)*$G$4+$C$3*($C$4*$E$4*C222*$C$7)*$G$5+$C$3*($C$4*$E$5*E222*$E$7)*$G$5+$C$3*($C$5*$E$4*F222*$F$7)*$H$4+$C$3*($C$5*$E$5*H222*$H$7)*$H$4+$C$3*($C$5*$E$5*I222*$I$7)*$H$5+$C$3*($C$5*$E$4*G222*$G$7)*$H$5</f>
        <v>3998474.8085883604</v>
      </c>
      <c r="K222" s="277">
        <f>ROUND(($C$4*$E$4*B222*$B$7+$C$4*$E$4*C222*$C$7+$C$4*$E$5*D222*$D$7+$C$4*$E$5*E222*$E$7+($C$5*$E$4*F222*$F$7+$C$5*$E$4*G222*$G$7+$C$5*$E$5*H222*$H$7+$C$5*$E$5*I222*$I$7)),2)</f>
        <v>0.52</v>
      </c>
      <c r="L222" s="276">
        <f>Scenario[[#This Row],[Total Cost]]/(Scenario[[#This Row],[Total Coverage]]*100)</f>
        <v>76893.746319006925</v>
      </c>
      <c r="M222" s="295" cm="1">
        <f t="array" ref="M222">IF(AND(K222=MAX(K$10:K222), L222=MIN(IF(K$10:K222=K222, L$10:L222))), 1, 0)</f>
        <v>0</v>
      </c>
      <c r="N222" s="295">
        <f>IF(AND(Scenario[[#This Row],[Total Coverage]]&gt;=70%,Scenario[[#This Row],[Frontier]]=1),1,0)</f>
        <v>0</v>
      </c>
    </row>
    <row r="223" spans="1:14" x14ac:dyDescent="0.25">
      <c r="A223">
        <v>262</v>
      </c>
      <c r="B223">
        <v>0.5</v>
      </c>
      <c r="C223">
        <v>0.5</v>
      </c>
      <c r="D223">
        <v>1</v>
      </c>
      <c r="E223">
        <v>0</v>
      </c>
      <c r="F223">
        <v>0.5</v>
      </c>
      <c r="G223">
        <v>0.5</v>
      </c>
      <c r="H223">
        <v>0.75</v>
      </c>
      <c r="I223">
        <v>0.25</v>
      </c>
      <c r="J223" s="272">
        <f>$C$3*($C$4*$E$4*B222*$B$7)*$G$4+$C$3*($C$4*$E$5*D223*$D$7)*$G$4+$C$3*($C$4*$E$4*C223*$C$7)*$G$5+$C$3*($C$4*$E$5*E223*$E$7)*$G$5+$C$3*($C$5*$E$4*F223*$F$7)*$H$4+$C$3*($C$5*$E$5*H223*$H$7)*$H$4+$C$3*($C$5*$E$5*I223*$I$7)*$H$5+$C$3*($C$5*$E$4*G223*$G$7)*$H$5</f>
        <v>3825598.7297507953</v>
      </c>
      <c r="K223" s="277">
        <f>ROUND(($C$4*$E$4*B223*$B$7+$C$4*$E$4*C223*$C$7+$C$4*$E$5*D223*$D$7+$C$4*$E$5*E223*$E$7+($C$5*$E$4*F223*$F$7+$C$5*$E$4*G223*$G$7+$C$5*$E$5*H223*$H$7+$C$5*$E$5*I223*$I$7)),2)</f>
        <v>0.52</v>
      </c>
      <c r="L223" s="276">
        <f>Scenario[[#This Row],[Total Cost]]/(Scenario[[#This Row],[Total Coverage]]*100)</f>
        <v>73569.206341361452</v>
      </c>
      <c r="M223" s="295" cm="1">
        <f t="array" ref="M223">IF(AND(K223=MAX(K$10:K223), L223=MIN(IF(K$10:K223=K223, L$10:L223))), 1, 0)</f>
        <v>0</v>
      </c>
      <c r="N223" s="295">
        <f>IF(AND(Scenario[[#This Row],[Total Coverage]]&gt;=70%,Scenario[[#This Row],[Frontier]]=1),1,0)</f>
        <v>0</v>
      </c>
    </row>
    <row r="224" spans="1:14" x14ac:dyDescent="0.25">
      <c r="A224">
        <v>411</v>
      </c>
      <c r="B224">
        <v>0.25</v>
      </c>
      <c r="C224">
        <v>0.75</v>
      </c>
      <c r="D224">
        <v>0.75</v>
      </c>
      <c r="E224">
        <v>0.25</v>
      </c>
      <c r="F224">
        <v>0.5</v>
      </c>
      <c r="G224">
        <v>0.5</v>
      </c>
      <c r="H224">
        <v>1</v>
      </c>
      <c r="I224">
        <v>0</v>
      </c>
      <c r="J224" s="272">
        <f>$C$3*($C$4*$E$4*B223*$B$7)*$G$4+$C$3*($C$4*$E$5*D224*$D$7)*$G$4+$C$3*($C$4*$E$4*C224*$C$7)*$G$5+$C$3*($C$4*$E$5*E224*$E$7)*$G$5+$C$3*($C$5*$E$4*F224*$F$7)*$H$4+$C$3*($C$5*$E$5*H224*$H$7)*$H$4+$C$3*($C$5*$E$5*I224*$I$7)*$H$5+$C$3*($C$5*$E$4*G224*$G$7)*$H$5</f>
        <v>4122943.8731062002</v>
      </c>
      <c r="K224" s="277">
        <f>ROUND(($C$4*$E$4*B224*$B$7+$C$4*$E$4*C224*$C$7+$C$4*$E$5*D224*$D$7+$C$4*$E$5*E224*$E$7+($C$5*$E$4*F224*$F$7+$C$5*$E$4*G224*$G$7+$C$5*$E$5*H224*$H$7+$C$5*$E$5*I224*$I$7)),2)</f>
        <v>0.52</v>
      </c>
      <c r="L224" s="276">
        <f>Scenario[[#This Row],[Total Cost]]/(Scenario[[#This Row],[Total Coverage]]*100)</f>
        <v>79287.38217511923</v>
      </c>
      <c r="M224" s="295" cm="1">
        <f t="array" ref="M224">IF(AND(K224=MAX(K$10:K224), L224=MIN(IF(K$10:K224=K224, L$10:L224))), 1, 0)</f>
        <v>0</v>
      </c>
      <c r="N224" s="295">
        <f>IF(AND(Scenario[[#This Row],[Total Coverage]]&gt;=70%,Scenario[[#This Row],[Frontier]]=1),1,0)</f>
        <v>0</v>
      </c>
    </row>
    <row r="225" spans="1:14" x14ac:dyDescent="0.25">
      <c r="A225">
        <v>508</v>
      </c>
      <c r="B225">
        <v>0</v>
      </c>
      <c r="C225">
        <v>1</v>
      </c>
      <c r="D225">
        <v>1</v>
      </c>
      <c r="E225">
        <v>0</v>
      </c>
      <c r="F225">
        <v>0.75</v>
      </c>
      <c r="G225">
        <v>0.25</v>
      </c>
      <c r="H225">
        <v>0.5</v>
      </c>
      <c r="I225">
        <v>0.5</v>
      </c>
      <c r="J225" s="272">
        <f>$C$3*($C$4*$E$4*B224*$B$7)*$G$4+$C$3*($C$4*$E$5*D225*$D$7)*$G$4+$C$3*($C$4*$E$4*C225*$C$7)*$G$5+$C$3*($C$4*$E$5*E225*$E$7)*$G$5+$C$3*($C$5*$E$4*F225*$F$7)*$H$4+$C$3*($C$5*$E$5*H225*$H$7)*$H$4+$C$3*($C$5*$E$5*I225*$I$7)*$H$5+$C$3*($C$5*$E$4*G225*$G$7)*$H$5</f>
        <v>4250536.1562116155</v>
      </c>
      <c r="K225" s="277">
        <f>ROUND(($C$4*$E$4*B225*$B$7+$C$4*$E$4*C225*$C$7+$C$4*$E$5*D225*$D$7+$C$4*$E$5*E225*$E$7+($C$5*$E$4*F225*$F$7+$C$5*$E$4*G225*$G$7+$C$5*$E$5*H225*$H$7+$C$5*$E$5*I225*$I$7)),2)</f>
        <v>0.52</v>
      </c>
      <c r="L225" s="276">
        <f>Scenario[[#This Row],[Total Cost]]/(Scenario[[#This Row],[Total Coverage]]*100)</f>
        <v>81741.079927146449</v>
      </c>
      <c r="M225" s="295" cm="1">
        <f t="array" ref="M225">IF(AND(K225=MAX(K$10:K225), L225=MIN(IF(K$10:K225=K225, L$10:L225))), 1, 0)</f>
        <v>0</v>
      </c>
      <c r="N225" s="295">
        <f>IF(AND(Scenario[[#This Row],[Total Coverage]]&gt;=70%,Scenario[[#This Row],[Frontier]]=1),1,0)</f>
        <v>0</v>
      </c>
    </row>
    <row r="226" spans="1:14" x14ac:dyDescent="0.25">
      <c r="A226">
        <v>430</v>
      </c>
      <c r="B226">
        <v>0.25</v>
      </c>
      <c r="C226">
        <v>0.75</v>
      </c>
      <c r="D226">
        <v>0.5</v>
      </c>
      <c r="E226">
        <v>0.5</v>
      </c>
      <c r="F226">
        <v>1</v>
      </c>
      <c r="G226">
        <v>0</v>
      </c>
      <c r="H226">
        <v>0</v>
      </c>
      <c r="I226">
        <v>1</v>
      </c>
      <c r="J226" s="272">
        <f>$C$3*($C$4*$E$4*B225*$B$7)*$G$4+$C$3*($C$4*$E$5*D226*$D$7)*$G$4+$C$3*($C$4*$E$4*C226*$C$7)*$G$5+$C$3*($C$4*$E$5*E226*$E$7)*$G$5+$C$3*($C$5*$E$4*F226*$F$7)*$H$4+$C$3*($C$5*$E$5*H226*$H$7)*$H$4+$C$3*($C$5*$E$5*I226*$I$7)*$H$5+$C$3*($C$5*$E$4*G226*$G$7)*$H$5</f>
        <v>3944913.9905904438</v>
      </c>
      <c r="K226" s="277">
        <f>ROUND(($C$4*$E$4*B226*$B$7+$C$4*$E$4*C226*$C$7+$C$4*$E$5*D226*$D$7+$C$4*$E$5*E226*$E$7+($C$5*$E$4*F226*$F$7+$C$5*$E$4*G226*$G$7+$C$5*$E$5*H226*$H$7+$C$5*$E$5*I226*$I$7)),2)</f>
        <v>0.52</v>
      </c>
      <c r="L226" s="276">
        <f>Scenario[[#This Row],[Total Cost]]/(Scenario[[#This Row],[Total Coverage]]*100)</f>
        <v>75863.730588277773</v>
      </c>
      <c r="M226" s="295" cm="1">
        <f t="array" ref="M226">IF(AND(K226=MAX(K$10:K226), L226=MIN(IF(K$10:K226=K226, L$10:L226))), 1, 0)</f>
        <v>0</v>
      </c>
      <c r="N226" s="295">
        <f>IF(AND(Scenario[[#This Row],[Total Coverage]]&gt;=70%,Scenario[[#This Row],[Frontier]]=1),1,0)</f>
        <v>0</v>
      </c>
    </row>
    <row r="227" spans="1:14" x14ac:dyDescent="0.25">
      <c r="A227">
        <v>505</v>
      </c>
      <c r="B227">
        <v>0</v>
      </c>
      <c r="C227">
        <v>1</v>
      </c>
      <c r="D227">
        <v>1</v>
      </c>
      <c r="E227">
        <v>0</v>
      </c>
      <c r="F227">
        <v>1</v>
      </c>
      <c r="G227">
        <v>0</v>
      </c>
      <c r="H227">
        <v>0</v>
      </c>
      <c r="I227">
        <v>1</v>
      </c>
      <c r="J227" s="272">
        <f>$C$3*($C$4*$E$4*B226*$B$7)*$G$4+$C$3*($C$4*$E$5*D227*$D$7)*$G$4+$C$3*($C$4*$E$4*C227*$C$7)*$G$5+$C$3*($C$4*$E$5*E227*$E$7)*$G$5+$C$3*($C$5*$E$4*F227*$F$7)*$H$4+$C$3*($C$5*$E$5*H227*$H$7)*$H$4+$C$3*($C$5*$E$5*I227*$I$7)*$H$5+$C$3*($C$5*$E$4*G227*$G$7)*$H$5</f>
        <v>4175792.6840065327</v>
      </c>
      <c r="K227" s="277">
        <f>ROUND(($C$4*$E$4*B227*$B$7+$C$4*$E$4*C227*$C$7+$C$4*$E$5*D227*$D$7+$C$4*$E$5*E227*$E$7+($C$5*$E$4*F227*$F$7+$C$5*$E$4*G227*$G$7+$C$5*$E$5*H227*$H$7+$C$5*$E$5*I227*$I$7)),2)</f>
        <v>0.52</v>
      </c>
      <c r="L227" s="276">
        <f>Scenario[[#This Row],[Total Cost]]/(Scenario[[#This Row],[Total Coverage]]*100)</f>
        <v>80303.705461664096</v>
      </c>
      <c r="M227" s="295" cm="1">
        <f t="array" ref="M227">IF(AND(K227=MAX(K$10:K227), L227=MIN(IF(K$10:K227=K227, L$10:L227))), 1, 0)</f>
        <v>0</v>
      </c>
      <c r="N227" s="295">
        <f>IF(AND(Scenario[[#This Row],[Total Coverage]]&gt;=70%,Scenario[[#This Row],[Frontier]]=1),1,0)</f>
        <v>0</v>
      </c>
    </row>
    <row r="228" spans="1:14" x14ac:dyDescent="0.25">
      <c r="A228">
        <v>482</v>
      </c>
      <c r="B228">
        <v>0.25</v>
      </c>
      <c r="C228">
        <v>0.75</v>
      </c>
      <c r="D228">
        <v>0</v>
      </c>
      <c r="E228">
        <v>1</v>
      </c>
      <c r="F228">
        <v>0.75</v>
      </c>
      <c r="G228">
        <v>0.25</v>
      </c>
      <c r="H228">
        <v>0.75</v>
      </c>
      <c r="I228">
        <v>0.25</v>
      </c>
      <c r="J228" s="272">
        <f>$C$3*($C$4*$E$4*B227*$B$7)*$G$4+$C$3*($C$4*$E$5*D228*$D$7)*$G$4+$C$3*($C$4*$E$4*C228*$C$7)*$G$5+$C$3*($C$4*$E$5*E228*$E$7)*$G$5+$C$3*($C$5*$E$4*F228*$F$7)*$H$4+$C$3*($C$5*$E$5*H228*$H$7)*$H$4+$C$3*($C$5*$E$5*I228*$I$7)*$H$5+$C$3*($C$5*$E$4*G228*$G$7)*$H$5</f>
        <v>4008257.2219421836</v>
      </c>
      <c r="K228" s="277">
        <f>ROUND(($C$4*$E$4*B228*$B$7+$C$4*$E$4*C228*$C$7+$C$4*$E$5*D228*$D$7+$C$4*$E$5*E228*$E$7+($C$5*$E$4*F228*$F$7+$C$5*$E$4*G228*$G$7+$C$5*$E$5*H228*$H$7+$C$5*$E$5*I228*$I$7)),2)</f>
        <v>0.52</v>
      </c>
      <c r="L228" s="276">
        <f>Scenario[[#This Row],[Total Cost]]/(Scenario[[#This Row],[Total Coverage]]*100)</f>
        <v>77081.869652734298</v>
      </c>
      <c r="M228" s="295" cm="1">
        <f t="array" ref="M228">IF(AND(K228=MAX(K$10:K228), L228=MIN(IF(K$10:K228=K228, L$10:L228))), 1, 0)</f>
        <v>0</v>
      </c>
      <c r="N228" s="295">
        <f>IF(AND(Scenario[[#This Row],[Total Coverage]]&gt;=70%,Scenario[[#This Row],[Frontier]]=1),1,0)</f>
        <v>0</v>
      </c>
    </row>
    <row r="229" spans="1:14" x14ac:dyDescent="0.25">
      <c r="A229">
        <v>579</v>
      </c>
      <c r="B229">
        <v>0</v>
      </c>
      <c r="C229">
        <v>1</v>
      </c>
      <c r="D229">
        <v>0.25</v>
      </c>
      <c r="E229">
        <v>0.75</v>
      </c>
      <c r="F229">
        <v>1</v>
      </c>
      <c r="G229">
        <v>0</v>
      </c>
      <c r="H229">
        <v>0.25</v>
      </c>
      <c r="I229">
        <v>0.75</v>
      </c>
      <c r="J229" s="272">
        <f>$C$3*($C$4*$E$4*B228*$B$7)*$G$4+$C$3*($C$4*$E$5*D229*$D$7)*$G$4+$C$3*($C$4*$E$4*C229*$C$7)*$G$5+$C$3*($C$4*$E$5*E229*$E$7)*$G$5+$C$3*($C$5*$E$4*F229*$F$7)*$H$4+$C$3*($C$5*$E$5*H229*$H$7)*$H$4+$C$3*($C$5*$E$5*I229*$I$7)*$H$5+$C$3*($C$5*$E$4*G229*$G$7)*$H$5</f>
        <v>4348668.7628440978</v>
      </c>
      <c r="K229" s="277">
        <f>ROUND(($C$4*$E$4*B229*$B$7+$C$4*$E$4*C229*$C$7+$C$4*$E$5*D229*$D$7+$C$4*$E$5*E229*$E$7+($C$5*$E$4*F229*$F$7+$C$5*$E$4*G229*$G$7+$C$5*$E$5*H229*$H$7+$C$5*$E$5*I229*$I$7)),2)</f>
        <v>0.52</v>
      </c>
      <c r="L229" s="276">
        <f>Scenario[[#This Row],[Total Cost]]/(Scenario[[#This Row],[Total Coverage]]*100)</f>
        <v>83628.245439309569</v>
      </c>
      <c r="M229" s="295" cm="1">
        <f t="array" ref="M229">IF(AND(K229=MAX(K$10:K229), L229=MIN(IF(K$10:K229=K229, L$10:L229))), 1, 0)</f>
        <v>0</v>
      </c>
      <c r="N229" s="295">
        <f>IF(AND(Scenario[[#This Row],[Total Coverage]]&gt;=70%,Scenario[[#This Row],[Frontier]]=1),1,0)</f>
        <v>0</v>
      </c>
    </row>
    <row r="230" spans="1:14" x14ac:dyDescent="0.25">
      <c r="A230">
        <v>112</v>
      </c>
      <c r="B230">
        <v>1</v>
      </c>
      <c r="C230">
        <v>0</v>
      </c>
      <c r="D230">
        <v>0</v>
      </c>
      <c r="E230">
        <v>1</v>
      </c>
      <c r="F230">
        <v>0.5</v>
      </c>
      <c r="G230">
        <v>0.5</v>
      </c>
      <c r="H230">
        <v>0.75</v>
      </c>
      <c r="I230">
        <v>0.25</v>
      </c>
      <c r="J230" s="272">
        <f>$C$3*($C$4*$E$4*B229*$B$7)*$G$4+$C$3*($C$4*$E$5*D230*$D$7)*$G$4+$C$3*($C$4*$E$4*C230*$C$7)*$G$5+$C$3*($C$4*$E$5*E230*$E$7)*$G$5+$C$3*($C$5*$E$4*F230*$F$7)*$H$4+$C$3*($C$5*$E$5*H230*$H$7)*$H$4+$C$3*($C$5*$E$5*I230*$I$7)*$H$5+$C$3*($C$5*$E$4*G230*$G$7)*$H$5</f>
        <v>3363841.3429186177</v>
      </c>
      <c r="K230" s="277">
        <f>ROUND(($C$4*$E$4*B230*$B$7+$C$4*$E$4*C230*$C$7+$C$4*$E$5*D230*$D$7+$C$4*$E$5*E230*$E$7+($C$5*$E$4*F230*$F$7+$C$5*$E$4*G230*$G$7+$C$5*$E$5*H230*$H$7+$C$5*$E$5*I230*$I$7)),2)</f>
        <v>0.53</v>
      </c>
      <c r="L230" s="276">
        <f>Scenario[[#This Row],[Total Cost]]/(Scenario[[#This Row],[Total Coverage]]*100)</f>
        <v>63468.704583370141</v>
      </c>
      <c r="M230" s="295" cm="1">
        <f t="array" ref="M230">IF(AND(K230=MAX(K$10:K230), L230=MIN(IF(K$10:K230=K230, L$10:L230))), 1, 0)</f>
        <v>1</v>
      </c>
      <c r="N230" s="295">
        <f>IF(AND(Scenario[[#This Row],[Total Coverage]]&gt;=70%,Scenario[[#This Row],[Frontier]]=1),1,0)</f>
        <v>0</v>
      </c>
    </row>
    <row r="231" spans="1:14" x14ac:dyDescent="0.25">
      <c r="A231">
        <v>60</v>
      </c>
      <c r="B231">
        <v>1</v>
      </c>
      <c r="C231">
        <v>0</v>
      </c>
      <c r="D231">
        <v>0.5</v>
      </c>
      <c r="E231">
        <v>0.5</v>
      </c>
      <c r="F231">
        <v>0.75</v>
      </c>
      <c r="G231">
        <v>0.25</v>
      </c>
      <c r="H231">
        <v>0</v>
      </c>
      <c r="I231">
        <v>1</v>
      </c>
      <c r="J231" s="272">
        <f>$C$3*($C$4*$E$4*B230*$B$7)*$G$4+$C$3*($C$4*$E$5*D231*$D$7)*$G$4+$C$3*($C$4*$E$4*C231*$C$7)*$G$5+$C$3*($C$4*$E$5*E231*$E$7)*$G$5+$C$3*($C$5*$E$4*F231*$F$7)*$H$4+$C$3*($C$5*$E$5*H231*$H$7)*$H$4+$C$3*($C$5*$E$5*I231*$I$7)*$H$5+$C$3*($C$5*$E$4*G231*$G$7)*$H$5</f>
        <v>3726136.6271598758</v>
      </c>
      <c r="K231" s="277">
        <f>ROUND(($C$4*$E$4*B231*$B$7+$C$4*$E$4*C231*$C$7+$C$4*$E$5*D231*$D$7+$C$4*$E$5*E231*$E$7+($C$5*$E$4*F231*$F$7+$C$5*$E$4*G231*$G$7+$C$5*$E$5*H231*$H$7+$C$5*$E$5*I231*$I$7)),2)</f>
        <v>0.53</v>
      </c>
      <c r="L231" s="276">
        <f>Scenario[[#This Row],[Total Cost]]/(Scenario[[#This Row],[Total Coverage]]*100)</f>
        <v>70304.464663393883</v>
      </c>
      <c r="M231" s="295" cm="1">
        <f t="array" ref="M231">IF(AND(K231=MAX(K$10:K231), L231=MIN(IF(K$10:K231=K231, L$10:L231))), 1, 0)</f>
        <v>0</v>
      </c>
      <c r="N231" s="295">
        <f>IF(AND(Scenario[[#This Row],[Total Coverage]]&gt;=70%,Scenario[[#This Row],[Frontier]]=1),1,0)</f>
        <v>0</v>
      </c>
    </row>
    <row r="232" spans="1:14" x14ac:dyDescent="0.25">
      <c r="A232">
        <v>41</v>
      </c>
      <c r="B232">
        <v>1</v>
      </c>
      <c r="C232">
        <v>0</v>
      </c>
      <c r="D232">
        <v>0.75</v>
      </c>
      <c r="E232">
        <v>0.25</v>
      </c>
      <c r="F232">
        <v>0.25</v>
      </c>
      <c r="G232">
        <v>0.75</v>
      </c>
      <c r="H232">
        <v>1</v>
      </c>
      <c r="I232">
        <v>0</v>
      </c>
      <c r="J232" s="272">
        <f>$C$3*($C$4*$E$4*B231*$B$7)*$G$4+$C$3*($C$4*$E$5*D232*$D$7)*$G$4+$C$3*($C$4*$E$4*C232*$C$7)*$G$5+$C$3*($C$4*$E$5*E232*$E$7)*$G$5+$C$3*($C$5*$E$4*F232*$F$7)*$H$4+$C$3*($C$5*$E$5*H232*$H$7)*$H$4+$C$3*($C$5*$E$5*I232*$I$7)*$H$5+$C$3*($C$5*$E$4*G232*$G$7)*$H$5</f>
        <v>3691347.2518791333</v>
      </c>
      <c r="K232" s="277">
        <f>ROUND(($C$4*$E$4*B232*$B$7+$C$4*$E$4*C232*$C$7+$C$4*$E$5*D232*$D$7+$C$4*$E$5*E232*$E$7+($C$5*$E$4*F232*$F$7+$C$5*$E$4*G232*$G$7+$C$5*$E$5*H232*$H$7+$C$5*$E$5*I232*$I$7)),2)</f>
        <v>0.53</v>
      </c>
      <c r="L232" s="276">
        <f>Scenario[[#This Row],[Total Cost]]/(Scenario[[#This Row],[Total Coverage]]*100)</f>
        <v>69648.061356210063</v>
      </c>
      <c r="M232" s="295" cm="1">
        <f t="array" ref="M232">IF(AND(K232=MAX(K$10:K232), L232=MIN(IF(K$10:K232=K232, L$10:L232))), 1, 0)</f>
        <v>0</v>
      </c>
      <c r="N232" s="295">
        <f>IF(AND(Scenario[[#This Row],[Total Coverage]]&gt;=70%,Scenario[[#This Row],[Frontier]]=1),1,0)</f>
        <v>0</v>
      </c>
    </row>
    <row r="233" spans="1:14" x14ac:dyDescent="0.25">
      <c r="A233">
        <v>209</v>
      </c>
      <c r="B233">
        <v>0.75</v>
      </c>
      <c r="C233">
        <v>0.25</v>
      </c>
      <c r="D233">
        <v>0.25</v>
      </c>
      <c r="E233">
        <v>0.75</v>
      </c>
      <c r="F233">
        <v>0.75</v>
      </c>
      <c r="G233">
        <v>0.25</v>
      </c>
      <c r="H233">
        <v>0.25</v>
      </c>
      <c r="I233">
        <v>0.75</v>
      </c>
      <c r="J233" s="272">
        <f>$C$3*($C$4*$E$4*B232*$B$7)*$G$4+$C$3*($C$4*$E$5*D233*$D$7)*$G$4+$C$3*($C$4*$E$4*C233*$C$7)*$G$5+$C$3*($C$4*$E$5*E233*$E$7)*$G$5+$C$3*($C$5*$E$4*F233*$F$7)*$H$4+$C$3*($C$5*$E$5*H233*$H$7)*$H$4+$C$3*($C$5*$E$5*I233*$I$7)*$H$5+$C$3*($C$5*$E$4*G233*$G$7)*$H$5</f>
        <v>4023481.7705152803</v>
      </c>
      <c r="K233" s="277">
        <f>ROUND(($C$4*$E$4*B233*$B$7+$C$4*$E$4*C233*$C$7+$C$4*$E$5*D233*$D$7+$C$4*$E$5*E233*$E$7+($C$5*$E$4*F233*$F$7+$C$5*$E$4*G233*$G$7+$C$5*$E$5*H233*$H$7+$C$5*$E$5*I233*$I$7)),2)</f>
        <v>0.53</v>
      </c>
      <c r="L233" s="276">
        <f>Scenario[[#This Row],[Total Cost]]/(Scenario[[#This Row],[Total Coverage]]*100)</f>
        <v>75914.750387080756</v>
      </c>
      <c r="M233" s="295" cm="1">
        <f t="array" ref="M233">IF(AND(K233=MAX(K$10:K233), L233=MIN(IF(K$10:K233=K233, L$10:L233))), 1, 0)</f>
        <v>0</v>
      </c>
      <c r="N233" s="295">
        <f>IF(AND(Scenario[[#This Row],[Total Coverage]]&gt;=70%,Scenario[[#This Row],[Frontier]]=1),1,0)</f>
        <v>0</v>
      </c>
    </row>
    <row r="234" spans="1:14" x14ac:dyDescent="0.25">
      <c r="A234">
        <v>138</v>
      </c>
      <c r="B234">
        <v>0.75</v>
      </c>
      <c r="C234">
        <v>0.25</v>
      </c>
      <c r="D234">
        <v>1</v>
      </c>
      <c r="E234">
        <v>0</v>
      </c>
      <c r="F234">
        <v>0.5</v>
      </c>
      <c r="G234">
        <v>0.5</v>
      </c>
      <c r="H234">
        <v>0.5</v>
      </c>
      <c r="I234">
        <v>0.5</v>
      </c>
      <c r="J234" s="272">
        <f>$C$3*($C$4*$E$4*B233*$B$7)*$G$4+$C$3*($C$4*$E$5*D234*$D$7)*$G$4+$C$3*($C$4*$E$4*C234*$C$7)*$G$5+$C$3*($C$4*$E$5*E234*$E$7)*$G$5+$C$3*($C$5*$E$4*F234*$F$7)*$H$4+$C$3*($C$5*$E$5*H234*$H$7)*$H$4+$C$3*($C$5*$E$5*I234*$I$7)*$H$5+$C$3*($C$5*$E$4*G234*$G$7)*$H$5</f>
        <v>3818939.5349845486</v>
      </c>
      <c r="K234" s="277">
        <f>ROUND(($C$4*$E$4*B234*$B$7+$C$4*$E$4*C234*$C$7+$C$4*$E$5*D234*$D$7+$C$4*$E$5*E234*$E$7+($C$5*$E$4*F234*$F$7+$C$5*$E$4*G234*$G$7+$C$5*$E$5*H234*$H$7+$C$5*$E$5*I234*$I$7)),2)</f>
        <v>0.53</v>
      </c>
      <c r="L234" s="276">
        <f>Scenario[[#This Row],[Total Cost]]/(Scenario[[#This Row],[Total Coverage]]*100)</f>
        <v>72055.462924236766</v>
      </c>
      <c r="M234" s="295" cm="1">
        <f t="array" ref="M234">IF(AND(K234=MAX(K$10:K234), L234=MIN(IF(K$10:K234=K234, L$10:L234))), 1, 0)</f>
        <v>0</v>
      </c>
      <c r="N234" s="295">
        <f>IF(AND(Scenario[[#This Row],[Total Coverage]]&gt;=70%,Scenario[[#This Row],[Frontier]]=1),1,0)</f>
        <v>0</v>
      </c>
    </row>
    <row r="235" spans="1:14" x14ac:dyDescent="0.25">
      <c r="A235">
        <v>135</v>
      </c>
      <c r="B235">
        <v>0.75</v>
      </c>
      <c r="C235">
        <v>0.25</v>
      </c>
      <c r="D235">
        <v>1</v>
      </c>
      <c r="E235">
        <v>0</v>
      </c>
      <c r="F235">
        <v>0.75</v>
      </c>
      <c r="G235">
        <v>0.25</v>
      </c>
      <c r="H235">
        <v>0</v>
      </c>
      <c r="I235">
        <v>1</v>
      </c>
      <c r="J235" s="272">
        <f>$C$3*($C$4*$E$4*B234*$B$7)*$G$4+$C$3*($C$4*$E$5*D235*$D$7)*$G$4+$C$3*($C$4*$E$4*C235*$C$7)*$G$5+$C$3*($C$4*$E$5*E235*$E$7)*$G$5+$C$3*($C$5*$E$4*F235*$F$7)*$H$4+$C$3*($C$5*$E$5*H235*$H$7)*$H$4+$C$3*($C$5*$E$5*I235*$I$7)*$H$5+$C$3*($C$5*$E$4*G235*$G$7)*$H$5</f>
        <v>3744196.0627794657</v>
      </c>
      <c r="K235" s="277">
        <f>ROUND(($C$4*$E$4*B235*$B$7+$C$4*$E$4*C235*$C$7+$C$4*$E$5*D235*$D$7+$C$4*$E$5*E235*$E$7+($C$5*$E$4*F235*$F$7+$C$5*$E$4*G235*$G$7+$C$5*$E$5*H235*$H$7+$C$5*$E$5*I235*$I$7)),2)</f>
        <v>0.53</v>
      </c>
      <c r="L235" s="276">
        <f>Scenario[[#This Row],[Total Cost]]/(Scenario[[#This Row],[Total Coverage]]*100)</f>
        <v>70645.208731688035</v>
      </c>
      <c r="M235" s="295" cm="1">
        <f t="array" ref="M235">IF(AND(K235=MAX(K$10:K235), L235=MIN(IF(K$10:K235=K235, L$10:L235))), 1, 0)</f>
        <v>0</v>
      </c>
      <c r="N235" s="295">
        <f>IF(AND(Scenario[[#This Row],[Total Coverage]]&gt;=70%,Scenario[[#This Row],[Frontier]]=1),1,0)</f>
        <v>0</v>
      </c>
    </row>
    <row r="236" spans="1:14" x14ac:dyDescent="0.25">
      <c r="A236">
        <v>358</v>
      </c>
      <c r="B236">
        <v>0.5</v>
      </c>
      <c r="C236">
        <v>0.5</v>
      </c>
      <c r="D236">
        <v>0</v>
      </c>
      <c r="E236">
        <v>1</v>
      </c>
      <c r="F236">
        <v>0.75</v>
      </c>
      <c r="G236">
        <v>0.25</v>
      </c>
      <c r="H236">
        <v>0.5</v>
      </c>
      <c r="I236">
        <v>0.5</v>
      </c>
      <c r="J236" s="272">
        <f>$C$3*($C$4*$E$4*B235*$B$7)*$G$4+$C$3*($C$4*$E$5*D236*$D$7)*$G$4+$C$3*($C$4*$E$4*C236*$C$7)*$G$5+$C$3*($C$4*$E$5*E236*$E$7)*$G$5+$C$3*($C$5*$E$4*F236*$F$7)*$H$4+$C$3*($C$5*$E$5*H236*$H$7)*$H$4+$C$3*($C$5*$E$5*I236*$I$7)*$H$5+$C$3*($C$5*$E$4*G236*$G$7)*$H$5</f>
        <v>4214417.2849724358</v>
      </c>
      <c r="K236" s="277">
        <f>ROUND(($C$4*$E$4*B236*$B$7+$C$4*$E$4*C236*$C$7+$C$4*$E$5*D236*$D$7+$C$4*$E$5*E236*$E$7+($C$5*$E$4*F236*$F$7+$C$5*$E$4*G236*$G$7+$C$5*$E$5*H236*$H$7+$C$5*$E$5*I236*$I$7)),2)</f>
        <v>0.53</v>
      </c>
      <c r="L236" s="276">
        <f>Scenario[[#This Row],[Total Cost]]/(Scenario[[#This Row],[Total Coverage]]*100)</f>
        <v>79517.307263630864</v>
      </c>
      <c r="M236" s="295" cm="1">
        <f t="array" ref="M236">IF(AND(K236=MAX(K$10:K236), L236=MIN(IF(K$10:K236=K236, L$10:L236))), 1, 0)</f>
        <v>0</v>
      </c>
      <c r="N236" s="295">
        <f>IF(AND(Scenario[[#This Row],[Total Coverage]]&gt;=70%,Scenario[[#This Row],[Frontier]]=1),1,0)</f>
        <v>0</v>
      </c>
    </row>
    <row r="237" spans="1:14" x14ac:dyDescent="0.25">
      <c r="A237">
        <v>355</v>
      </c>
      <c r="B237">
        <v>0.5</v>
      </c>
      <c r="C237">
        <v>0.5</v>
      </c>
      <c r="D237">
        <v>0</v>
      </c>
      <c r="E237">
        <v>1</v>
      </c>
      <c r="F237">
        <v>1</v>
      </c>
      <c r="G237">
        <v>0</v>
      </c>
      <c r="H237">
        <v>0</v>
      </c>
      <c r="I237">
        <v>1</v>
      </c>
      <c r="J237" s="272">
        <f>$C$3*($C$4*$E$4*B236*$B$7)*$G$4+$C$3*($C$4*$E$5*D237*$D$7)*$G$4+$C$3*($C$4*$E$4*C237*$C$7)*$G$5+$C$3*($C$4*$E$5*E237*$E$7)*$G$5+$C$3*($C$5*$E$4*F237*$F$7)*$H$4+$C$3*($C$5*$E$5*H237*$H$7)*$H$4+$C$3*($C$5*$E$5*I237*$I$7)*$H$5+$C$3*($C$5*$E$4*G237*$G$7)*$H$5</f>
        <v>4033264.183869103</v>
      </c>
      <c r="K237" s="277">
        <f>ROUND(($C$4*$E$4*B237*$B$7+$C$4*$E$4*C237*$C$7+$C$4*$E$5*D237*$D$7+$C$4*$E$5*E237*$E$7+($C$5*$E$4*F237*$F$7+$C$5*$E$4*G237*$G$7+$C$5*$E$5*H237*$H$7+$C$5*$E$5*I237*$I$7)),2)</f>
        <v>0.53</v>
      </c>
      <c r="L237" s="276">
        <f>Scenario[[#This Row],[Total Cost]]/(Scenario[[#This Row],[Total Coverage]]*100)</f>
        <v>76099.324223945339</v>
      </c>
      <c r="M237" s="295" cm="1">
        <f t="array" ref="M237">IF(AND(K237=MAX(K$10:K237), L237=MIN(IF(K$10:K237=K237, L$10:L237))), 1, 0)</f>
        <v>0</v>
      </c>
      <c r="N237" s="295">
        <f>IF(AND(Scenario[[#This Row],[Total Coverage]]&gt;=70%,Scenario[[#This Row],[Frontier]]=1),1,0)</f>
        <v>0</v>
      </c>
    </row>
    <row r="238" spans="1:14" x14ac:dyDescent="0.25">
      <c r="A238">
        <v>284</v>
      </c>
      <c r="B238">
        <v>0.5</v>
      </c>
      <c r="C238">
        <v>0.5</v>
      </c>
      <c r="D238">
        <v>0.75</v>
      </c>
      <c r="E238">
        <v>0.25</v>
      </c>
      <c r="F238">
        <v>0.75</v>
      </c>
      <c r="G238">
        <v>0.25</v>
      </c>
      <c r="H238">
        <v>0.25</v>
      </c>
      <c r="I238">
        <v>0.75</v>
      </c>
      <c r="J238" s="272">
        <f>$C$3*($C$4*$E$4*B237*$B$7)*$G$4+$C$3*($C$4*$E$5*D238*$D$7)*$G$4+$C$3*($C$4*$E$4*C238*$C$7)*$G$5+$C$3*($C$4*$E$5*E238*$E$7)*$G$5+$C$3*($C$5*$E$4*F238*$F$7)*$H$4+$C$3*($C$5*$E$5*H238*$H$7)*$H$4+$C$3*($C$5*$E$5*I238*$I$7)*$H$5+$C$3*($C$5*$E$4*G238*$G$7)*$H$5</f>
        <v>3935131.5772366207</v>
      </c>
      <c r="K238" s="277">
        <f>ROUND(($C$4*$E$4*B238*$B$7+$C$4*$E$4*C238*$C$7+$C$4*$E$5*D238*$D$7+$C$4*$E$5*E238*$E$7+($C$5*$E$4*F238*$F$7+$C$5*$E$4*G238*$G$7+$C$5*$E$5*H238*$H$7+$C$5*$E$5*I238*$I$7)),2)</f>
        <v>0.53</v>
      </c>
      <c r="L238" s="276">
        <f>Scenario[[#This Row],[Total Cost]]/(Scenario[[#This Row],[Total Coverage]]*100)</f>
        <v>74247.765608238129</v>
      </c>
      <c r="M238" s="295" cm="1">
        <f t="array" ref="M238">IF(AND(K238=MAX(K$10:K238), L238=MIN(IF(K$10:K238=K238, L$10:L238))), 1, 0)</f>
        <v>0</v>
      </c>
      <c r="N238" s="295">
        <f>IF(AND(Scenario[[#This Row],[Total Coverage]]&gt;=70%,Scenario[[#This Row],[Frontier]]=1),1,0)</f>
        <v>0</v>
      </c>
    </row>
    <row r="239" spans="1:14" x14ac:dyDescent="0.25">
      <c r="A239">
        <v>287</v>
      </c>
      <c r="B239">
        <v>0.5</v>
      </c>
      <c r="C239">
        <v>0.5</v>
      </c>
      <c r="D239">
        <v>0.75</v>
      </c>
      <c r="E239">
        <v>0.25</v>
      </c>
      <c r="F239">
        <v>0.5</v>
      </c>
      <c r="G239">
        <v>0.5</v>
      </c>
      <c r="H239">
        <v>0.75</v>
      </c>
      <c r="I239">
        <v>0.25</v>
      </c>
      <c r="J239" s="272">
        <f>$C$3*($C$4*$E$4*B238*$B$7)*$G$4+$C$3*($C$4*$E$5*D239*$D$7)*$G$4+$C$3*($C$4*$E$4*C239*$C$7)*$G$5+$C$3*($C$4*$E$5*E239*$E$7)*$G$5+$C$3*($C$5*$E$4*F239*$F$7)*$H$4+$C$3*($C$5*$E$5*H239*$H$7)*$H$4+$C$3*($C$5*$E$5*I239*$I$7)*$H$5+$C$3*($C$5*$E$4*G239*$G$7)*$H$5</f>
        <v>4009875.0494417036</v>
      </c>
      <c r="K239" s="277">
        <f>ROUND(($C$4*$E$4*B239*$B$7+$C$4*$E$4*C239*$C$7+$C$4*$E$5*D239*$D$7+$C$4*$E$5*E239*$E$7+($C$5*$E$4*F239*$F$7+$C$5*$E$4*G239*$G$7+$C$5*$E$5*H239*$H$7+$C$5*$E$5*I239*$I$7)),2)</f>
        <v>0.53</v>
      </c>
      <c r="L239" s="276">
        <f>Scenario[[#This Row],[Total Cost]]/(Scenario[[#This Row],[Total Coverage]]*100)</f>
        <v>75658.01980078686</v>
      </c>
      <c r="M239" s="295" cm="1">
        <f t="array" ref="M239">IF(AND(K239=MAX(K$10:K239), L239=MIN(IF(K$10:K239=K239, L$10:L239))), 1, 0)</f>
        <v>0</v>
      </c>
      <c r="N239" s="295">
        <f>IF(AND(Scenario[[#This Row],[Total Coverage]]&gt;=70%,Scenario[[#This Row],[Frontier]]=1),1,0)</f>
        <v>0</v>
      </c>
    </row>
    <row r="240" spans="1:14" x14ac:dyDescent="0.25">
      <c r="A240">
        <v>433</v>
      </c>
      <c r="B240">
        <v>0.25</v>
      </c>
      <c r="C240">
        <v>0.75</v>
      </c>
      <c r="D240">
        <v>0.5</v>
      </c>
      <c r="E240">
        <v>0.5</v>
      </c>
      <c r="F240">
        <v>0.75</v>
      </c>
      <c r="G240">
        <v>0.25</v>
      </c>
      <c r="H240">
        <v>0.5</v>
      </c>
      <c r="I240">
        <v>0.5</v>
      </c>
      <c r="J240" s="272">
        <f>$C$3*($C$4*$E$4*B239*$B$7)*$G$4+$C$3*($C$4*$E$5*D240*$D$7)*$G$4+$C$3*($C$4*$E$4*C240*$C$7)*$G$5+$C$3*($C$4*$E$5*E240*$E$7)*$G$5+$C$3*($C$5*$E$4*F240*$F$7)*$H$4+$C$3*($C$5*$E$5*H240*$H$7)*$H$4+$C$3*($C$5*$E$5*I240*$I$7)*$H$5+$C$3*($C$5*$E$4*G240*$G$7)*$H$5</f>
        <v>4232476.7205920257</v>
      </c>
      <c r="K240" s="277">
        <f>ROUND(($C$4*$E$4*B240*$B$7+$C$4*$E$4*C240*$C$7+$C$4*$E$5*D240*$D$7+$C$4*$E$5*E240*$E$7+($C$5*$E$4*F240*$F$7+$C$5*$E$4*G240*$G$7+$C$5*$E$5*H240*$H$7+$C$5*$E$5*I240*$I$7)),2)</f>
        <v>0.53</v>
      </c>
      <c r="L240" s="276">
        <f>Scenario[[#This Row],[Total Cost]]/(Scenario[[#This Row],[Total Coverage]]*100)</f>
        <v>79858.051331925017</v>
      </c>
      <c r="M240" s="295" cm="1">
        <f t="array" ref="M240">IF(AND(K240=MAX(K$10:K240), L240=MIN(IF(K$10:K240=K240, L$10:L240))), 1, 0)</f>
        <v>0</v>
      </c>
      <c r="N240" s="295">
        <f>IF(AND(Scenario[[#This Row],[Total Coverage]]&gt;=70%,Scenario[[#This Row],[Frontier]]=1),1,0)</f>
        <v>0</v>
      </c>
    </row>
    <row r="241" spans="1:14" x14ac:dyDescent="0.25">
      <c r="A241">
        <v>511</v>
      </c>
      <c r="B241">
        <v>0</v>
      </c>
      <c r="C241">
        <v>1</v>
      </c>
      <c r="D241">
        <v>1</v>
      </c>
      <c r="E241">
        <v>0</v>
      </c>
      <c r="F241">
        <v>0.5</v>
      </c>
      <c r="G241">
        <v>0.5</v>
      </c>
      <c r="H241">
        <v>1</v>
      </c>
      <c r="I241">
        <v>0</v>
      </c>
      <c r="J241" s="272">
        <f>$C$3*($C$4*$E$4*B240*$B$7)*$G$4+$C$3*($C$4*$E$5*D241*$D$7)*$G$4+$C$3*($C$4*$E$4*C241*$C$7)*$G$5+$C$3*($C$4*$E$5*E241*$E$7)*$G$5+$C$3*($C$5*$E$4*F241*$F$7)*$H$4+$C$3*($C$5*$E$5*H241*$H$7)*$H$4+$C$3*($C$5*$E$5*I241*$I$7)*$H$5+$C$3*($C$5*$E$4*G241*$G$7)*$H$5</f>
        <v>4325279.6284166984</v>
      </c>
      <c r="K241" s="277">
        <f>ROUND(($C$4*$E$4*B241*$B$7+$C$4*$E$4*C241*$C$7+$C$4*$E$5*D241*$D$7+$C$4*$E$5*E241*$E$7+($C$5*$E$4*F241*$F$7+$C$5*$E$4*G241*$G$7+$C$5*$E$5*H241*$H$7+$C$5*$E$5*I241*$I$7)),2)</f>
        <v>0.53</v>
      </c>
      <c r="L241" s="276">
        <f>Scenario[[#This Row],[Total Cost]]/(Scenario[[#This Row],[Total Coverage]]*100)</f>
        <v>81609.0495927679</v>
      </c>
      <c r="M241" s="295" cm="1">
        <f t="array" ref="M241">IF(AND(K241=MAX(K$10:K241), L241=MIN(IF(K$10:K241=K241, L$10:L241))), 1, 0)</f>
        <v>0</v>
      </c>
      <c r="N241" s="295">
        <f>IF(AND(Scenario[[#This Row],[Total Coverage]]&gt;=70%,Scenario[[#This Row],[Frontier]]=1),1,0)</f>
        <v>0</v>
      </c>
    </row>
    <row r="242" spans="1:14" x14ac:dyDescent="0.25">
      <c r="A242">
        <v>530</v>
      </c>
      <c r="B242">
        <v>0</v>
      </c>
      <c r="C242">
        <v>1</v>
      </c>
      <c r="D242">
        <v>0.75</v>
      </c>
      <c r="E242">
        <v>0.25</v>
      </c>
      <c r="F242">
        <v>1</v>
      </c>
      <c r="G242">
        <v>0</v>
      </c>
      <c r="H242">
        <v>0</v>
      </c>
      <c r="I242">
        <v>1</v>
      </c>
      <c r="J242" s="272">
        <f>$C$3*($C$4*$E$4*B241*$B$7)*$G$4+$C$3*($C$4*$E$5*D242*$D$7)*$G$4+$C$3*($C$4*$E$4*C242*$C$7)*$G$5+$C$3*($C$4*$E$5*E242*$E$7)*$G$5+$C$3*($C$5*$E$4*F242*$F$7)*$H$4+$C$3*($C$5*$E$5*H242*$H$7)*$H$4+$C$3*($C$5*$E$5*I242*$I$7)*$H$5+$C$3*($C$5*$E$4*G242*$G$7)*$H$5</f>
        <v>4253659.374799192</v>
      </c>
      <c r="K242" s="277">
        <f>ROUND(($C$4*$E$4*B242*$B$7+$C$4*$E$4*C242*$C$7+$C$4*$E$5*D242*$D$7+$C$4*$E$5*E242*$E$7+($C$5*$E$4*F242*$F$7+$C$5*$E$4*G242*$G$7+$C$5*$E$5*H242*$H$7+$C$5*$E$5*I242*$I$7)),2)</f>
        <v>0.53</v>
      </c>
      <c r="L242" s="276">
        <f>Scenario[[#This Row],[Total Cost]]/(Scenario[[#This Row],[Total Coverage]]*100)</f>
        <v>80257.724052814941</v>
      </c>
      <c r="M242" s="295" cm="1">
        <f t="array" ref="M242">IF(AND(K242=MAX(K$10:K242), L242=MIN(IF(K$10:K242=K242, L$10:L242))), 1, 0)</f>
        <v>0</v>
      </c>
      <c r="N242" s="295">
        <f>IF(AND(Scenario[[#This Row],[Total Coverage]]&gt;=70%,Scenario[[#This Row],[Frontier]]=1),1,0)</f>
        <v>0</v>
      </c>
    </row>
    <row r="243" spans="1:14" x14ac:dyDescent="0.25">
      <c r="A243">
        <v>436</v>
      </c>
      <c r="B243">
        <v>0.25</v>
      </c>
      <c r="C243">
        <v>0.75</v>
      </c>
      <c r="D243">
        <v>0.5</v>
      </c>
      <c r="E243">
        <v>0.5</v>
      </c>
      <c r="F243">
        <v>0.5</v>
      </c>
      <c r="G243">
        <v>0.5</v>
      </c>
      <c r="H243">
        <v>1</v>
      </c>
      <c r="I243">
        <v>0</v>
      </c>
      <c r="J243" s="272">
        <f>$C$3*($C$4*$E$4*B242*$B$7)*$G$4+$C$3*($C$4*$E$5*D243*$D$7)*$G$4+$C$3*($C$4*$E$4*C243*$C$7)*$G$5+$C$3*($C$4*$E$5*E243*$E$7)*$G$5+$C$3*($C$5*$E$4*F243*$F$7)*$H$4+$C$3*($C$5*$E$5*H243*$H$7)*$H$4+$C$3*($C$5*$E$5*I243*$I$7)*$H$5+$C$3*($C$5*$E$4*G243*$G$7)*$H$5</f>
        <v>4094400.9350006096</v>
      </c>
      <c r="K243" s="277">
        <f>ROUND(($C$4*$E$4*B243*$B$7+$C$4*$E$4*C243*$C$7+$C$4*$E$5*D243*$D$7+$C$4*$E$5*E243*$E$7+($C$5*$E$4*F243*$F$7+$C$5*$E$4*G243*$G$7+$C$5*$E$5*H243*$H$7+$C$5*$E$5*I243*$I$7)),2)</f>
        <v>0.53</v>
      </c>
      <c r="L243" s="276">
        <f>Scenario[[#This Row],[Total Cost]]/(Scenario[[#This Row],[Total Coverage]]*100)</f>
        <v>77252.847830200175</v>
      </c>
      <c r="M243" s="295" cm="1">
        <f t="array" ref="M243">IF(AND(K243=MAX(K$10:K243), L243=MIN(IF(K$10:K243=K243, L$10:L243))), 1, 0)</f>
        <v>0</v>
      </c>
      <c r="N243" s="295">
        <f>IF(AND(Scenario[[#This Row],[Total Coverage]]&gt;=70%,Scenario[[#This Row],[Frontier]]=1),1,0)</f>
        <v>0</v>
      </c>
    </row>
    <row r="244" spans="1:14" x14ac:dyDescent="0.25">
      <c r="A244">
        <v>582</v>
      </c>
      <c r="B244">
        <v>0</v>
      </c>
      <c r="C244">
        <v>1</v>
      </c>
      <c r="D244">
        <v>0.25</v>
      </c>
      <c r="E244">
        <v>0.75</v>
      </c>
      <c r="F244">
        <v>0.75</v>
      </c>
      <c r="G244">
        <v>0.25</v>
      </c>
      <c r="H244">
        <v>0.75</v>
      </c>
      <c r="I244">
        <v>0.25</v>
      </c>
      <c r="J244" s="272">
        <f>$C$3*($C$4*$E$4*B243*$B$7)*$G$4+$C$3*($C$4*$E$5*D244*$D$7)*$G$4+$C$3*($C$4*$E$4*C244*$C$7)*$G$5+$C$3*($C$4*$E$5*E244*$E$7)*$G$5+$C$3*($C$5*$E$4*F244*$F$7)*$H$4+$C$3*($C$5*$E$5*H244*$H$7)*$H$4+$C$3*($C$5*$E$5*I244*$I$7)*$H$5+$C$3*($C$5*$E$4*G244*$G$7)*$H$5</f>
        <v>4423412.2350491807</v>
      </c>
      <c r="K244" s="277">
        <f>ROUND(($C$4*$E$4*B244*$B$7+$C$4*$E$4*C244*$C$7+$C$4*$E$5*D244*$D$7+$C$4*$E$5*E244*$E$7+($C$5*$E$4*F244*$F$7+$C$5*$E$4*G244*$G$7+$C$5*$E$5*H244*$H$7+$C$5*$E$5*I244*$I$7)),2)</f>
        <v>0.53</v>
      </c>
      <c r="L244" s="276">
        <f>Scenario[[#This Row],[Total Cost]]/(Scenario[[#This Row],[Total Coverage]]*100)</f>
        <v>83460.608208475111</v>
      </c>
      <c r="M244" s="295" cm="1">
        <f t="array" ref="M244">IF(AND(K244=MAX(K$10:K244), L244=MIN(IF(K$10:K244=K244, L$10:L244))), 1, 0)</f>
        <v>0</v>
      </c>
      <c r="N244" s="295">
        <f>IF(AND(Scenario[[#This Row],[Total Coverage]]&gt;=70%,Scenario[[#This Row],[Frontier]]=1),1,0)</f>
        <v>0</v>
      </c>
    </row>
    <row r="245" spans="1:14" x14ac:dyDescent="0.25">
      <c r="A245">
        <v>66</v>
      </c>
      <c r="B245">
        <v>1</v>
      </c>
      <c r="C245">
        <v>0</v>
      </c>
      <c r="D245">
        <v>0.5</v>
      </c>
      <c r="E245">
        <v>0.5</v>
      </c>
      <c r="F245">
        <v>0.25</v>
      </c>
      <c r="G245">
        <v>0.75</v>
      </c>
      <c r="H245">
        <v>1</v>
      </c>
      <c r="I245">
        <v>0</v>
      </c>
      <c r="J245" s="272">
        <f>$C$3*($C$4*$E$4*B244*$B$7)*$G$4+$C$3*($C$4*$E$5*D245*$D$7)*$G$4+$C$3*($C$4*$E$4*C245*$C$7)*$G$5+$C$3*($C$4*$E$5*E245*$E$7)*$G$5+$C$3*($C$5*$E$4*F245*$F$7)*$H$4+$C$3*($C$5*$E$5*H245*$H$7)*$H$4+$C$3*($C$5*$E$5*I245*$I$7)*$H$5+$C$3*($C$5*$E$4*G245*$G$7)*$H$5</f>
        <v>3449985.0559770437</v>
      </c>
      <c r="K245" s="277">
        <f>ROUND(($C$4*$E$4*B245*$B$7+$C$4*$E$4*C245*$C$7+$C$4*$E$5*D245*$D$7+$C$4*$E$5*E245*$E$7+($C$5*$E$4*F245*$F$7+$C$5*$E$4*G245*$G$7+$C$5*$E$5*H245*$H$7+$C$5*$E$5*I245*$I$7)),2)</f>
        <v>0.54</v>
      </c>
      <c r="L245" s="276">
        <f>Scenario[[#This Row],[Total Cost]]/(Scenario[[#This Row],[Total Coverage]]*100)</f>
        <v>63888.612147723034</v>
      </c>
      <c r="M245" s="295" cm="1">
        <f t="array" ref="M245">IF(AND(K245=MAX(K$10:K245), L245=MIN(IF(K$10:K245=K245, L$10:L245))), 1, 0)</f>
        <v>1</v>
      </c>
      <c r="N245" s="295">
        <f>IF(AND(Scenario[[#This Row],[Total Coverage]]&gt;=70%,Scenario[[#This Row],[Frontier]]=1),1,0)</f>
        <v>0</v>
      </c>
    </row>
    <row r="246" spans="1:14" x14ac:dyDescent="0.25">
      <c r="A246">
        <v>63</v>
      </c>
      <c r="B246">
        <v>1</v>
      </c>
      <c r="C246">
        <v>0</v>
      </c>
      <c r="D246">
        <v>0.5</v>
      </c>
      <c r="E246">
        <v>0.5</v>
      </c>
      <c r="F246">
        <v>0.5</v>
      </c>
      <c r="G246">
        <v>0.5</v>
      </c>
      <c r="H246">
        <v>0.5</v>
      </c>
      <c r="I246">
        <v>0.5</v>
      </c>
      <c r="J246" s="272">
        <f>$C$3*($C$4*$E$4*B245*$B$7)*$G$4+$C$3*($C$4*$E$5*D246*$D$7)*$G$4+$C$3*($C$4*$E$4*C246*$C$7)*$G$5+$C$3*($C$4*$E$5*E246*$E$7)*$G$5+$C$3*($C$5*$E$4*F246*$F$7)*$H$4+$C$3*($C$5*$E$5*H246*$H$7)*$H$4+$C$3*($C$5*$E$5*I246*$I$7)*$H$5+$C$3*($C$5*$E$4*G246*$G$7)*$H$5</f>
        <v>3800880.0993649587</v>
      </c>
      <c r="K246" s="277">
        <f>ROUND(($C$4*$E$4*B246*$B$7+$C$4*$E$4*C246*$C$7+$C$4*$E$5*D246*$D$7+$C$4*$E$5*E246*$E$7+($C$5*$E$4*F246*$F$7+$C$5*$E$4*G246*$G$7+$C$5*$E$5*H246*$H$7+$C$5*$E$5*I246*$I$7)),2)</f>
        <v>0.54</v>
      </c>
      <c r="L246" s="276">
        <f>Scenario[[#This Row],[Total Cost]]/(Scenario[[#This Row],[Total Coverage]]*100)</f>
        <v>70386.668506758491</v>
      </c>
      <c r="M246" s="295" cm="1">
        <f t="array" ref="M246">IF(AND(K246=MAX(K$10:K246), L246=MIN(IF(K$10:K246=K246, L$10:L246))), 1, 0)</f>
        <v>0</v>
      </c>
      <c r="N246" s="295">
        <f>IF(AND(Scenario[[#This Row],[Total Coverage]]&gt;=70%,Scenario[[#This Row],[Frontier]]=1),1,0)</f>
        <v>0</v>
      </c>
    </row>
    <row r="247" spans="1:14" x14ac:dyDescent="0.25">
      <c r="A247">
        <v>212</v>
      </c>
      <c r="B247">
        <v>0.75</v>
      </c>
      <c r="C247">
        <v>0.25</v>
      </c>
      <c r="D247">
        <v>0.25</v>
      </c>
      <c r="E247">
        <v>0.75</v>
      </c>
      <c r="F247">
        <v>0.5</v>
      </c>
      <c r="G247">
        <v>0.5</v>
      </c>
      <c r="H247">
        <v>0.75</v>
      </c>
      <c r="I247">
        <v>0.25</v>
      </c>
      <c r="J247" s="272">
        <f>$C$3*($C$4*$E$4*B246*$B$7)*$G$4+$C$3*($C$4*$E$5*D247*$D$7)*$G$4+$C$3*($C$4*$E$4*C247*$C$7)*$G$5+$C$3*($C$4*$E$5*E247*$E$7)*$G$5+$C$3*($C$5*$E$4*F247*$F$7)*$H$4+$C$3*($C$5*$E$5*H247*$H$7)*$H$4+$C$3*($C$5*$E$5*I247*$I$7)*$H$5+$C$3*($C$5*$E$4*G247*$G$7)*$H$5</f>
        <v>4098225.2427203627</v>
      </c>
      <c r="K247" s="277">
        <f>ROUND(($C$4*$E$4*B247*$B$7+$C$4*$E$4*C247*$C$7+$C$4*$E$5*D247*$D$7+$C$4*$E$5*E247*$E$7+($C$5*$E$4*F247*$F$7+$C$5*$E$4*G247*$G$7+$C$5*$E$5*H247*$H$7+$C$5*$E$5*I247*$I$7)),2)</f>
        <v>0.54</v>
      </c>
      <c r="L247" s="276">
        <f>Scenario[[#This Row],[Total Cost]]/(Scenario[[#This Row],[Total Coverage]]*100)</f>
        <v>75893.060050377084</v>
      </c>
      <c r="M247" s="295" cm="1">
        <f t="array" ref="M247">IF(AND(K247=MAX(K$10:K247), L247=MIN(IF(K$10:K247=K247, L$10:L247))), 1, 0)</f>
        <v>0</v>
      </c>
      <c r="N247" s="295">
        <f>IF(AND(Scenario[[#This Row],[Total Coverage]]&gt;=70%,Scenario[[#This Row],[Frontier]]=1),1,0)</f>
        <v>0</v>
      </c>
    </row>
    <row r="248" spans="1:14" x14ac:dyDescent="0.25">
      <c r="A248">
        <v>141</v>
      </c>
      <c r="B248">
        <v>0.75</v>
      </c>
      <c r="C248">
        <v>0.25</v>
      </c>
      <c r="D248">
        <v>1</v>
      </c>
      <c r="E248">
        <v>0</v>
      </c>
      <c r="F248">
        <v>0.25</v>
      </c>
      <c r="G248">
        <v>0.75</v>
      </c>
      <c r="H248">
        <v>1</v>
      </c>
      <c r="I248">
        <v>0</v>
      </c>
      <c r="J248" s="272">
        <f>$C$3*($C$4*$E$4*B247*$B$7)*$G$4+$C$3*($C$4*$E$5*D248*$D$7)*$G$4+$C$3*($C$4*$E$4*C248*$C$7)*$G$5+$C$3*($C$4*$E$5*E248*$E$7)*$G$5+$C$3*($C$5*$E$4*F248*$F$7)*$H$4+$C$3*($C$5*$E$5*H248*$H$7)*$H$4+$C$3*($C$5*$E$5*I248*$I$7)*$H$5+$C$3*($C$5*$E$4*G248*$G$7)*$H$5</f>
        <v>3893683.0071896315</v>
      </c>
      <c r="K248" s="277">
        <f>ROUND(($C$4*$E$4*B248*$B$7+$C$4*$E$4*C248*$C$7+$C$4*$E$5*D248*$D$7+$C$4*$E$5*E248*$E$7+($C$5*$E$4*F248*$F$7+$C$5*$E$4*G248*$G$7+$C$5*$E$5*H248*$H$7+$C$5*$E$5*I248*$I$7)),2)</f>
        <v>0.54</v>
      </c>
      <c r="L248" s="276">
        <f>Scenario[[#This Row],[Total Cost]]/(Scenario[[#This Row],[Total Coverage]]*100)</f>
        <v>72105.240873882067</v>
      </c>
      <c r="M248" s="295" cm="1">
        <f t="array" ref="M248">IF(AND(K248=MAX(K$10:K248), L248=MIN(IF(K$10:K248=K248, L$10:L248))), 1, 0)</f>
        <v>0</v>
      </c>
      <c r="N248" s="295">
        <f>IF(AND(Scenario[[#This Row],[Total Coverage]]&gt;=70%,Scenario[[#This Row],[Frontier]]=1),1,0)</f>
        <v>0</v>
      </c>
    </row>
    <row r="249" spans="1:14" x14ac:dyDescent="0.25">
      <c r="A249">
        <v>361</v>
      </c>
      <c r="B249">
        <v>0.5</v>
      </c>
      <c r="C249">
        <v>0.5</v>
      </c>
      <c r="D249">
        <v>0</v>
      </c>
      <c r="E249">
        <v>1</v>
      </c>
      <c r="F249">
        <v>0.5</v>
      </c>
      <c r="G249">
        <v>0.5</v>
      </c>
      <c r="H249">
        <v>1</v>
      </c>
      <c r="I249">
        <v>0</v>
      </c>
      <c r="J249" s="272">
        <f>$C$3*($C$4*$E$4*B248*$B$7)*$G$4+$C$3*($C$4*$E$5*D249*$D$7)*$G$4+$C$3*($C$4*$E$4*C249*$C$7)*$G$5+$C$3*($C$4*$E$5*E249*$E$7)*$G$5+$C$3*($C$5*$E$4*F249*$F$7)*$H$4+$C$3*($C$5*$E$5*H249*$H$7)*$H$4+$C$3*($C$5*$E$5*I249*$I$7)*$H$5+$C$3*($C$5*$E$4*G249*$G$7)*$H$5</f>
        <v>4289160.7571775187</v>
      </c>
      <c r="K249" s="277">
        <f>ROUND(($C$4*$E$4*B249*$B$7+$C$4*$E$4*C249*$C$7+$C$4*$E$5*D249*$D$7+$C$4*$E$5*E249*$E$7+($C$5*$E$4*F249*$F$7+$C$5*$E$4*G249*$G$7+$C$5*$E$5*H249*$H$7+$C$5*$E$5*I249*$I$7)),2)</f>
        <v>0.54</v>
      </c>
      <c r="L249" s="276">
        <f>Scenario[[#This Row],[Total Cost]]/(Scenario[[#This Row],[Total Coverage]]*100)</f>
        <v>79428.902910694786</v>
      </c>
      <c r="M249" s="295" cm="1">
        <f t="array" ref="M249">IF(AND(K249=MAX(K$10:K249), L249=MIN(IF(K$10:K249=K249, L$10:L249))), 1, 0)</f>
        <v>0</v>
      </c>
      <c r="N249" s="295">
        <f>IF(AND(Scenario[[#This Row],[Total Coverage]]&gt;=70%,Scenario[[#This Row],[Frontier]]=1),1,0)</f>
        <v>0</v>
      </c>
    </row>
    <row r="250" spans="1:14" x14ac:dyDescent="0.25">
      <c r="A250">
        <v>309</v>
      </c>
      <c r="B250">
        <v>0.5</v>
      </c>
      <c r="C250">
        <v>0.5</v>
      </c>
      <c r="D250">
        <v>0.5</v>
      </c>
      <c r="E250">
        <v>0.5</v>
      </c>
      <c r="F250">
        <v>0.75</v>
      </c>
      <c r="G250">
        <v>0.25</v>
      </c>
      <c r="H250">
        <v>0.25</v>
      </c>
      <c r="I250">
        <v>0.75</v>
      </c>
      <c r="J250" s="272">
        <f>$C$3*($C$4*$E$4*B249*$B$7)*$G$4+$C$3*($C$4*$E$5*D250*$D$7)*$G$4+$C$3*($C$4*$E$4*C250*$C$7)*$G$5+$C$3*($C$4*$E$5*E250*$E$7)*$G$5+$C$3*($C$5*$E$4*F250*$F$7)*$H$4+$C$3*($C$5*$E$5*H250*$H$7)*$H$4+$C$3*($C$5*$E$5*I250*$I$7)*$H$5+$C$3*($C$5*$E$4*G250*$G$7)*$H$5</f>
        <v>4119407.896927529</v>
      </c>
      <c r="K250" s="277">
        <f>ROUND(($C$4*$E$4*B250*$B$7+$C$4*$E$4*C250*$C$7+$C$4*$E$5*D250*$D$7+$C$4*$E$5*E250*$E$7+($C$5*$E$4*F250*$F$7+$C$5*$E$4*G250*$G$7+$C$5*$E$5*H250*$H$7+$C$5*$E$5*I250*$I$7)),2)</f>
        <v>0.54</v>
      </c>
      <c r="L250" s="276">
        <f>Scenario[[#This Row],[Total Cost]]/(Scenario[[#This Row],[Total Coverage]]*100)</f>
        <v>76285.33142458387</v>
      </c>
      <c r="M250" s="295" cm="1">
        <f t="array" ref="M250">IF(AND(K250=MAX(K$10:K250), L250=MIN(IF(K$10:K250=K250, L$10:L250))), 1, 0)</f>
        <v>0</v>
      </c>
      <c r="N250" s="295">
        <f>IF(AND(Scenario[[#This Row],[Total Coverage]]&gt;=70%,Scenario[[#This Row],[Frontier]]=1),1,0)</f>
        <v>0</v>
      </c>
    </row>
    <row r="251" spans="1:14" x14ac:dyDescent="0.25">
      <c r="A251">
        <v>160</v>
      </c>
      <c r="B251">
        <v>0.75</v>
      </c>
      <c r="C251">
        <v>0.25</v>
      </c>
      <c r="D251">
        <v>0.75</v>
      </c>
      <c r="E251">
        <v>0.25</v>
      </c>
      <c r="F251">
        <v>0.75</v>
      </c>
      <c r="G251">
        <v>0.25</v>
      </c>
      <c r="H251">
        <v>0</v>
      </c>
      <c r="I251">
        <v>1</v>
      </c>
      <c r="J251" s="272">
        <f>$C$3*($C$4*$E$4*B250*$B$7)*$G$4+$C$3*($C$4*$E$5*D251*$D$7)*$G$4+$C$3*($C$4*$E$4*C251*$C$7)*$G$5+$C$3*($C$4*$E$5*E251*$E$7)*$G$5+$C$3*($C$5*$E$4*F251*$F$7)*$H$4+$C$3*($C$5*$E$5*H251*$H$7)*$H$4+$C$3*($C$5*$E$5*I251*$I$7)*$H$5+$C$3*($C$5*$E$4*G251*$G$7)*$H$5</f>
        <v>3822062.753572125</v>
      </c>
      <c r="K251" s="277">
        <f>ROUND(($C$4*$E$4*B251*$B$7+$C$4*$E$4*C251*$C$7+$C$4*$E$5*D251*$D$7+$C$4*$E$5*E251*$E$7+($C$5*$E$4*F251*$F$7+$C$5*$E$4*G251*$G$7+$C$5*$E$5*H251*$H$7+$C$5*$E$5*I251*$I$7)),2)</f>
        <v>0.54</v>
      </c>
      <c r="L251" s="276">
        <f>Scenario[[#This Row],[Total Cost]]/(Scenario[[#This Row],[Total Coverage]]*100)</f>
        <v>70778.939880965278</v>
      </c>
      <c r="M251" s="295" cm="1">
        <f t="array" ref="M251">IF(AND(K251=MAX(K$10:K251), L251=MIN(IF(K$10:K251=K251, L$10:L251))), 1, 0)</f>
        <v>0</v>
      </c>
      <c r="N251" s="295">
        <f>IF(AND(Scenario[[#This Row],[Total Coverage]]&gt;=70%,Scenario[[#This Row],[Frontier]]=1),1,0)</f>
        <v>0</v>
      </c>
    </row>
    <row r="252" spans="1:14" x14ac:dyDescent="0.25">
      <c r="A252">
        <v>384</v>
      </c>
      <c r="B252">
        <v>0.25</v>
      </c>
      <c r="C252">
        <v>0.75</v>
      </c>
      <c r="D252">
        <v>1</v>
      </c>
      <c r="E252">
        <v>0</v>
      </c>
      <c r="F252">
        <v>0.75</v>
      </c>
      <c r="G252">
        <v>0.25</v>
      </c>
      <c r="H252">
        <v>0.25</v>
      </c>
      <c r="I252">
        <v>0.75</v>
      </c>
      <c r="J252" s="272">
        <f>$C$3*($C$4*$E$4*B251*$B$7)*$G$4+$C$3*($C$4*$E$5*D252*$D$7)*$G$4+$C$3*($C$4*$E$4*C252*$C$7)*$G$5+$C$3*($C$4*$E$5*E252*$E$7)*$G$5+$C$3*($C$5*$E$4*F252*$F$7)*$H$4+$C$3*($C$5*$E$5*H252*$H$7)*$H$4+$C$3*($C$5*$E$5*I252*$I$7)*$H$5+$C$3*($C$5*$E$4*G252*$G$7)*$H$5</f>
        <v>4350286.5903436178</v>
      </c>
      <c r="K252" s="277">
        <f>ROUND(($C$4*$E$4*B252*$B$7+$C$4*$E$4*C252*$C$7+$C$4*$E$5*D252*$D$7+$C$4*$E$5*E252*$E$7+($C$5*$E$4*F252*$F$7+$C$5*$E$4*G252*$G$7+$C$5*$E$5*H252*$H$7+$C$5*$E$5*I252*$I$7)),2)</f>
        <v>0.54</v>
      </c>
      <c r="L252" s="276">
        <f>Scenario[[#This Row],[Total Cost]]/(Scenario[[#This Row],[Total Coverage]]*100)</f>
        <v>80560.862784141078</v>
      </c>
      <c r="M252" s="295" cm="1">
        <f t="array" ref="M252">IF(AND(K252=MAX(K$10:K252), L252=MIN(IF(K$10:K252=K252, L$10:L252))), 1, 0)</f>
        <v>0</v>
      </c>
      <c r="N252" s="295">
        <f>IF(AND(Scenario[[#This Row],[Total Coverage]]&gt;=70%,Scenario[[#This Row],[Frontier]]=1),1,0)</f>
        <v>0</v>
      </c>
    </row>
    <row r="253" spans="1:14" x14ac:dyDescent="0.25">
      <c r="A253">
        <v>458</v>
      </c>
      <c r="B253">
        <v>0.25</v>
      </c>
      <c r="C253">
        <v>0.75</v>
      </c>
      <c r="D253">
        <v>0.25</v>
      </c>
      <c r="E253">
        <v>0.75</v>
      </c>
      <c r="F253">
        <v>0.75</v>
      </c>
      <c r="G253">
        <v>0.25</v>
      </c>
      <c r="H253">
        <v>0.5</v>
      </c>
      <c r="I253">
        <v>0.5</v>
      </c>
      <c r="J253" s="272">
        <f>$C$3*($C$4*$E$4*B252*$B$7)*$G$4+$C$3*($C$4*$E$5*D253*$D$7)*$G$4+$C$3*($C$4*$E$4*C253*$C$7)*$G$5+$C$3*($C$4*$E$5*E253*$E$7)*$G$5+$C$3*($C$5*$E$4*F253*$F$7)*$H$4+$C$3*($C$5*$E$5*H253*$H$7)*$H$4+$C$3*($C$5*$E$5*I253*$I$7)*$H$5+$C$3*($C$5*$E$4*G253*$G$7)*$H$5</f>
        <v>4310343.411384685</v>
      </c>
      <c r="K253" s="277">
        <f>ROUND(($C$4*$E$4*B253*$B$7+$C$4*$E$4*C253*$C$7+$C$4*$E$5*D253*$D$7+$C$4*$E$5*E253*$E$7+($C$5*$E$4*F253*$F$7+$C$5*$E$4*G253*$G$7+$C$5*$E$5*H253*$H$7+$C$5*$E$5*I253*$I$7)),2)</f>
        <v>0.54</v>
      </c>
      <c r="L253" s="276">
        <f>Scenario[[#This Row],[Total Cost]]/(Scenario[[#This Row],[Total Coverage]]*100)</f>
        <v>79821.174284901572</v>
      </c>
      <c r="M253" s="295" cm="1">
        <f t="array" ref="M253">IF(AND(K253=MAX(K$10:K253), L253=MIN(IF(K$10:K253=K253, L$10:L253))), 1, 0)</f>
        <v>0</v>
      </c>
      <c r="N253" s="295">
        <f>IF(AND(Scenario[[#This Row],[Total Coverage]]&gt;=70%,Scenario[[#This Row],[Frontier]]=1),1,0)</f>
        <v>0</v>
      </c>
    </row>
    <row r="254" spans="1:14" x14ac:dyDescent="0.25">
      <c r="A254">
        <v>387</v>
      </c>
      <c r="B254">
        <v>0.25</v>
      </c>
      <c r="C254">
        <v>0.75</v>
      </c>
      <c r="D254">
        <v>1</v>
      </c>
      <c r="E254">
        <v>0</v>
      </c>
      <c r="F254">
        <v>0.5</v>
      </c>
      <c r="G254">
        <v>0.5</v>
      </c>
      <c r="H254">
        <v>0.75</v>
      </c>
      <c r="I254">
        <v>0.25</v>
      </c>
      <c r="J254" s="272">
        <f>$C$3*($C$4*$E$4*B253*$B$7)*$G$4+$C$3*($C$4*$E$5*D254*$D$7)*$G$4+$C$3*($C$4*$E$4*C254*$C$7)*$G$5+$C$3*($C$4*$E$5*E254*$E$7)*$G$5+$C$3*($C$5*$E$4*F254*$F$7)*$H$4+$C$3*($C$5*$E$5*H254*$H$7)*$H$4+$C$3*($C$5*$E$5*I254*$I$7)*$H$5+$C$3*($C$5*$E$4*G254*$G$7)*$H$5</f>
        <v>4212210.8047522018</v>
      </c>
      <c r="K254" s="277">
        <f>ROUND(($C$4*$E$4*B254*$B$7+$C$4*$E$4*C254*$C$7+$C$4*$E$5*D254*$D$7+$C$4*$E$5*E254*$E$7+($C$5*$E$4*F254*$F$7+$C$5*$E$4*G254*$G$7+$C$5*$E$5*H254*$H$7+$C$5*$E$5*I254*$I$7)),2)</f>
        <v>0.54</v>
      </c>
      <c r="L254" s="276">
        <f>Scenario[[#This Row],[Total Cost]]/(Scenario[[#This Row],[Total Coverage]]*100)</f>
        <v>78003.903791707446</v>
      </c>
      <c r="M254" s="295" cm="1">
        <f t="array" ref="M254">IF(AND(K254=MAX(K$10:K254), L254=MIN(IF(K$10:K254=K254, L$10:L254))), 1, 0)</f>
        <v>0</v>
      </c>
      <c r="N254" s="295">
        <f>IF(AND(Scenario[[#This Row],[Total Coverage]]&gt;=70%,Scenario[[#This Row],[Frontier]]=1),1,0)</f>
        <v>0</v>
      </c>
    </row>
    <row r="255" spans="1:14" x14ac:dyDescent="0.25">
      <c r="A255">
        <v>533</v>
      </c>
      <c r="B255">
        <v>0</v>
      </c>
      <c r="C255">
        <v>1</v>
      </c>
      <c r="D255">
        <v>0.75</v>
      </c>
      <c r="E255">
        <v>0.25</v>
      </c>
      <c r="F255">
        <v>0.75</v>
      </c>
      <c r="G255">
        <v>0.25</v>
      </c>
      <c r="H255">
        <v>0.5</v>
      </c>
      <c r="I255">
        <v>0.5</v>
      </c>
      <c r="J255" s="272">
        <f>$C$3*($C$4*$E$4*B254*$B$7)*$G$4+$C$3*($C$4*$E$5*D255*$D$7)*$G$4+$C$3*($C$4*$E$4*C255*$C$7)*$G$5+$C$3*($C$4*$E$5*E255*$E$7)*$G$5+$C$3*($C$5*$E$4*F255*$F$7)*$H$4+$C$3*($C$5*$E$5*H255*$H$7)*$H$4+$C$3*($C$5*$E$5*I255*$I$7)*$H$5+$C$3*($C$5*$E$4*G255*$G$7)*$H$5</f>
        <v>4434812.4759025238</v>
      </c>
      <c r="K255" s="277">
        <f>ROUND(($C$4*$E$4*B255*$B$7+$C$4*$E$4*C255*$C$7+$C$4*$E$5*D255*$D$7+$C$4*$E$5*E255*$E$7+($C$5*$E$4*F255*$F$7+$C$5*$E$4*G255*$G$7+$C$5*$E$5*H255*$H$7+$C$5*$E$5*I255*$I$7)),2)</f>
        <v>0.54</v>
      </c>
      <c r="L255" s="276">
        <f>Scenario[[#This Row],[Total Cost]]/(Scenario[[#This Row],[Total Coverage]]*100)</f>
        <v>82126.156961157845</v>
      </c>
      <c r="M255" s="295" cm="1">
        <f t="array" ref="M255">IF(AND(K255=MAX(K$10:K255), L255=MIN(IF(K$10:K255=K255, L$10:L255))), 1, 0)</f>
        <v>0</v>
      </c>
      <c r="N255" s="295">
        <f>IF(AND(Scenario[[#This Row],[Total Coverage]]&gt;=70%,Scenario[[#This Row],[Frontier]]=1),1,0)</f>
        <v>0</v>
      </c>
    </row>
    <row r="256" spans="1:14" x14ac:dyDescent="0.25">
      <c r="A256">
        <v>455</v>
      </c>
      <c r="B256">
        <v>0.25</v>
      </c>
      <c r="C256">
        <v>0.75</v>
      </c>
      <c r="D256">
        <v>0.25</v>
      </c>
      <c r="E256">
        <v>0.75</v>
      </c>
      <c r="F256">
        <v>1</v>
      </c>
      <c r="G256">
        <v>0</v>
      </c>
      <c r="H256">
        <v>0</v>
      </c>
      <c r="I256">
        <v>1</v>
      </c>
      <c r="J256" s="272">
        <f>$C$3*($C$4*$E$4*B255*$B$7)*$G$4+$C$3*($C$4*$E$5*D256*$D$7)*$G$4+$C$3*($C$4*$E$4*C256*$C$7)*$G$5+$C$3*($C$4*$E$5*E256*$E$7)*$G$5+$C$3*($C$5*$E$4*F256*$F$7)*$H$4+$C$3*($C$5*$E$5*H256*$H$7)*$H$4+$C$3*($C$5*$E$5*I256*$I$7)*$H$5+$C$3*($C$5*$E$4*G256*$G$7)*$H$5</f>
        <v>4129190.3102813521</v>
      </c>
      <c r="K256" s="277">
        <f>ROUND(($C$4*$E$4*B256*$B$7+$C$4*$E$4*C256*$C$7+$C$4*$E$5*D256*$D$7+$C$4*$E$5*E256*$E$7+($C$5*$E$4*F256*$F$7+$C$5*$E$4*G256*$G$7+$C$5*$E$5*H256*$H$7+$C$5*$E$5*I256*$I$7)),2)</f>
        <v>0.54</v>
      </c>
      <c r="L256" s="276">
        <f>Scenario[[#This Row],[Total Cost]]/(Scenario[[#This Row],[Total Coverage]]*100)</f>
        <v>76466.487227432444</v>
      </c>
      <c r="M256" s="295" cm="1">
        <f t="array" ref="M256">IF(AND(K256=MAX(K$10:K256), L256=MIN(IF(K$10:K256=K256, L$10:L256))), 1, 0)</f>
        <v>0</v>
      </c>
      <c r="N256" s="295">
        <f>IF(AND(Scenario[[#This Row],[Total Coverage]]&gt;=70%,Scenario[[#This Row],[Frontier]]=1),1,0)</f>
        <v>0</v>
      </c>
    </row>
    <row r="257" spans="1:14" x14ac:dyDescent="0.25">
      <c r="A257">
        <v>536</v>
      </c>
      <c r="B257">
        <v>0</v>
      </c>
      <c r="C257">
        <v>1</v>
      </c>
      <c r="D257">
        <v>0.75</v>
      </c>
      <c r="E257">
        <v>0.25</v>
      </c>
      <c r="F257">
        <v>0.5</v>
      </c>
      <c r="G257">
        <v>0.5</v>
      </c>
      <c r="H257">
        <v>1</v>
      </c>
      <c r="I257">
        <v>0</v>
      </c>
      <c r="J257" s="272">
        <f>$C$3*($C$4*$E$4*B256*$B$7)*$G$4+$C$3*($C$4*$E$5*D257*$D$7)*$G$4+$C$3*($C$4*$E$4*C257*$C$7)*$G$5+$C$3*($C$4*$E$5*E257*$E$7)*$G$5+$C$3*($C$5*$E$4*F257*$F$7)*$H$4+$C$3*($C$5*$E$5*H257*$H$7)*$H$4+$C$3*($C$5*$E$5*I257*$I$7)*$H$5+$C$3*($C$5*$E$4*G257*$G$7)*$H$5</f>
        <v>4509555.9481076067</v>
      </c>
      <c r="K257" s="277">
        <f>ROUND(($C$4*$E$4*B257*$B$7+$C$4*$E$4*C257*$C$7+$C$4*$E$5*D257*$D$7+$C$4*$E$5*E257*$E$7+($C$5*$E$4*F257*$F$7+$C$5*$E$4*G257*$G$7+$C$5*$E$5*H257*$H$7+$C$5*$E$5*I257*$I$7)),2)</f>
        <v>0.54</v>
      </c>
      <c r="L257" s="276">
        <f>Scenario[[#This Row],[Total Cost]]/(Scenario[[#This Row],[Total Coverage]]*100)</f>
        <v>83510.295335326053</v>
      </c>
      <c r="M257" s="295" cm="1">
        <f t="array" ref="M257">IF(AND(K257=MAX(K$10:K257), L257=MIN(IF(K$10:K257=K257, L$10:L257))), 1, 0)</f>
        <v>0</v>
      </c>
      <c r="N257" s="295">
        <f>IF(AND(Scenario[[#This Row],[Total Coverage]]&gt;=70%,Scenario[[#This Row],[Frontier]]=1),1,0)</f>
        <v>0</v>
      </c>
    </row>
    <row r="258" spans="1:14" x14ac:dyDescent="0.25">
      <c r="A258">
        <v>604</v>
      </c>
      <c r="B258">
        <v>0</v>
      </c>
      <c r="C258">
        <v>1</v>
      </c>
      <c r="D258">
        <v>0</v>
      </c>
      <c r="E258">
        <v>1</v>
      </c>
      <c r="F258">
        <v>1</v>
      </c>
      <c r="G258">
        <v>0</v>
      </c>
      <c r="H258">
        <v>0.25</v>
      </c>
      <c r="I258">
        <v>0.75</v>
      </c>
      <c r="J258" s="272">
        <f>$C$3*($C$4*$E$4*B257*$B$7)*$G$4+$C$3*($C$4*$E$5*D258*$D$7)*$G$4+$C$3*($C$4*$E$4*C258*$C$7)*$G$5+$C$3*($C$4*$E$5*E258*$E$7)*$G$5+$C$3*($C$5*$E$4*F258*$F$7)*$H$4+$C$3*($C$5*$E$5*H258*$H$7)*$H$4+$C$3*($C$5*$E$5*I258*$I$7)*$H$5+$C$3*($C$5*$E$4*G258*$G$7)*$H$5</f>
        <v>4426535.4536367571</v>
      </c>
      <c r="K258" s="277">
        <f>ROUND(($C$4*$E$4*B258*$B$7+$C$4*$E$4*C258*$C$7+$C$4*$E$5*D258*$D$7+$C$4*$E$5*E258*$E$7+($C$5*$E$4*F258*$F$7+$C$5*$E$4*G258*$G$7+$C$5*$E$5*H258*$H$7+$C$5*$E$5*I258*$I$7)),2)</f>
        <v>0.54</v>
      </c>
      <c r="L258" s="276">
        <f>Scenario[[#This Row],[Total Cost]]/(Scenario[[#This Row],[Total Coverage]]*100)</f>
        <v>81972.878771051051</v>
      </c>
      <c r="M258" s="295" cm="1">
        <f t="array" ref="M258">IF(AND(K258=MAX(K$10:K258), L258=MIN(IF(K$10:K258=K258, L$10:L258))), 1, 0)</f>
        <v>0</v>
      </c>
      <c r="N258" s="295">
        <f>IF(AND(Scenario[[#This Row],[Total Coverage]]&gt;=70%,Scenario[[#This Row],[Frontier]]=1),1,0)</f>
        <v>0</v>
      </c>
    </row>
    <row r="259" spans="1:14" x14ac:dyDescent="0.25">
      <c r="A259">
        <v>607</v>
      </c>
      <c r="B259">
        <v>0</v>
      </c>
      <c r="C259">
        <v>1</v>
      </c>
      <c r="D259">
        <v>0</v>
      </c>
      <c r="E259">
        <v>1</v>
      </c>
      <c r="F259">
        <v>0.75</v>
      </c>
      <c r="G259">
        <v>0.25</v>
      </c>
      <c r="H259">
        <v>0.75</v>
      </c>
      <c r="I259">
        <v>0.25</v>
      </c>
      <c r="J259" s="272">
        <f>$C$3*($C$4*$E$4*B258*$B$7)*$G$4+$C$3*($C$4*$E$5*D259*$D$7)*$G$4+$C$3*($C$4*$E$4*C259*$C$7)*$G$5+$C$3*($C$4*$E$5*E259*$E$7)*$G$5+$C$3*($C$5*$E$4*F259*$F$7)*$H$4+$C$3*($C$5*$E$5*H259*$H$7)*$H$4+$C$3*($C$5*$E$5*I259*$I$7)*$H$5+$C$3*($C$5*$E$4*G259*$G$7)*$H$5</f>
        <v>4501278.92584184</v>
      </c>
      <c r="K259" s="277">
        <f>ROUND(($C$4*$E$4*B259*$B$7+$C$4*$E$4*C259*$C$7+$C$4*$E$5*D259*$D$7+$C$4*$E$5*E259*$E$7+($C$5*$E$4*F259*$F$7+$C$5*$E$4*G259*$G$7+$C$5*$E$5*H259*$H$7+$C$5*$E$5*I259*$I$7)),2)</f>
        <v>0.54</v>
      </c>
      <c r="L259" s="276">
        <f>Scenario[[#This Row],[Total Cost]]/(Scenario[[#This Row],[Total Coverage]]*100)</f>
        <v>83357.017145219259</v>
      </c>
      <c r="M259" s="295" cm="1">
        <f t="array" ref="M259">IF(AND(K259=MAX(K$10:K259), L259=MIN(IF(K$10:K259=K259, L$10:L259))), 1, 0)</f>
        <v>0</v>
      </c>
      <c r="N259" s="295">
        <f>IF(AND(Scenario[[#This Row],[Total Coverage]]&gt;=70%,Scenario[[#This Row],[Frontier]]=1),1,0)</f>
        <v>0</v>
      </c>
    </row>
    <row r="260" spans="1:14" x14ac:dyDescent="0.25">
      <c r="A260">
        <v>88</v>
      </c>
      <c r="B260">
        <v>1</v>
      </c>
      <c r="C260">
        <v>0</v>
      </c>
      <c r="D260">
        <v>0.25</v>
      </c>
      <c r="E260">
        <v>0.75</v>
      </c>
      <c r="F260">
        <v>0.5</v>
      </c>
      <c r="G260">
        <v>0.5</v>
      </c>
      <c r="H260">
        <v>0.5</v>
      </c>
      <c r="I260">
        <v>0.5</v>
      </c>
      <c r="J260" s="272">
        <f>$C$3*($C$4*$E$4*B259*$B$7)*$G$4+$C$3*($C$4*$E$5*D260*$D$7)*$G$4+$C$3*($C$4*$E$4*C260*$C$7)*$G$5+$C$3*($C$4*$E$5*E260*$E$7)*$G$5+$C$3*($C$5*$E$4*F260*$F$7)*$H$4+$C$3*($C$5*$E$5*H260*$H$7)*$H$4+$C$3*($C$5*$E$5*I260*$I$7)*$H$5+$C$3*($C$5*$E$4*G260*$G$7)*$H$5</f>
        <v>3559517.9034628691</v>
      </c>
      <c r="K260" s="277">
        <f>ROUND(($C$4*$E$4*B260*$B$7+$C$4*$E$4*C260*$C$7+$C$4*$E$5*D260*$D$7+$C$4*$E$5*E260*$E$7+($C$5*$E$4*F260*$F$7+$C$5*$E$4*G260*$G$7+$C$5*$E$5*H260*$H$7+$C$5*$E$5*I260*$I$7)),2)</f>
        <v>0.55000000000000004</v>
      </c>
      <c r="L260" s="276">
        <f>Scenario[[#This Row],[Total Cost]]/(Scenario[[#This Row],[Total Coverage]]*100)</f>
        <v>64718.507335688519</v>
      </c>
      <c r="M260" s="295" cm="1">
        <f t="array" ref="M260">IF(AND(K260=MAX(K$10:K260), L260=MIN(IF(K$10:K260=K260, L$10:L260))), 1, 0)</f>
        <v>1</v>
      </c>
      <c r="N260" s="295">
        <f>IF(AND(Scenario[[#This Row],[Total Coverage]]&gt;=70%,Scenario[[#This Row],[Frontier]]=1),1,0)</f>
        <v>0</v>
      </c>
    </row>
    <row r="261" spans="1:14" x14ac:dyDescent="0.25">
      <c r="A261">
        <v>85</v>
      </c>
      <c r="B261">
        <v>1</v>
      </c>
      <c r="C261">
        <v>0</v>
      </c>
      <c r="D261">
        <v>0.25</v>
      </c>
      <c r="E261">
        <v>0.75</v>
      </c>
      <c r="F261">
        <v>0.75</v>
      </c>
      <c r="G261">
        <v>0.25</v>
      </c>
      <c r="H261">
        <v>0</v>
      </c>
      <c r="I261">
        <v>1</v>
      </c>
      <c r="J261" s="272">
        <f>$C$3*($C$4*$E$4*B260*$B$7)*$G$4+$C$3*($C$4*$E$5*D261*$D$7)*$G$4+$C$3*($C$4*$E$4*C261*$C$7)*$G$5+$C$3*($C$4*$E$5*E261*$E$7)*$G$5+$C$3*($C$5*$E$4*F261*$F$7)*$H$4+$C$3*($C$5*$E$5*H261*$H$7)*$H$4+$C$3*($C$5*$E$5*I261*$I$7)*$H$5+$C$3*($C$5*$E$4*G261*$G$7)*$H$5</f>
        <v>3910412.9468507841</v>
      </c>
      <c r="K261" s="277">
        <f>ROUND(($C$4*$E$4*B261*$B$7+$C$4*$E$4*C261*$C$7+$C$4*$E$5*D261*$D$7+$C$4*$E$5*E261*$E$7+($C$5*$E$4*F261*$F$7+$C$5*$E$4*G261*$G$7+$C$5*$E$5*H261*$H$7+$C$5*$E$5*I261*$I$7)),2)</f>
        <v>0.55000000000000004</v>
      </c>
      <c r="L261" s="276">
        <f>Scenario[[#This Row],[Total Cost]]/(Scenario[[#This Row],[Total Coverage]]*100)</f>
        <v>71098.417215468799</v>
      </c>
      <c r="M261" s="295" cm="1">
        <f t="array" ref="M261">IF(AND(K261=MAX(K$10:K261), L261=MIN(IF(K$10:K261=K261, L$10:L261))), 1, 0)</f>
        <v>0</v>
      </c>
      <c r="N261" s="295">
        <f>IF(AND(Scenario[[#This Row],[Total Coverage]]&gt;=70%,Scenario[[#This Row],[Frontier]]=1),1,0)</f>
        <v>0</v>
      </c>
    </row>
    <row r="262" spans="1:14" x14ac:dyDescent="0.25">
      <c r="A262">
        <v>14</v>
      </c>
      <c r="B262">
        <v>1</v>
      </c>
      <c r="C262">
        <v>0</v>
      </c>
      <c r="D262">
        <v>1</v>
      </c>
      <c r="E262">
        <v>0</v>
      </c>
      <c r="F262">
        <v>0.5</v>
      </c>
      <c r="G262">
        <v>0.5</v>
      </c>
      <c r="H262">
        <v>0.25</v>
      </c>
      <c r="I262">
        <v>0.75</v>
      </c>
      <c r="J262" s="272">
        <f>$C$3*($C$4*$E$4*B261*$B$7)*$G$4+$C$3*($C$4*$E$5*D262*$D$7)*$G$4+$C$3*($C$4*$E$4*C262*$C$7)*$G$5+$C$3*($C$4*$E$5*E262*$E$7)*$G$5+$C$3*($C$5*$E$4*F262*$F$7)*$H$4+$C$3*($C$5*$E$5*H262*$H$7)*$H$4+$C$3*($C$5*$E$5*I262*$I$7)*$H$5+$C$3*($C$5*$E$4*G262*$G$7)*$H$5</f>
        <v>3812280.3402183014</v>
      </c>
      <c r="K262" s="277">
        <f>ROUND(($C$4*$E$4*B262*$B$7+$C$4*$E$4*C262*$C$7+$C$4*$E$5*D262*$D$7+$C$4*$E$5*E262*$E$7+($C$5*$E$4*F262*$F$7+$C$5*$E$4*G262*$G$7+$C$5*$E$5*H262*$H$7+$C$5*$E$5*I262*$I$7)),2)</f>
        <v>0.55000000000000004</v>
      </c>
      <c r="L262" s="276">
        <f>Scenario[[#This Row],[Total Cost]]/(Scenario[[#This Row],[Total Coverage]]*100)</f>
        <v>69314.188003969102</v>
      </c>
      <c r="M262" s="295" cm="1">
        <f t="array" ref="M262">IF(AND(K262=MAX(K$10:K262), L262=MIN(IF(K$10:K262=K262, L$10:L262))), 1, 0)</f>
        <v>0</v>
      </c>
      <c r="N262" s="295">
        <f>IF(AND(Scenario[[#This Row],[Total Coverage]]&gt;=70%,Scenario[[#This Row],[Frontier]]=1),1,0)</f>
        <v>0</v>
      </c>
    </row>
    <row r="263" spans="1:14" x14ac:dyDescent="0.25">
      <c r="A263">
        <v>17</v>
      </c>
      <c r="B263">
        <v>1</v>
      </c>
      <c r="C263">
        <v>0</v>
      </c>
      <c r="D263">
        <v>1</v>
      </c>
      <c r="E263">
        <v>0</v>
      </c>
      <c r="F263">
        <v>0.25</v>
      </c>
      <c r="G263">
        <v>0.75</v>
      </c>
      <c r="H263">
        <v>0.75</v>
      </c>
      <c r="I263">
        <v>0.25</v>
      </c>
      <c r="J263" s="272">
        <f>$C$3*($C$4*$E$4*B262*$B$7)*$G$4+$C$3*($C$4*$E$5*D263*$D$7)*$G$4+$C$3*($C$4*$E$4*C263*$C$7)*$G$5+$C$3*($C$4*$E$5*E263*$E$7)*$G$5+$C$3*($C$5*$E$4*F263*$F$7)*$H$4+$C$3*($C$5*$E$5*H263*$H$7)*$H$4+$C$3*($C$5*$E$5*I263*$I$7)*$H$5+$C$3*($C$5*$E$4*G263*$G$7)*$H$5</f>
        <v>3887023.8124233847</v>
      </c>
      <c r="K263" s="277">
        <f>ROUND(($C$4*$E$4*B263*$B$7+$C$4*$E$4*C263*$C$7+$C$4*$E$5*D263*$D$7+$C$4*$E$5*E263*$E$7+($C$5*$E$4*F263*$F$7+$C$5*$E$4*G263*$G$7+$C$5*$E$5*H263*$H$7+$C$5*$E$5*I263*$I$7)),2)</f>
        <v>0.55000000000000004</v>
      </c>
      <c r="L263" s="276">
        <f>Scenario[[#This Row],[Total Cost]]/(Scenario[[#This Row],[Total Coverage]]*100)</f>
        <v>70673.160225879707</v>
      </c>
      <c r="M263" s="295" cm="1">
        <f t="array" ref="M263">IF(AND(K263=MAX(K$10:K263), L263=MIN(IF(K$10:K263=K263, L$10:L263))), 1, 0)</f>
        <v>0</v>
      </c>
      <c r="N263" s="295">
        <f>IF(AND(Scenario[[#This Row],[Total Coverage]]&gt;=70%,Scenario[[#This Row],[Frontier]]=1),1,0)</f>
        <v>0</v>
      </c>
    </row>
    <row r="264" spans="1:14" x14ac:dyDescent="0.25">
      <c r="A264">
        <v>237</v>
      </c>
      <c r="B264">
        <v>0.75</v>
      </c>
      <c r="C264">
        <v>0.25</v>
      </c>
      <c r="D264">
        <v>0</v>
      </c>
      <c r="E264">
        <v>1</v>
      </c>
      <c r="F264">
        <v>0.5</v>
      </c>
      <c r="G264">
        <v>0.5</v>
      </c>
      <c r="H264">
        <v>0.75</v>
      </c>
      <c r="I264">
        <v>0.25</v>
      </c>
      <c r="J264" s="272">
        <f>$C$3*($C$4*$E$4*B263*$B$7)*$G$4+$C$3*($C$4*$E$5*D264*$D$7)*$G$4+$C$3*($C$4*$E$4*C264*$C$7)*$G$5+$C$3*($C$4*$E$5*E264*$E$7)*$G$5+$C$3*($C$5*$E$4*F264*$F$7)*$H$4+$C$3*($C$5*$E$5*H264*$H$7)*$H$4+$C$3*($C$5*$E$5*I264*$I$7)*$H$5+$C$3*($C$5*$E$4*G264*$G$7)*$H$5</f>
        <v>4282501.562411271</v>
      </c>
      <c r="K264" s="277">
        <f>ROUND(($C$4*$E$4*B264*$B$7+$C$4*$E$4*C264*$C$7+$C$4*$E$5*D264*$D$7+$C$4*$E$5*E264*$E$7+($C$5*$E$4*F264*$F$7+$C$5*$E$4*G264*$G$7+$C$5*$E$5*H264*$H$7+$C$5*$E$5*I264*$I$7)),2)</f>
        <v>0.55000000000000004</v>
      </c>
      <c r="L264" s="276">
        <f>Scenario[[#This Row],[Total Cost]]/(Scenario[[#This Row],[Total Coverage]]*100)</f>
        <v>77863.66477111401</v>
      </c>
      <c r="M264" s="295" cm="1">
        <f t="array" ref="M264">IF(AND(K264=MAX(K$10:K264), L264=MIN(IF(K$10:K264=K264, L$10:L264))), 1, 0)</f>
        <v>0</v>
      </c>
      <c r="N264" s="295">
        <f>IF(AND(Scenario[[#This Row],[Total Coverage]]&gt;=70%,Scenario[[#This Row],[Frontier]]=1),1,0)</f>
        <v>0</v>
      </c>
    </row>
    <row r="265" spans="1:14" x14ac:dyDescent="0.25">
      <c r="A265">
        <v>312</v>
      </c>
      <c r="B265">
        <v>0.5</v>
      </c>
      <c r="C265">
        <v>0.5</v>
      </c>
      <c r="D265">
        <v>0.5</v>
      </c>
      <c r="E265">
        <v>0.5</v>
      </c>
      <c r="F265">
        <v>0.5</v>
      </c>
      <c r="G265">
        <v>0.5</v>
      </c>
      <c r="H265">
        <v>0.75</v>
      </c>
      <c r="I265">
        <v>0.25</v>
      </c>
      <c r="J265" s="272">
        <f>$C$3*($C$4*$E$4*B264*$B$7)*$G$4+$C$3*($C$4*$E$5*D265*$D$7)*$G$4+$C$3*($C$4*$E$4*C265*$C$7)*$G$5+$C$3*($C$4*$E$5*E265*$E$7)*$G$5+$C$3*($C$5*$E$4*F265*$F$7)*$H$4+$C$3*($C$5*$E$5*H265*$H$7)*$H$4+$C$3*($C$5*$E$5*I265*$I$7)*$H$5+$C$3*($C$5*$E$4*G265*$G$7)*$H$5</f>
        <v>4300560.9980308618</v>
      </c>
      <c r="K265" s="277">
        <f>ROUND(($C$4*$E$4*B265*$B$7+$C$4*$E$4*C265*$C$7+$C$4*$E$5*D265*$D$7+$C$4*$E$5*E265*$E$7+($C$5*$E$4*F265*$F$7+$C$5*$E$4*G265*$G$7+$C$5*$E$5*H265*$H$7+$C$5*$E$5*I265*$I$7)),2)</f>
        <v>0.55000000000000004</v>
      </c>
      <c r="L265" s="276">
        <f>Scenario[[#This Row],[Total Cost]]/(Scenario[[#This Row],[Total Coverage]]*100)</f>
        <v>78192.01814601566</v>
      </c>
      <c r="M265" s="295" cm="1">
        <f t="array" ref="M265">IF(AND(K265=MAX(K$10:K265), L265=MIN(IF(K$10:K265=K265, L$10:L265))), 1, 0)</f>
        <v>0</v>
      </c>
      <c r="N265" s="295">
        <f>IF(AND(Scenario[[#This Row],[Total Coverage]]&gt;=70%,Scenario[[#This Row],[Frontier]]=1),1,0)</f>
        <v>0</v>
      </c>
    </row>
    <row r="266" spans="1:14" x14ac:dyDescent="0.25">
      <c r="A266">
        <v>234</v>
      </c>
      <c r="B266">
        <v>0.75</v>
      </c>
      <c r="C266">
        <v>0.25</v>
      </c>
      <c r="D266">
        <v>0</v>
      </c>
      <c r="E266">
        <v>1</v>
      </c>
      <c r="F266">
        <v>0.75</v>
      </c>
      <c r="G266">
        <v>0.25</v>
      </c>
      <c r="H266">
        <v>0.25</v>
      </c>
      <c r="I266">
        <v>0.75</v>
      </c>
      <c r="J266" s="272">
        <f>$C$3*($C$4*$E$4*B265*$B$7)*$G$4+$C$3*($C$4*$E$5*D266*$D$7)*$G$4+$C$3*($C$4*$E$4*C266*$C$7)*$G$5+$C$3*($C$4*$E$5*E266*$E$7)*$G$5+$C$3*($C$5*$E$4*F266*$F$7)*$H$4+$C$3*($C$5*$E$5*H266*$H$7)*$H$4+$C$3*($C$5*$E$5*I266*$I$7)*$H$5+$C$3*($C$5*$E$4*G266*$G$7)*$H$5</f>
        <v>3994938.8324096897</v>
      </c>
      <c r="K266" s="277">
        <f>ROUND(($C$4*$E$4*B266*$B$7+$C$4*$E$4*C266*$C$7+$C$4*$E$5*D266*$D$7+$C$4*$E$5*E266*$E$7+($C$5*$E$4*F266*$F$7+$C$5*$E$4*G266*$G$7+$C$5*$E$5*H266*$H$7+$C$5*$E$5*I266*$I$7)),2)</f>
        <v>0.55000000000000004</v>
      </c>
      <c r="L266" s="276">
        <f>Scenario[[#This Row],[Total Cost]]/(Scenario[[#This Row],[Total Coverage]]*100)</f>
        <v>72635.251498357989</v>
      </c>
      <c r="M266" s="295" cm="1">
        <f t="array" ref="M266">IF(AND(K266=MAX(K$10:K266), L266=MIN(IF(K$10:K266=K266, L$10:L266))), 1, 0)</f>
        <v>0</v>
      </c>
      <c r="N266" s="295">
        <f>IF(AND(Scenario[[#This Row],[Total Coverage]]&gt;=70%,Scenario[[#This Row],[Frontier]]=1),1,0)</f>
        <v>0</v>
      </c>
    </row>
    <row r="267" spans="1:14" x14ac:dyDescent="0.25">
      <c r="A267">
        <v>163</v>
      </c>
      <c r="B267">
        <v>0.75</v>
      </c>
      <c r="C267">
        <v>0.25</v>
      </c>
      <c r="D267">
        <v>0.75</v>
      </c>
      <c r="E267">
        <v>0.25</v>
      </c>
      <c r="F267">
        <v>0.5</v>
      </c>
      <c r="G267">
        <v>0.5</v>
      </c>
      <c r="H267">
        <v>0.5</v>
      </c>
      <c r="I267">
        <v>0.5</v>
      </c>
      <c r="J267" s="272">
        <f>$C$3*($C$4*$E$4*B266*$B$7)*$G$4+$C$3*($C$4*$E$5*D267*$D$7)*$G$4+$C$3*($C$4*$E$4*C267*$C$7)*$G$5+$C$3*($C$4*$E$5*E267*$E$7)*$G$5+$C$3*($C$5*$E$4*F267*$F$7)*$H$4+$C$3*($C$5*$E$5*H267*$H$7)*$H$4+$C$3*($C$5*$E$5*I267*$I$7)*$H$5+$C$3*($C$5*$E$4*G267*$G$7)*$H$5</f>
        <v>4003215.8546754569</v>
      </c>
      <c r="K267" s="277">
        <f>ROUND(($C$4*$E$4*B267*$B$7+$C$4*$E$4*C267*$C$7+$C$4*$E$5*D267*$D$7+$C$4*$E$5*E267*$E$7+($C$5*$E$4*F267*$F$7+$C$5*$E$4*G267*$G$7+$C$5*$E$5*H267*$H$7+$C$5*$E$5*I267*$I$7)),2)</f>
        <v>0.55000000000000004</v>
      </c>
      <c r="L267" s="276">
        <f>Scenario[[#This Row],[Total Cost]]/(Scenario[[#This Row],[Total Coverage]]*100)</f>
        <v>72785.742812281023</v>
      </c>
      <c r="M267" s="295" cm="1">
        <f t="array" ref="M267">IF(AND(K267=MAX(K$10:K267), L267=MIN(IF(K$10:K267=K267, L$10:L267))), 1, 0)</f>
        <v>0</v>
      </c>
      <c r="N267" s="295">
        <f>IF(AND(Scenario[[#This Row],[Total Coverage]]&gt;=70%,Scenario[[#This Row],[Frontier]]=1),1,0)</f>
        <v>0</v>
      </c>
    </row>
    <row r="268" spans="1:14" x14ac:dyDescent="0.25">
      <c r="A268">
        <v>166</v>
      </c>
      <c r="B268">
        <v>0.75</v>
      </c>
      <c r="C268">
        <v>0.25</v>
      </c>
      <c r="D268">
        <v>0.75</v>
      </c>
      <c r="E268">
        <v>0.25</v>
      </c>
      <c r="F268">
        <v>0.25</v>
      </c>
      <c r="G268">
        <v>0.75</v>
      </c>
      <c r="H268">
        <v>1</v>
      </c>
      <c r="I268">
        <v>0</v>
      </c>
      <c r="J268" s="272">
        <f>$C$3*($C$4*$E$4*B267*$B$7)*$G$4+$C$3*($C$4*$E$5*D268*$D$7)*$G$4+$C$3*($C$4*$E$4*C268*$C$7)*$G$5+$C$3*($C$4*$E$5*E268*$E$7)*$G$5+$C$3*($C$5*$E$4*F268*$F$7)*$H$4+$C$3*($C$5*$E$5*H268*$H$7)*$H$4+$C$3*($C$5*$E$5*I268*$I$7)*$H$5+$C$3*($C$5*$E$4*G268*$G$7)*$H$5</f>
        <v>4077959.3268805398</v>
      </c>
      <c r="K268" s="277">
        <f>ROUND(($C$4*$E$4*B268*$B$7+$C$4*$E$4*C268*$C$7+$C$4*$E$5*D268*$D$7+$C$4*$E$5*E268*$E$7+($C$5*$E$4*F268*$F$7+$C$5*$E$4*G268*$G$7+$C$5*$E$5*H268*$H$7+$C$5*$E$5*I268*$I$7)),2)</f>
        <v>0.55000000000000004</v>
      </c>
      <c r="L268" s="276">
        <f>Scenario[[#This Row],[Total Cost]]/(Scenario[[#This Row],[Total Coverage]]*100)</f>
        <v>74144.715034191628</v>
      </c>
      <c r="M268" s="295" cm="1">
        <f t="array" ref="M268">IF(AND(K268=MAX(K$10:K268), L268=MIN(IF(K$10:K268=K268, L$10:L268))), 1, 0)</f>
        <v>0</v>
      </c>
      <c r="N268" s="295">
        <f>IF(AND(Scenario[[#This Row],[Total Coverage]]&gt;=70%,Scenario[[#This Row],[Frontier]]=1),1,0)</f>
        <v>0</v>
      </c>
    </row>
    <row r="269" spans="1:14" x14ac:dyDescent="0.25">
      <c r="A269">
        <v>260</v>
      </c>
      <c r="B269">
        <v>0.5</v>
      </c>
      <c r="C269">
        <v>0.5</v>
      </c>
      <c r="D269">
        <v>1</v>
      </c>
      <c r="E269">
        <v>0</v>
      </c>
      <c r="F269">
        <v>0.75</v>
      </c>
      <c r="G269">
        <v>0.25</v>
      </c>
      <c r="H269">
        <v>0</v>
      </c>
      <c r="I269">
        <v>1</v>
      </c>
      <c r="J269" s="272">
        <f>$C$3*($C$4*$E$4*B268*$B$7)*$G$4+$C$3*($C$4*$E$5*D269*$D$7)*$G$4+$C$3*($C$4*$E$4*C269*$C$7)*$G$5+$C$3*($C$4*$E$5*E269*$E$7)*$G$5+$C$3*($C$5*$E$4*F269*$F$7)*$H$4+$C$3*($C$5*$E$5*H269*$H$7)*$H$4+$C$3*($C$5*$E$5*I269*$I$7)*$H$5+$C$3*($C$5*$E$4*G269*$G$7)*$H$5</f>
        <v>4237217.7666791221</v>
      </c>
      <c r="K269" s="277">
        <f>ROUND(($C$4*$E$4*B269*$B$7+$C$4*$E$4*C269*$C$7+$C$4*$E$5*D269*$D$7+$C$4*$E$5*E269*$E$7+($C$5*$E$4*F269*$F$7+$C$5*$E$4*G269*$G$7+$C$5*$E$5*H269*$H$7+$C$5*$E$5*I269*$I$7)),2)</f>
        <v>0.55000000000000004</v>
      </c>
      <c r="L269" s="276">
        <f>Scenario[[#This Row],[Total Cost]]/(Scenario[[#This Row],[Total Coverage]]*100)</f>
        <v>77040.323030529486</v>
      </c>
      <c r="M269" s="295" cm="1">
        <f t="array" ref="M269">IF(AND(K269=MAX(K$10:K269), L269=MIN(IF(K$10:K269=K269, L$10:L269))), 1, 0)</f>
        <v>0</v>
      </c>
      <c r="N269" s="295">
        <f>IF(AND(Scenario[[#This Row],[Total Coverage]]&gt;=70%,Scenario[[#This Row],[Frontier]]=1),1,0)</f>
        <v>0</v>
      </c>
    </row>
    <row r="270" spans="1:14" x14ac:dyDescent="0.25">
      <c r="A270">
        <v>480</v>
      </c>
      <c r="B270">
        <v>0.25</v>
      </c>
      <c r="C270">
        <v>0.75</v>
      </c>
      <c r="D270">
        <v>0</v>
      </c>
      <c r="E270">
        <v>1</v>
      </c>
      <c r="F270">
        <v>1</v>
      </c>
      <c r="G270">
        <v>0</v>
      </c>
      <c r="H270">
        <v>0</v>
      </c>
      <c r="I270">
        <v>1</v>
      </c>
      <c r="J270" s="272">
        <f>$C$3*($C$4*$E$4*B269*$B$7)*$G$4+$C$3*($C$4*$E$5*D270*$D$7)*$G$4+$C$3*($C$4*$E$4*C270*$C$7)*$G$5+$C$3*($C$4*$E$5*E270*$E$7)*$G$5+$C$3*($C$5*$E$4*F270*$F$7)*$H$4+$C$3*($C$5*$E$5*H270*$H$7)*$H$4+$C$3*($C$5*$E$5*I270*$I$7)*$H$5+$C$3*($C$5*$E$4*G270*$G$7)*$H$5</f>
        <v>4526285.8877687594</v>
      </c>
      <c r="K270" s="277">
        <f>ROUND(($C$4*$E$4*B270*$B$7+$C$4*$E$4*C270*$C$7+$C$4*$E$5*D270*$D$7+$C$4*$E$5*E270*$E$7+($C$5*$E$4*F270*$F$7+$C$5*$E$4*G270*$G$7+$C$5*$E$5*H270*$H$7+$C$5*$E$5*I270*$I$7)),2)</f>
        <v>0.55000000000000004</v>
      </c>
      <c r="L270" s="276">
        <f>Scenario[[#This Row],[Total Cost]]/(Scenario[[#This Row],[Total Coverage]]*100)</f>
        <v>82296.107050341074</v>
      </c>
      <c r="M270" s="295" cm="1">
        <f t="array" ref="M270">IF(AND(K270=MAX(K$10:K270), L270=MIN(IF(K$10:K270=K270, L$10:L270))), 1, 0)</f>
        <v>0</v>
      </c>
      <c r="N270" s="295">
        <f>IF(AND(Scenario[[#This Row],[Total Coverage]]&gt;=70%,Scenario[[#This Row],[Frontier]]=1),1,0)</f>
        <v>0</v>
      </c>
    </row>
    <row r="271" spans="1:14" x14ac:dyDescent="0.25">
      <c r="A271">
        <v>409</v>
      </c>
      <c r="B271">
        <v>0.25</v>
      </c>
      <c r="C271">
        <v>0.75</v>
      </c>
      <c r="D271">
        <v>0.75</v>
      </c>
      <c r="E271">
        <v>0.25</v>
      </c>
      <c r="F271">
        <v>0.75</v>
      </c>
      <c r="G271">
        <v>0.25</v>
      </c>
      <c r="H271">
        <v>0.25</v>
      </c>
      <c r="I271">
        <v>0.75</v>
      </c>
      <c r="J271" s="272">
        <f>$C$3*($C$4*$E$4*B270*$B$7)*$G$4+$C$3*($C$4*$E$5*D271*$D$7)*$G$4+$C$3*($C$4*$E$4*C271*$C$7)*$G$5+$C$3*($C$4*$E$5*E271*$E$7)*$G$5+$C$3*($C$5*$E$4*F271*$F$7)*$H$4+$C$3*($C$5*$E$5*H271*$H$7)*$H$4+$C$3*($C$5*$E$5*I271*$I$7)*$H$5+$C$3*($C$5*$E$4*G271*$G$7)*$H$5</f>
        <v>4321743.6522380272</v>
      </c>
      <c r="K271" s="277">
        <f>ROUND(($C$4*$E$4*B271*$B$7+$C$4*$E$4*C271*$C$7+$C$4*$E$5*D271*$D$7+$C$4*$E$5*E271*$E$7+($C$5*$E$4*F271*$F$7+$C$5*$E$4*G271*$G$7+$C$5*$E$5*H271*$H$7+$C$5*$E$5*I271*$I$7)),2)</f>
        <v>0.55000000000000004</v>
      </c>
      <c r="L271" s="276">
        <f>Scenario[[#This Row],[Total Cost]]/(Scenario[[#This Row],[Total Coverage]]*100)</f>
        <v>78577.157313418662</v>
      </c>
      <c r="M271" s="295" cm="1">
        <f t="array" ref="M271">IF(AND(K271=MAX(K$10:K271), L271=MIN(IF(K$10:K271=K271, L$10:L271))), 1, 0)</f>
        <v>0</v>
      </c>
      <c r="N271" s="295">
        <f>IF(AND(Scenario[[#This Row],[Total Coverage]]&gt;=70%,Scenario[[#This Row],[Frontier]]=1),1,0)</f>
        <v>0</v>
      </c>
    </row>
    <row r="272" spans="1:14" x14ac:dyDescent="0.25">
      <c r="A272">
        <v>555</v>
      </c>
      <c r="B272">
        <v>0</v>
      </c>
      <c r="C272">
        <v>1</v>
      </c>
      <c r="D272">
        <v>0.5</v>
      </c>
      <c r="E272">
        <v>0.5</v>
      </c>
      <c r="F272">
        <v>1</v>
      </c>
      <c r="G272">
        <v>0</v>
      </c>
      <c r="H272">
        <v>0</v>
      </c>
      <c r="I272">
        <v>1</v>
      </c>
      <c r="J272" s="272">
        <f>$C$3*($C$4*$E$4*B271*$B$7)*$G$4+$C$3*($C$4*$E$5*D272*$D$7)*$G$4+$C$3*($C$4*$E$4*C272*$C$7)*$G$5+$C$3*($C$4*$E$5*E272*$E$7)*$G$5+$C$3*($C$5*$E$4*F272*$F$7)*$H$4+$C$3*($C$5*$E$5*H272*$H$7)*$H$4+$C$3*($C$5*$E$5*I272*$I$7)*$H$5+$C$3*($C$5*$E$4*G272*$G$7)*$H$5</f>
        <v>4544345.3233883493</v>
      </c>
      <c r="K272" s="277">
        <f>ROUND(($C$4*$E$4*B272*$B$7+$C$4*$E$4*C272*$C$7+$C$4*$E$5*D272*$D$7+$C$4*$E$5*E272*$E$7+($C$5*$E$4*F272*$F$7+$C$5*$E$4*G272*$G$7+$C$5*$E$5*H272*$H$7+$C$5*$E$5*I272*$I$7)),2)</f>
        <v>0.55000000000000004</v>
      </c>
      <c r="L272" s="276">
        <f>Scenario[[#This Row],[Total Cost]]/(Scenario[[#This Row],[Total Coverage]]*100)</f>
        <v>82624.460425242709</v>
      </c>
      <c r="M272" s="295" cm="1">
        <f t="array" ref="M272">IF(AND(K272=MAX(K$10:K272), L272=MIN(IF(K$10:K272=K272, L$10:L272))), 1, 0)</f>
        <v>0</v>
      </c>
      <c r="N272" s="295">
        <f>IF(AND(Scenario[[#This Row],[Total Coverage]]&gt;=70%,Scenario[[#This Row],[Frontier]]=1),1,0)</f>
        <v>0</v>
      </c>
    </row>
    <row r="273" spans="1:14" x14ac:dyDescent="0.25">
      <c r="A273">
        <v>461</v>
      </c>
      <c r="B273">
        <v>0.25</v>
      </c>
      <c r="C273">
        <v>0.75</v>
      </c>
      <c r="D273">
        <v>0.25</v>
      </c>
      <c r="E273">
        <v>0.75</v>
      </c>
      <c r="F273">
        <v>0.5</v>
      </c>
      <c r="G273">
        <v>0.5</v>
      </c>
      <c r="H273">
        <v>1</v>
      </c>
      <c r="I273">
        <v>0</v>
      </c>
      <c r="J273" s="272">
        <f>$C$3*($C$4*$E$4*B272*$B$7)*$G$4+$C$3*($C$4*$E$5*D273*$D$7)*$G$4+$C$3*($C$4*$E$4*C273*$C$7)*$G$5+$C$3*($C$4*$E$5*E273*$E$7)*$G$5+$C$3*($C$5*$E$4*F273*$F$7)*$H$4+$C$3*($C$5*$E$5*H273*$H$7)*$H$4+$C$3*($C$5*$E$5*I273*$I$7)*$H$5+$C$3*($C$5*$E$4*G273*$G$7)*$H$5</f>
        <v>4278677.2546915179</v>
      </c>
      <c r="K273" s="277">
        <f>ROUND(($C$4*$E$4*B273*$B$7+$C$4*$E$4*C273*$C$7+$C$4*$E$5*D273*$D$7+$C$4*$E$5*E273*$E$7+($C$5*$E$4*F273*$F$7+$C$5*$E$4*G273*$G$7+$C$5*$E$5*H273*$H$7+$C$5*$E$5*I273*$I$7)),2)</f>
        <v>0.55000000000000004</v>
      </c>
      <c r="L273" s="276">
        <f>Scenario[[#This Row],[Total Cost]]/(Scenario[[#This Row],[Total Coverage]]*100)</f>
        <v>77794.131903482135</v>
      </c>
      <c r="M273" s="295" cm="1">
        <f t="array" ref="M273">IF(AND(K273=MAX(K$10:K273), L273=MIN(IF(K$10:K273=K273, L$10:L273))), 1, 0)</f>
        <v>0</v>
      </c>
      <c r="N273" s="295">
        <f>IF(AND(Scenario[[#This Row],[Total Coverage]]&gt;=70%,Scenario[[#This Row],[Frontier]]=1),1,0)</f>
        <v>0</v>
      </c>
    </row>
    <row r="274" spans="1:14" x14ac:dyDescent="0.25">
      <c r="A274">
        <v>558</v>
      </c>
      <c r="B274">
        <v>0</v>
      </c>
      <c r="C274">
        <v>1</v>
      </c>
      <c r="D274">
        <v>0.5</v>
      </c>
      <c r="E274">
        <v>0.5</v>
      </c>
      <c r="F274">
        <v>0.75</v>
      </c>
      <c r="G274">
        <v>0.25</v>
      </c>
      <c r="H274">
        <v>0.5</v>
      </c>
      <c r="I274">
        <v>0.5</v>
      </c>
      <c r="J274" s="272">
        <f>$C$3*($C$4*$E$4*B273*$B$7)*$G$4+$C$3*($C$4*$E$5*D274*$D$7)*$G$4+$C$3*($C$4*$E$4*C274*$C$7)*$G$5+$C$3*($C$4*$E$5*E274*$E$7)*$G$5+$C$3*($C$5*$E$4*F274*$F$7)*$H$4+$C$3*($C$5*$E$5*H274*$H$7)*$H$4+$C$3*($C$5*$E$5*I274*$I$7)*$H$5+$C$3*($C$5*$E$4*G274*$G$7)*$H$5</f>
        <v>4619088.7955934322</v>
      </c>
      <c r="K274" s="277">
        <f>ROUND(($C$4*$E$4*B274*$B$7+$C$4*$E$4*C274*$C$7+$C$4*$E$5*D274*$D$7+$C$4*$E$5*E274*$E$7+($C$5*$E$4*F274*$F$7+$C$5*$E$4*G274*$G$7+$C$5*$E$5*H274*$H$7+$C$5*$E$5*I274*$I$7)),2)</f>
        <v>0.55000000000000004</v>
      </c>
      <c r="L274" s="276">
        <f>Scenario[[#This Row],[Total Cost]]/(Scenario[[#This Row],[Total Coverage]]*100)</f>
        <v>83983.432647153299</v>
      </c>
      <c r="M274" s="295" cm="1">
        <f t="array" ref="M274">IF(AND(K274=MAX(K$10:K274), L274=MIN(IF(K$10:K274=K274, L$10:L274))), 1, 0)</f>
        <v>0</v>
      </c>
      <c r="N274" s="295">
        <f>IF(AND(Scenario[[#This Row],[Total Coverage]]&gt;=70%,Scenario[[#This Row],[Frontier]]=1),1,0)</f>
        <v>0</v>
      </c>
    </row>
    <row r="275" spans="1:14" x14ac:dyDescent="0.25">
      <c r="A275">
        <v>561</v>
      </c>
      <c r="B275">
        <v>0</v>
      </c>
      <c r="C275">
        <v>1</v>
      </c>
      <c r="D275">
        <v>0.5</v>
      </c>
      <c r="E275">
        <v>0.5</v>
      </c>
      <c r="F275">
        <v>0.5</v>
      </c>
      <c r="G275">
        <v>0.5</v>
      </c>
      <c r="H275">
        <v>1</v>
      </c>
      <c r="I275">
        <v>0</v>
      </c>
      <c r="J275" s="272">
        <f>$C$3*($C$4*$E$4*B274*$B$7)*$G$4+$C$3*($C$4*$E$5*D275*$D$7)*$G$4+$C$3*($C$4*$E$4*C275*$C$7)*$G$5+$C$3*($C$4*$E$5*E275*$E$7)*$G$5+$C$3*($C$5*$E$4*F275*$F$7)*$H$4+$C$3*($C$5*$E$5*H275*$H$7)*$H$4+$C$3*($C$5*$E$5*I275*$I$7)*$H$5+$C$3*($C$5*$E$4*G275*$G$7)*$H$5</f>
        <v>4587422.6389002651</v>
      </c>
      <c r="K275" s="277">
        <f>ROUND(($C$4*$E$4*B275*$B$7+$C$4*$E$4*C275*$C$7+$C$4*$E$5*D275*$D$7+$C$4*$E$5*E275*$E$7+($C$5*$E$4*F275*$F$7+$C$5*$E$4*G275*$G$7+$C$5*$E$5*H275*$H$7+$C$5*$E$5*I275*$I$7)),2)</f>
        <v>0.55000000000000004</v>
      </c>
      <c r="L275" s="276">
        <f>Scenario[[#This Row],[Total Cost]]/(Scenario[[#This Row],[Total Coverage]]*100)</f>
        <v>83407.684343641173</v>
      </c>
      <c r="M275" s="295" cm="1">
        <f t="array" ref="M275">IF(AND(K275=MAX(K$10:K275), L275=MIN(IF(K$10:K275=K275, L$10:L275))), 1, 0)</f>
        <v>0</v>
      </c>
      <c r="N275" s="295">
        <f>IF(AND(Scenario[[#This Row],[Total Coverage]]&gt;=70%,Scenario[[#This Row],[Frontier]]=1),1,0)</f>
        <v>0</v>
      </c>
    </row>
    <row r="276" spans="1:14" x14ac:dyDescent="0.25">
      <c r="A276">
        <v>91</v>
      </c>
      <c r="B276">
        <v>1</v>
      </c>
      <c r="C276">
        <v>0</v>
      </c>
      <c r="D276">
        <v>0.25</v>
      </c>
      <c r="E276">
        <v>0.75</v>
      </c>
      <c r="F276">
        <v>0.25</v>
      </c>
      <c r="G276">
        <v>0.75</v>
      </c>
      <c r="H276">
        <v>1</v>
      </c>
      <c r="I276">
        <v>0</v>
      </c>
      <c r="J276" s="272">
        <f>$C$3*($C$4*$E$4*B275*$B$7)*$G$4+$C$3*($C$4*$E$5*D276*$D$7)*$G$4+$C$3*($C$4*$E$4*C276*$C$7)*$G$5+$C$3*($C$4*$E$5*E276*$E$7)*$G$5+$C$3*($C$5*$E$4*F276*$F$7)*$H$4+$C$3*($C$5*$E$5*H276*$H$7)*$H$4+$C$3*($C$5*$E$5*I276*$I$7)*$H$5+$C$3*($C$5*$E$4*G276*$G$7)*$H$5</f>
        <v>3634261.375667952</v>
      </c>
      <c r="K276" s="277">
        <f>ROUND(($C$4*$E$4*B276*$B$7+$C$4*$E$4*C276*$C$7+$C$4*$E$5*D276*$D$7+$C$4*$E$5*E276*$E$7+($C$5*$E$4*F276*$F$7+$C$5*$E$4*G276*$G$7+$C$5*$E$5*H276*$H$7+$C$5*$E$5*I276*$I$7)),2)</f>
        <v>0.56000000000000005</v>
      </c>
      <c r="L276" s="276">
        <f>Scenario[[#This Row],[Total Cost]]/(Scenario[[#This Row],[Total Coverage]]*100)</f>
        <v>64897.524565499138</v>
      </c>
      <c r="M276" s="295" cm="1">
        <f t="array" ref="M276">IF(AND(K276=MAX(K$10:K276), L276=MIN(IF(K$10:K276=K276, L$10:L276))), 1, 0)</f>
        <v>1</v>
      </c>
      <c r="N276" s="295">
        <f>IF(AND(Scenario[[#This Row],[Total Coverage]]&gt;=70%,Scenario[[#This Row],[Frontier]]=1),1,0)</f>
        <v>0</v>
      </c>
    </row>
    <row r="277" spans="1:14" x14ac:dyDescent="0.25">
      <c r="A277">
        <v>110</v>
      </c>
      <c r="B277">
        <v>1</v>
      </c>
      <c r="C277">
        <v>0</v>
      </c>
      <c r="D277">
        <v>0</v>
      </c>
      <c r="E277">
        <v>1</v>
      </c>
      <c r="F277">
        <v>0.75</v>
      </c>
      <c r="G277">
        <v>0.25</v>
      </c>
      <c r="H277">
        <v>0</v>
      </c>
      <c r="I277">
        <v>1</v>
      </c>
      <c r="J277" s="272">
        <f>$C$3*($C$4*$E$4*B276*$B$7)*$G$4+$C$3*($C$4*$E$5*D277*$D$7)*$G$4+$C$3*($C$4*$E$4*C277*$C$7)*$G$5+$C$3*($C$4*$E$5*E277*$E$7)*$G$5+$C$3*($C$5*$E$4*F277*$F$7)*$H$4+$C$3*($C$5*$E$5*H277*$H$7)*$H$4+$C$3*($C$5*$E$5*I277*$I$7)*$H$5+$C$3*($C$5*$E$4*G277*$G$7)*$H$5</f>
        <v>4094689.2665416924</v>
      </c>
      <c r="K277" s="277">
        <f>ROUND(($C$4*$E$4*B277*$B$7+$C$4*$E$4*C277*$C$7+$C$4*$E$5*D277*$D$7+$C$4*$E$5*E277*$E$7+($C$5*$E$4*F277*$F$7+$C$5*$E$4*G277*$G$7+$C$5*$E$5*H277*$H$7+$C$5*$E$5*I277*$I$7)),2)</f>
        <v>0.56000000000000005</v>
      </c>
      <c r="L277" s="276">
        <f>Scenario[[#This Row],[Total Cost]]/(Scenario[[#This Row],[Total Coverage]]*100)</f>
        <v>73119.451188244493</v>
      </c>
      <c r="M277" s="295" cm="1">
        <f t="array" ref="M277">IF(AND(K277=MAX(K$10:K277), L277=MIN(IF(K$10:K277=K277, L$10:L277))), 1, 0)</f>
        <v>0</v>
      </c>
      <c r="N277" s="295">
        <f>IF(AND(Scenario[[#This Row],[Total Coverage]]&gt;=70%,Scenario[[#This Row],[Frontier]]=1),1,0)</f>
        <v>0</v>
      </c>
    </row>
    <row r="278" spans="1:14" x14ac:dyDescent="0.25">
      <c r="A278">
        <v>39</v>
      </c>
      <c r="B278">
        <v>1</v>
      </c>
      <c r="C278">
        <v>0</v>
      </c>
      <c r="D278">
        <v>0.75</v>
      </c>
      <c r="E278">
        <v>0.25</v>
      </c>
      <c r="F278">
        <v>0.5</v>
      </c>
      <c r="G278">
        <v>0.5</v>
      </c>
      <c r="H278">
        <v>0.25</v>
      </c>
      <c r="I278">
        <v>0.75</v>
      </c>
      <c r="J278" s="272">
        <f>$C$3*($C$4*$E$4*B277*$B$7)*$G$4+$C$3*($C$4*$E$5*D278*$D$7)*$G$4+$C$3*($C$4*$E$4*C278*$C$7)*$G$5+$C$3*($C$4*$E$5*E278*$E$7)*$G$5+$C$3*($C$5*$E$4*F278*$F$7)*$H$4+$C$3*($C$5*$E$5*H278*$H$7)*$H$4+$C$3*($C$5*$E$5*I278*$I$7)*$H$5+$C$3*($C$5*$E$4*G278*$G$7)*$H$5</f>
        <v>3996556.6599092102</v>
      </c>
      <c r="K278" s="277">
        <f>ROUND(($C$4*$E$4*B278*$B$7+$C$4*$E$4*C278*$C$7+$C$4*$E$5*D278*$D$7+$C$4*$E$5*E278*$E$7+($C$5*$E$4*F278*$F$7+$C$5*$E$4*G278*$G$7+$C$5*$E$5*H278*$H$7+$C$5*$E$5*I278*$I$7)),2)</f>
        <v>0.56000000000000005</v>
      </c>
      <c r="L278" s="276">
        <f>Scenario[[#This Row],[Total Cost]]/(Scenario[[#This Row],[Total Coverage]]*100)</f>
        <v>71367.083212664453</v>
      </c>
      <c r="M278" s="295" cm="1">
        <f t="array" ref="M278">IF(AND(K278=MAX(K$10:K278), L278=MIN(IF(K$10:K278=K278, L$10:L278))), 1, 0)</f>
        <v>0</v>
      </c>
      <c r="N278" s="295">
        <f>IF(AND(Scenario[[#This Row],[Total Coverage]]&gt;=70%,Scenario[[#This Row],[Frontier]]=1),1,0)</f>
        <v>0</v>
      </c>
    </row>
    <row r="279" spans="1:14" x14ac:dyDescent="0.25">
      <c r="A279">
        <v>188</v>
      </c>
      <c r="B279">
        <v>0.75</v>
      </c>
      <c r="C279">
        <v>0.25</v>
      </c>
      <c r="D279">
        <v>0.5</v>
      </c>
      <c r="E279">
        <v>0.5</v>
      </c>
      <c r="F279">
        <v>0.5</v>
      </c>
      <c r="G279">
        <v>0.5</v>
      </c>
      <c r="H279">
        <v>0.5</v>
      </c>
      <c r="I279">
        <v>0.5</v>
      </c>
      <c r="J279" s="272">
        <f>$C$3*($C$4*$E$4*B278*$B$7)*$G$4+$C$3*($C$4*$E$5*D279*$D$7)*$G$4+$C$3*($C$4*$E$4*C279*$C$7)*$G$5+$C$3*($C$4*$E$5*E279*$E$7)*$G$5+$C$3*($C$5*$E$4*F279*$F$7)*$H$4+$C$3*($C$5*$E$5*H279*$H$7)*$H$4+$C$3*($C$5*$E$5*I279*$I$7)*$H$5+$C$3*($C$5*$E$4*G279*$G$7)*$H$5</f>
        <v>4293901.8032646142</v>
      </c>
      <c r="K279" s="277">
        <f>ROUND(($C$4*$E$4*B279*$B$7+$C$4*$E$4*C279*$C$7+$C$4*$E$5*D279*$D$7+$C$4*$E$5*E279*$E$7+($C$5*$E$4*F279*$F$7+$C$5*$E$4*G279*$G$7+$C$5*$E$5*H279*$H$7+$C$5*$E$5*I279*$I$7)),2)</f>
        <v>0.56000000000000005</v>
      </c>
      <c r="L279" s="276">
        <f>Scenario[[#This Row],[Total Cost]]/(Scenario[[#This Row],[Total Coverage]]*100)</f>
        <v>76676.817915439533</v>
      </c>
      <c r="M279" s="295" cm="1">
        <f t="array" ref="M279">IF(AND(K279=MAX(K$10:K279), L279=MIN(IF(K$10:K279=K279, L$10:L279))), 1, 0)</f>
        <v>0</v>
      </c>
      <c r="N279" s="295">
        <f>IF(AND(Scenario[[#This Row],[Total Coverage]]&gt;=70%,Scenario[[#This Row],[Frontier]]=1),1,0)</f>
        <v>0</v>
      </c>
    </row>
    <row r="280" spans="1:14" x14ac:dyDescent="0.25">
      <c r="A280">
        <v>337</v>
      </c>
      <c r="B280">
        <v>0.5</v>
      </c>
      <c r="C280">
        <v>0.5</v>
      </c>
      <c r="D280">
        <v>0.25</v>
      </c>
      <c r="E280">
        <v>0.75</v>
      </c>
      <c r="F280">
        <v>0.5</v>
      </c>
      <c r="G280">
        <v>0.5</v>
      </c>
      <c r="H280">
        <v>0.75</v>
      </c>
      <c r="I280">
        <v>0.25</v>
      </c>
      <c r="J280" s="272">
        <f>$C$3*($C$4*$E$4*B279*$B$7)*$G$4+$C$3*($C$4*$E$5*D280*$D$7)*$G$4+$C$3*($C$4*$E$4*C280*$C$7)*$G$5+$C$3*($C$4*$E$5*E280*$E$7)*$G$5+$C$3*($C$5*$E$4*F280*$F$7)*$H$4+$C$3*($C$5*$E$5*H280*$H$7)*$H$4+$C$3*($C$5*$E$5*I280*$I$7)*$H$5+$C$3*($C$5*$E$4*G280*$G$7)*$H$5</f>
        <v>4484837.3177217701</v>
      </c>
      <c r="K280" s="277">
        <f>ROUND(($C$4*$E$4*B280*$B$7+$C$4*$E$4*C280*$C$7+$C$4*$E$5*D280*$D$7+$C$4*$E$5*E280*$E$7+($C$5*$E$4*F280*$F$7+$C$5*$E$4*G280*$G$7+$C$5*$E$5*H280*$H$7+$C$5*$E$5*I280*$I$7)),2)</f>
        <v>0.56000000000000005</v>
      </c>
      <c r="L280" s="276">
        <f>Scenario[[#This Row],[Total Cost]]/(Scenario[[#This Row],[Total Coverage]]*100)</f>
        <v>80086.380673603024</v>
      </c>
      <c r="M280" s="295" cm="1">
        <f t="array" ref="M280">IF(AND(K280=MAX(K$10:K280), L280=MIN(IF(K$10:K280=K280, L$10:L280))), 1, 0)</f>
        <v>0</v>
      </c>
      <c r="N280" s="295">
        <f>IF(AND(Scenario[[#This Row],[Total Coverage]]&gt;=70%,Scenario[[#This Row],[Frontier]]=1),1,0)</f>
        <v>0</v>
      </c>
    </row>
    <row r="281" spans="1:14" x14ac:dyDescent="0.25">
      <c r="A281">
        <v>334</v>
      </c>
      <c r="B281">
        <v>0.5</v>
      </c>
      <c r="C281">
        <v>0.5</v>
      </c>
      <c r="D281">
        <v>0.25</v>
      </c>
      <c r="E281">
        <v>0.75</v>
      </c>
      <c r="F281">
        <v>0.75</v>
      </c>
      <c r="G281">
        <v>0.25</v>
      </c>
      <c r="H281">
        <v>0.25</v>
      </c>
      <c r="I281">
        <v>0.75</v>
      </c>
      <c r="J281" s="272">
        <f>$C$3*($C$4*$E$4*B280*$B$7)*$G$4+$C$3*($C$4*$E$5*D281*$D$7)*$G$4+$C$3*($C$4*$E$4*C281*$C$7)*$G$5+$C$3*($C$4*$E$5*E281*$E$7)*$G$5+$C$3*($C$5*$E$4*F281*$F$7)*$H$4+$C$3*($C$5*$E$5*H281*$H$7)*$H$4+$C$3*($C$5*$E$5*I281*$I$7)*$H$5+$C$3*($C$5*$E$4*G281*$G$7)*$H$5</f>
        <v>4303684.2166184373</v>
      </c>
      <c r="K281" s="277">
        <f>ROUND(($C$4*$E$4*B281*$B$7+$C$4*$E$4*C281*$C$7+$C$4*$E$5*D281*$D$7+$C$4*$E$5*E281*$E$7+($C$5*$E$4*F281*$F$7+$C$5*$E$4*G281*$G$7+$C$5*$E$5*H281*$H$7+$C$5*$E$5*I281*$I$7)),2)</f>
        <v>0.56000000000000005</v>
      </c>
      <c r="L281" s="276">
        <f>Scenario[[#This Row],[Total Cost]]/(Scenario[[#This Row],[Total Coverage]]*100)</f>
        <v>76851.503868186366</v>
      </c>
      <c r="M281" s="295" cm="1">
        <f t="array" ref="M281">IF(AND(K281=MAX(K$10:K281), L281=MIN(IF(K$10:K281=K281, L$10:L281))), 1, 0)</f>
        <v>0</v>
      </c>
      <c r="N281" s="295">
        <f>IF(AND(Scenario[[#This Row],[Total Coverage]]&gt;=70%,Scenario[[#This Row],[Frontier]]=1),1,0)</f>
        <v>0</v>
      </c>
    </row>
    <row r="282" spans="1:14" x14ac:dyDescent="0.25">
      <c r="A282">
        <v>263</v>
      </c>
      <c r="B282">
        <v>0.5</v>
      </c>
      <c r="C282">
        <v>0.5</v>
      </c>
      <c r="D282">
        <v>1</v>
      </c>
      <c r="E282">
        <v>0</v>
      </c>
      <c r="F282">
        <v>0.5</v>
      </c>
      <c r="G282">
        <v>0.5</v>
      </c>
      <c r="H282">
        <v>0.5</v>
      </c>
      <c r="I282">
        <v>0.5</v>
      </c>
      <c r="J282" s="272">
        <f>$C$3*($C$4*$E$4*B281*$B$7)*$G$4+$C$3*($C$4*$E$5*D282*$D$7)*$G$4+$C$3*($C$4*$E$4*C282*$C$7)*$G$5+$C$3*($C$4*$E$5*E282*$E$7)*$G$5+$C$3*($C$5*$E$4*F282*$F$7)*$H$4+$C$3*($C$5*$E$5*H282*$H$7)*$H$4+$C$3*($C$5*$E$5*I282*$I$7)*$H$5+$C$3*($C$5*$E$4*G282*$G$7)*$H$5</f>
        <v>4205551.6099859551</v>
      </c>
      <c r="K282" s="277">
        <f>ROUND(($C$4*$E$4*B282*$B$7+$C$4*$E$4*C282*$C$7+$C$4*$E$5*D282*$D$7+$C$4*$E$5*E282*$E$7+($C$5*$E$4*F282*$F$7+$C$5*$E$4*G282*$G$7+$C$5*$E$5*H282*$H$7+$C$5*$E$5*I282*$I$7)),2)</f>
        <v>0.56000000000000005</v>
      </c>
      <c r="L282" s="276">
        <f>Scenario[[#This Row],[Total Cost]]/(Scenario[[#This Row],[Total Coverage]]*100)</f>
        <v>75099.135892606326</v>
      </c>
      <c r="M282" s="295" cm="1">
        <f t="array" ref="M282">IF(AND(K282=MAX(K$10:K282), L282=MIN(IF(K$10:K282=K282, L$10:L282))), 1, 0)</f>
        <v>0</v>
      </c>
      <c r="N282" s="295">
        <f>IF(AND(Scenario[[#This Row],[Total Coverage]]&gt;=70%,Scenario[[#This Row],[Frontier]]=1),1,0)</f>
        <v>0</v>
      </c>
    </row>
    <row r="283" spans="1:14" x14ac:dyDescent="0.25">
      <c r="A283">
        <v>185</v>
      </c>
      <c r="B283">
        <v>0.75</v>
      </c>
      <c r="C283">
        <v>0.25</v>
      </c>
      <c r="D283">
        <v>0.5</v>
      </c>
      <c r="E283">
        <v>0.5</v>
      </c>
      <c r="F283">
        <v>0.75</v>
      </c>
      <c r="G283">
        <v>0.25</v>
      </c>
      <c r="H283">
        <v>0</v>
      </c>
      <c r="I283">
        <v>1</v>
      </c>
      <c r="J283" s="272">
        <f>$C$3*($C$4*$E$4*B282*$B$7)*$G$4+$C$3*($C$4*$E$5*D283*$D$7)*$G$4+$C$3*($C$4*$E$4*C283*$C$7)*$G$5+$C$3*($C$4*$E$5*E283*$E$7)*$G$5+$C$3*($C$5*$E$4*F283*$F$7)*$H$4+$C$3*($C$5*$E$5*H283*$H$7)*$H$4+$C$3*($C$5*$E$5*I283*$I$7)*$H$5+$C$3*($C$5*$E$4*G283*$G$7)*$H$5</f>
        <v>4006339.0732630333</v>
      </c>
      <c r="K283" s="277">
        <f>ROUND(($C$4*$E$4*B283*$B$7+$C$4*$E$4*C283*$C$7+$C$4*$E$5*D283*$D$7+$C$4*$E$5*E283*$E$7+($C$5*$E$4*F283*$F$7+$C$5*$E$4*G283*$G$7+$C$5*$E$5*H283*$H$7+$C$5*$E$5*I283*$I$7)),2)</f>
        <v>0.56000000000000005</v>
      </c>
      <c r="L283" s="276">
        <f>Scenario[[#This Row],[Total Cost]]/(Scenario[[#This Row],[Total Coverage]]*100)</f>
        <v>71541.7691654113</v>
      </c>
      <c r="M283" s="295" cm="1">
        <f t="array" ref="M283">IF(AND(K283=MAX(K$10:K283), L283=MIN(IF(K$10:K283=K283, L$10:L283))), 1, 0)</f>
        <v>0</v>
      </c>
      <c r="N283" s="295">
        <f>IF(AND(Scenario[[#This Row],[Total Coverage]]&gt;=70%,Scenario[[#This Row],[Frontier]]=1),1,0)</f>
        <v>0</v>
      </c>
    </row>
    <row r="284" spans="1:14" x14ac:dyDescent="0.25">
      <c r="A284">
        <v>266</v>
      </c>
      <c r="B284">
        <v>0.5</v>
      </c>
      <c r="C284">
        <v>0.5</v>
      </c>
      <c r="D284">
        <v>1</v>
      </c>
      <c r="E284">
        <v>0</v>
      </c>
      <c r="F284">
        <v>0.25</v>
      </c>
      <c r="G284">
        <v>0.75</v>
      </c>
      <c r="H284">
        <v>1</v>
      </c>
      <c r="I284">
        <v>0</v>
      </c>
      <c r="J284" s="272">
        <f>$C$3*($C$4*$E$4*B283*$B$7)*$G$4+$C$3*($C$4*$E$5*D284*$D$7)*$G$4+$C$3*($C$4*$E$4*C284*$C$7)*$G$5+$C$3*($C$4*$E$5*E284*$E$7)*$G$5+$C$3*($C$5*$E$4*F284*$F$7)*$H$4+$C$3*($C$5*$E$5*H284*$H$7)*$H$4+$C$3*($C$5*$E$5*I284*$I$7)*$H$5+$C$3*($C$5*$E$4*G284*$G$7)*$H$5</f>
        <v>4386704.7110892879</v>
      </c>
      <c r="K284" s="277">
        <f>ROUND(($C$4*$E$4*B284*$B$7+$C$4*$E$4*C284*$C$7+$C$4*$E$5*D284*$D$7+$C$4*$E$5*E284*$E$7+($C$5*$E$4*F284*$F$7+$C$5*$E$4*G284*$G$7+$C$5*$E$5*H284*$H$7+$C$5*$E$5*I284*$I$7)),2)</f>
        <v>0.56000000000000005</v>
      </c>
      <c r="L284" s="276">
        <f>Scenario[[#This Row],[Total Cost]]/(Scenario[[#This Row],[Total Coverage]]*100)</f>
        <v>78334.012698022983</v>
      </c>
      <c r="M284" s="295" cm="1">
        <f t="array" ref="M284">IF(AND(K284=MAX(K$10:K284), L284=MIN(IF(K$10:K284=K284, L$10:L284))), 1, 0)</f>
        <v>0</v>
      </c>
      <c r="N284" s="295">
        <f>IF(AND(Scenario[[#This Row],[Total Coverage]]&gt;=70%,Scenario[[#This Row],[Frontier]]=1),1,0)</f>
        <v>0</v>
      </c>
    </row>
    <row r="285" spans="1:14" x14ac:dyDescent="0.25">
      <c r="A285">
        <v>483</v>
      </c>
      <c r="B285">
        <v>0.25</v>
      </c>
      <c r="C285">
        <v>0.75</v>
      </c>
      <c r="D285">
        <v>0</v>
      </c>
      <c r="E285">
        <v>1</v>
      </c>
      <c r="F285">
        <v>0.75</v>
      </c>
      <c r="G285">
        <v>0.25</v>
      </c>
      <c r="H285">
        <v>0.5</v>
      </c>
      <c r="I285">
        <v>0.5</v>
      </c>
      <c r="J285" s="272">
        <f>$C$3*($C$4*$E$4*B284*$B$7)*$G$4+$C$3*($C$4*$E$5*D285*$D$7)*$G$4+$C$3*($C$4*$E$4*C285*$C$7)*$G$5+$C$3*($C$4*$E$5*E285*$E$7)*$G$5+$C$3*($C$5*$E$4*F285*$F$7)*$H$4+$C$3*($C$5*$E$5*H285*$H$7)*$H$4+$C$3*($C$5*$E$5*I285*$I$7)*$H$5+$C$3*($C$5*$E$4*G285*$G$7)*$H$5</f>
        <v>4601029.3599738423</v>
      </c>
      <c r="K285" s="277">
        <f>ROUND(($C$4*$E$4*B285*$B$7+$C$4*$E$4*C285*$C$7+$C$4*$E$5*D285*$D$7+$C$4*$E$5*E285*$E$7+($C$5*$E$4*F285*$F$7+$C$5*$E$4*G285*$G$7+$C$5*$E$5*H285*$H$7+$C$5*$E$5*I285*$I$7)),2)</f>
        <v>0.56000000000000005</v>
      </c>
      <c r="L285" s="276">
        <f>Scenario[[#This Row],[Total Cost]]/(Scenario[[#This Row],[Total Coverage]]*100)</f>
        <v>82161.238570961461</v>
      </c>
      <c r="M285" s="295" cm="1">
        <f t="array" ref="M285">IF(AND(K285=MAX(K$10:K285), L285=MIN(IF(K$10:K285=K285, L$10:L285))), 1, 0)</f>
        <v>0</v>
      </c>
      <c r="N285" s="295">
        <f>IF(AND(Scenario[[#This Row],[Total Coverage]]&gt;=70%,Scenario[[#This Row],[Frontier]]=1),1,0)</f>
        <v>0</v>
      </c>
    </row>
    <row r="286" spans="1:14" x14ac:dyDescent="0.25">
      <c r="A286">
        <v>412</v>
      </c>
      <c r="B286">
        <v>0.25</v>
      </c>
      <c r="C286">
        <v>0.75</v>
      </c>
      <c r="D286">
        <v>0.75</v>
      </c>
      <c r="E286">
        <v>0.25</v>
      </c>
      <c r="F286">
        <v>0.5</v>
      </c>
      <c r="G286">
        <v>0.5</v>
      </c>
      <c r="H286">
        <v>0.75</v>
      </c>
      <c r="I286">
        <v>0.25</v>
      </c>
      <c r="J286" s="272">
        <f>$C$3*($C$4*$E$4*B285*$B$7)*$G$4+$C$3*($C$4*$E$5*D286*$D$7)*$G$4+$C$3*($C$4*$E$4*C286*$C$7)*$G$5+$C$3*($C$4*$E$5*E286*$E$7)*$G$5+$C$3*($C$5*$E$4*F286*$F$7)*$H$4+$C$3*($C$5*$E$5*H286*$H$7)*$H$4+$C$3*($C$5*$E$5*I286*$I$7)*$H$5+$C$3*($C$5*$E$4*G286*$G$7)*$H$5</f>
        <v>4396487.1244431101</v>
      </c>
      <c r="K286" s="277">
        <f>ROUND(($C$4*$E$4*B286*$B$7+$C$4*$E$4*C286*$C$7+$C$4*$E$5*D286*$D$7+$C$4*$E$5*E286*$E$7+($C$5*$E$4*F286*$F$7+$C$5*$E$4*G286*$G$7+$C$5*$E$5*H286*$H$7+$C$5*$E$5*I286*$I$7)),2)</f>
        <v>0.56000000000000005</v>
      </c>
      <c r="L286" s="276">
        <f>Scenario[[#This Row],[Total Cost]]/(Scenario[[#This Row],[Total Coverage]]*100)</f>
        <v>78508.698650769817</v>
      </c>
      <c r="M286" s="295" cm="1">
        <f t="array" ref="M286">IF(AND(K286=MAX(K$10:K286), L286=MIN(IF(K$10:K286=K286, L$10:L286))), 1, 0)</f>
        <v>0</v>
      </c>
      <c r="N286" s="295">
        <f>IF(AND(Scenario[[#This Row],[Total Coverage]]&gt;=70%,Scenario[[#This Row],[Frontier]]=1),1,0)</f>
        <v>0</v>
      </c>
    </row>
    <row r="287" spans="1:14" x14ac:dyDescent="0.25">
      <c r="A287">
        <v>509</v>
      </c>
      <c r="B287">
        <v>0</v>
      </c>
      <c r="C287">
        <v>1</v>
      </c>
      <c r="D287">
        <v>1</v>
      </c>
      <c r="E287">
        <v>0</v>
      </c>
      <c r="F287">
        <v>0.75</v>
      </c>
      <c r="G287">
        <v>0.25</v>
      </c>
      <c r="H287">
        <v>0.25</v>
      </c>
      <c r="I287">
        <v>0.75</v>
      </c>
      <c r="J287" s="272">
        <f>$C$3*($C$4*$E$4*B286*$B$7)*$G$4+$C$3*($C$4*$E$5*D287*$D$7)*$G$4+$C$3*($C$4*$E$4*C287*$C$7)*$G$5+$C$3*($C$4*$E$5*E287*$E$7)*$G$5+$C$3*($C$5*$E$4*F287*$F$7)*$H$4+$C$3*($C$5*$E$5*H287*$H$7)*$H$4+$C$3*($C$5*$E$5*I287*$I$7)*$H$5+$C$3*($C$5*$E$4*G287*$G$7)*$H$5</f>
        <v>4630489.0364467753</v>
      </c>
      <c r="K287" s="277">
        <f>ROUND(($C$4*$E$4*B287*$B$7+$C$4*$E$4*C287*$C$7+$C$4*$E$5*D287*$D$7+$C$4*$E$5*E287*$E$7+($C$5*$E$4*F287*$F$7+$C$5*$E$4*G287*$G$7+$C$5*$E$5*H287*$H$7+$C$5*$E$5*I287*$I$7)),2)</f>
        <v>0.56000000000000005</v>
      </c>
      <c r="L287" s="276">
        <f>Scenario[[#This Row],[Total Cost]]/(Scenario[[#This Row],[Total Coverage]]*100)</f>
        <v>82687.304222263832</v>
      </c>
      <c r="M287" s="295" cm="1">
        <f t="array" ref="M287">IF(AND(K287=MAX(K$10:K287), L287=MIN(IF(K$10:K287=K287, L$10:L287))), 1, 0)</f>
        <v>0</v>
      </c>
      <c r="N287" s="295">
        <f>IF(AND(Scenario[[#This Row],[Total Coverage]]&gt;=70%,Scenario[[#This Row],[Frontier]]=1),1,0)</f>
        <v>0</v>
      </c>
    </row>
    <row r="288" spans="1:14" x14ac:dyDescent="0.25">
      <c r="A288">
        <v>512</v>
      </c>
      <c r="B288">
        <v>0</v>
      </c>
      <c r="C288">
        <v>1</v>
      </c>
      <c r="D288">
        <v>1</v>
      </c>
      <c r="E288">
        <v>0</v>
      </c>
      <c r="F288">
        <v>0.5</v>
      </c>
      <c r="G288">
        <v>0.5</v>
      </c>
      <c r="H288">
        <v>0.75</v>
      </c>
      <c r="I288">
        <v>0.25</v>
      </c>
      <c r="J288" s="272">
        <f>$C$3*($C$4*$E$4*B287*$B$7)*$G$4+$C$3*($C$4*$E$5*D288*$D$7)*$G$4+$C$3*($C$4*$E$4*C288*$C$7)*$G$5+$C$3*($C$4*$E$5*E288*$E$7)*$G$5+$C$3*($C$5*$E$4*F288*$F$7)*$H$4+$C$3*($C$5*$E$5*H288*$H$7)*$H$4+$C$3*($C$5*$E$5*I288*$I$7)*$H$5+$C$3*($C$5*$E$4*G288*$G$7)*$H$5</f>
        <v>4598822.8797536083</v>
      </c>
      <c r="K288" s="277">
        <f>ROUND(($C$4*$E$4*B288*$B$7+$C$4*$E$4*C288*$C$7+$C$4*$E$5*D288*$D$7+$C$4*$E$5*E288*$E$7+($C$5*$E$4*F288*$F$7+$C$5*$E$4*G288*$G$7+$C$5*$E$5*H288*$H$7+$C$5*$E$5*I288*$I$7)),2)</f>
        <v>0.56000000000000005</v>
      </c>
      <c r="L288" s="276">
        <f>Scenario[[#This Row],[Total Cost]]/(Scenario[[#This Row],[Total Coverage]]*100)</f>
        <v>82121.837138457282</v>
      </c>
      <c r="M288" s="295" cm="1">
        <f t="array" ref="M288">IF(AND(K288=MAX(K$10:K288), L288=MIN(IF(K$10:K288=K288, L$10:L288))), 1, 0)</f>
        <v>0</v>
      </c>
      <c r="N288" s="295">
        <f>IF(AND(Scenario[[#This Row],[Total Coverage]]&gt;=70%,Scenario[[#This Row],[Frontier]]=1),1,0)</f>
        <v>0</v>
      </c>
    </row>
    <row r="289" spans="1:14" x14ac:dyDescent="0.25">
      <c r="A289">
        <v>580</v>
      </c>
      <c r="B289">
        <v>0</v>
      </c>
      <c r="C289">
        <v>1</v>
      </c>
      <c r="D289">
        <v>0.25</v>
      </c>
      <c r="E289">
        <v>0.75</v>
      </c>
      <c r="F289">
        <v>1</v>
      </c>
      <c r="G289">
        <v>0</v>
      </c>
      <c r="H289">
        <v>0</v>
      </c>
      <c r="I289">
        <v>1</v>
      </c>
      <c r="J289" s="272">
        <f>$C$3*($C$4*$E$4*B288*$B$7)*$G$4+$C$3*($C$4*$E$5*D289*$D$7)*$G$4+$C$3*($C$4*$E$4*C289*$C$7)*$G$5+$C$3*($C$4*$E$5*E289*$E$7)*$G$5+$C$3*($C$5*$E$4*F289*$F$7)*$H$4+$C$3*($C$5*$E$5*H289*$H$7)*$H$4+$C$3*($C$5*$E$5*I289*$I$7)*$H$5+$C$3*($C$5*$E$4*G289*$G$7)*$H$5</f>
        <v>4622212.0141810086</v>
      </c>
      <c r="K289" s="277">
        <f>ROUND(($C$4*$E$4*B289*$B$7+$C$4*$E$4*C289*$C$7+$C$4*$E$5*D289*$D$7+$C$4*$E$5*E289*$E$7+($C$5*$E$4*F289*$F$7+$C$5*$E$4*G289*$G$7+$C$5*$E$5*H289*$H$7+$C$5*$E$5*I289*$I$7)),2)</f>
        <v>0.56000000000000005</v>
      </c>
      <c r="L289" s="276">
        <f>Scenario[[#This Row],[Total Cost]]/(Scenario[[#This Row],[Total Coverage]]*100)</f>
        <v>82539.500253232283</v>
      </c>
      <c r="M289" s="295" cm="1">
        <f t="array" ref="M289">IF(AND(K289=MAX(K$10:K289), L289=MIN(IF(K$10:K289=K289, L$10:L289))), 1, 0)</f>
        <v>0</v>
      </c>
      <c r="N289" s="295">
        <f>IF(AND(Scenario[[#This Row],[Total Coverage]]&gt;=70%,Scenario[[#This Row],[Frontier]]=1),1,0)</f>
        <v>0</v>
      </c>
    </row>
    <row r="290" spans="1:14" x14ac:dyDescent="0.25">
      <c r="A290">
        <v>486</v>
      </c>
      <c r="B290">
        <v>0.25</v>
      </c>
      <c r="C290">
        <v>0.75</v>
      </c>
      <c r="D290">
        <v>0</v>
      </c>
      <c r="E290">
        <v>1</v>
      </c>
      <c r="F290">
        <v>0.5</v>
      </c>
      <c r="G290">
        <v>0.5</v>
      </c>
      <c r="H290">
        <v>1</v>
      </c>
      <c r="I290">
        <v>0</v>
      </c>
      <c r="J290" s="272">
        <f>$C$3*($C$4*$E$4*B289*$B$7)*$G$4+$C$3*($C$4*$E$5*D290*$D$7)*$G$4+$C$3*($C$4*$E$4*C290*$C$7)*$G$5+$C$3*($C$4*$E$5*E290*$E$7)*$G$5+$C$3*($C$5*$E$4*F290*$F$7)*$H$4+$C$3*($C$5*$E$5*H290*$H$7)*$H$4+$C$3*($C$5*$E$5*I290*$I$7)*$H$5+$C$3*($C$5*$E$4*G290*$G$7)*$H$5</f>
        <v>4462953.5743824262</v>
      </c>
      <c r="K290" s="277">
        <f>ROUND(($C$4*$E$4*B290*$B$7+$C$4*$E$4*C290*$C$7+$C$4*$E$5*D290*$D$7+$C$4*$E$5*E290*$E$7+($C$5*$E$4*F290*$F$7+$C$5*$E$4*G290*$G$7+$C$5*$E$5*H290*$H$7+$C$5*$E$5*I290*$I$7)),2)</f>
        <v>0.56000000000000005</v>
      </c>
      <c r="L290" s="276">
        <f>Scenario[[#This Row],[Total Cost]]/(Scenario[[#This Row],[Total Coverage]]*100)</f>
        <v>79695.599542543321</v>
      </c>
      <c r="M290" s="295" cm="1">
        <f t="array" ref="M290">IF(AND(K290=MAX(K$10:K290), L290=MIN(IF(K$10:K290=K290, L$10:L290))), 1, 0)</f>
        <v>0</v>
      </c>
      <c r="N290" s="295">
        <f>IF(AND(Scenario[[#This Row],[Total Coverage]]&gt;=70%,Scenario[[#This Row],[Frontier]]=1),1,0)</f>
        <v>0</v>
      </c>
    </row>
    <row r="291" spans="1:14" x14ac:dyDescent="0.25">
      <c r="A291">
        <v>583</v>
      </c>
      <c r="B291">
        <v>0</v>
      </c>
      <c r="C291">
        <v>1</v>
      </c>
      <c r="D291">
        <v>0.25</v>
      </c>
      <c r="E291">
        <v>0.75</v>
      </c>
      <c r="F291">
        <v>0.75</v>
      </c>
      <c r="G291">
        <v>0.25</v>
      </c>
      <c r="H291">
        <v>0.5</v>
      </c>
      <c r="I291">
        <v>0.5</v>
      </c>
      <c r="J291" s="272">
        <f>$C$3*($C$4*$E$4*B290*$B$7)*$G$4+$C$3*($C$4*$E$5*D291*$D$7)*$G$4+$C$3*($C$4*$E$4*C291*$C$7)*$G$5+$C$3*($C$4*$E$5*E291*$E$7)*$G$5+$C$3*($C$5*$E$4*F291*$F$7)*$H$4+$C$3*($C$5*$E$5*H291*$H$7)*$H$4+$C$3*($C$5*$E$5*I291*$I$7)*$H$5+$C$3*($C$5*$E$4*G291*$G$7)*$H$5</f>
        <v>4803365.1152843405</v>
      </c>
      <c r="K291" s="277">
        <f>ROUND(($C$4*$E$4*B291*$B$7+$C$4*$E$4*C291*$C$7+$C$4*$E$5*D291*$D$7+$C$4*$E$5*E291*$E$7+($C$5*$E$4*F291*$F$7+$C$5*$E$4*G291*$G$7+$C$5*$E$5*H291*$H$7+$C$5*$E$5*I291*$I$7)),2)</f>
        <v>0.56000000000000005</v>
      </c>
      <c r="L291" s="276">
        <f>Scenario[[#This Row],[Total Cost]]/(Scenario[[#This Row],[Total Coverage]]*100)</f>
        <v>85774.377058648926</v>
      </c>
      <c r="M291" s="295" cm="1">
        <f t="array" ref="M291">IF(AND(K291=MAX(K$10:K291), L291=MIN(IF(K$10:K291=K291, L$10:L291))), 1, 0)</f>
        <v>0</v>
      </c>
      <c r="N291" s="295">
        <f>IF(AND(Scenario[[#This Row],[Total Coverage]]&gt;=70%,Scenario[[#This Row],[Frontier]]=1),1,0)</f>
        <v>0</v>
      </c>
    </row>
    <row r="292" spans="1:14" x14ac:dyDescent="0.25">
      <c r="A292">
        <v>113</v>
      </c>
      <c r="B292">
        <v>1</v>
      </c>
      <c r="C292">
        <v>0</v>
      </c>
      <c r="D292">
        <v>0</v>
      </c>
      <c r="E292">
        <v>1</v>
      </c>
      <c r="F292">
        <v>0.5</v>
      </c>
      <c r="G292">
        <v>0.5</v>
      </c>
      <c r="H292">
        <v>0.5</v>
      </c>
      <c r="I292">
        <v>0.5</v>
      </c>
      <c r="J292" s="272">
        <f>$C$3*($C$4*$E$4*B291*$B$7)*$G$4+$C$3*($C$4*$E$5*D292*$D$7)*$G$4+$C$3*($C$4*$E$4*C292*$C$7)*$G$5+$C$3*($C$4*$E$5*E292*$E$7)*$G$5+$C$3*($C$5*$E$4*F292*$F$7)*$H$4+$C$3*($C$5*$E$5*H292*$H$7)*$H$4+$C$3*($C$5*$E$5*I292*$I$7)*$H$5+$C$3*($C$5*$E$4*G292*$G$7)*$H$5</f>
        <v>3743794.2231537774</v>
      </c>
      <c r="K292" s="277">
        <f>ROUND(($C$4*$E$4*B292*$B$7+$C$4*$E$4*C292*$C$7+$C$4*$E$5*D292*$D$7+$C$4*$E$5*E292*$E$7+($C$5*$E$4*F292*$F$7+$C$5*$E$4*G292*$G$7+$C$5*$E$5*H292*$H$7+$C$5*$E$5*I292*$I$7)),2)</f>
        <v>0.56999999999999995</v>
      </c>
      <c r="L292" s="276">
        <f>Scenario[[#This Row],[Total Cost]]/(Scenario[[#This Row],[Total Coverage]]*100)</f>
        <v>65680.600406206635</v>
      </c>
      <c r="M292" s="295" cm="1">
        <f t="array" ref="M292">IF(AND(K292=MAX(K$10:K292), L292=MIN(IF(K$10:K292=K292, L$10:L292))), 1, 0)</f>
        <v>1</v>
      </c>
      <c r="N292" s="295">
        <f>IF(AND(Scenario[[#This Row],[Total Coverage]]&gt;=70%,Scenario[[#This Row],[Frontier]]=1),1,0)</f>
        <v>0</v>
      </c>
    </row>
    <row r="293" spans="1:14" x14ac:dyDescent="0.25">
      <c r="A293">
        <v>116</v>
      </c>
      <c r="B293">
        <v>1</v>
      </c>
      <c r="C293">
        <v>0</v>
      </c>
      <c r="D293">
        <v>0</v>
      </c>
      <c r="E293">
        <v>1</v>
      </c>
      <c r="F293">
        <v>0.25</v>
      </c>
      <c r="G293">
        <v>0.75</v>
      </c>
      <c r="H293">
        <v>1</v>
      </c>
      <c r="I293">
        <v>0</v>
      </c>
      <c r="J293" s="272">
        <f>$C$3*($C$4*$E$4*B292*$B$7)*$G$4+$C$3*($C$4*$E$5*D293*$D$7)*$G$4+$C$3*($C$4*$E$4*C293*$C$7)*$G$5+$C$3*($C$4*$E$5*E293*$E$7)*$G$5+$C$3*($C$5*$E$4*F293*$F$7)*$H$4+$C$3*($C$5*$E$5*H293*$H$7)*$H$4+$C$3*($C$5*$E$5*I293*$I$7)*$H$5+$C$3*($C$5*$E$4*G293*$G$7)*$H$5</f>
        <v>4244176.2109518582</v>
      </c>
      <c r="K293" s="277">
        <f>ROUND(($C$4*$E$4*B293*$B$7+$C$4*$E$4*C293*$C$7+$C$4*$E$5*D293*$D$7+$C$4*$E$5*E293*$E$7+($C$5*$E$4*F293*$F$7+$C$5*$E$4*G293*$G$7+$C$5*$E$5*H293*$H$7+$C$5*$E$5*I293*$I$7)),2)</f>
        <v>0.56999999999999995</v>
      </c>
      <c r="L293" s="276">
        <f>Scenario[[#This Row],[Total Cost]]/(Scenario[[#This Row],[Total Coverage]]*100)</f>
        <v>74459.231771085237</v>
      </c>
      <c r="M293" s="295" cm="1">
        <f t="array" ref="M293">IF(AND(K293=MAX(K$10:K293), L293=MIN(IF(K$10:K293=K293, L$10:L293))), 1, 0)</f>
        <v>0</v>
      </c>
      <c r="N293" s="295">
        <f>IF(AND(Scenario[[#This Row],[Total Coverage]]&gt;=70%,Scenario[[#This Row],[Frontier]]=1),1,0)</f>
        <v>0</v>
      </c>
    </row>
    <row r="294" spans="1:14" x14ac:dyDescent="0.25">
      <c r="A294">
        <v>191</v>
      </c>
      <c r="B294">
        <v>0.75</v>
      </c>
      <c r="C294">
        <v>0.25</v>
      </c>
      <c r="D294">
        <v>0.5</v>
      </c>
      <c r="E294">
        <v>0.5</v>
      </c>
      <c r="F294">
        <v>0.25</v>
      </c>
      <c r="G294">
        <v>0.75</v>
      </c>
      <c r="H294">
        <v>1</v>
      </c>
      <c r="I294">
        <v>0</v>
      </c>
      <c r="J294" s="272">
        <f>$C$3*($C$4*$E$4*B293*$B$7)*$G$4+$C$3*($C$4*$E$5*D294*$D$7)*$G$4+$C$3*($C$4*$E$4*C294*$C$7)*$G$5+$C$3*($C$4*$E$5*E294*$E$7)*$G$5+$C$3*($C$5*$E$4*F294*$F$7)*$H$4+$C$3*($C$5*$E$5*H294*$H$7)*$H$4+$C$3*($C$5*$E$5*I294*$I$7)*$H$5+$C$3*($C$5*$E$4*G294*$G$7)*$H$5</f>
        <v>4368645.275469698</v>
      </c>
      <c r="K294" s="277">
        <f>ROUND(($C$4*$E$4*B294*$B$7+$C$4*$E$4*C294*$C$7+$C$4*$E$5*D294*$D$7+$C$4*$E$5*E294*$E$7+($C$5*$E$4*F294*$F$7+$C$5*$E$4*G294*$G$7+$C$5*$E$5*H294*$H$7+$C$5*$E$5*I294*$I$7)),2)</f>
        <v>0.56999999999999995</v>
      </c>
      <c r="L294" s="276">
        <f>Scenario[[#This Row],[Total Cost]]/(Scenario[[#This Row],[Total Coverage]]*100)</f>
        <v>76642.899569643836</v>
      </c>
      <c r="M294" s="295" cm="1">
        <f t="array" ref="M294">IF(AND(K294=MAX(K$10:K294), L294=MIN(IF(K$10:K294=K294, L$10:L294))), 1, 0)</f>
        <v>0</v>
      </c>
      <c r="N294" s="295">
        <f>IF(AND(Scenario[[#This Row],[Total Coverage]]&gt;=70%,Scenario[[#This Row],[Frontier]]=1),1,0)</f>
        <v>0</v>
      </c>
    </row>
    <row r="295" spans="1:14" x14ac:dyDescent="0.25">
      <c r="A295">
        <v>42</v>
      </c>
      <c r="B295">
        <v>1</v>
      </c>
      <c r="C295">
        <v>0</v>
      </c>
      <c r="D295">
        <v>0.75</v>
      </c>
      <c r="E295">
        <v>0.25</v>
      </c>
      <c r="F295">
        <v>0.25</v>
      </c>
      <c r="G295">
        <v>0.75</v>
      </c>
      <c r="H295">
        <v>0.75</v>
      </c>
      <c r="I295">
        <v>0.25</v>
      </c>
      <c r="J295" s="272">
        <f>$C$3*($C$4*$E$4*B294*$B$7)*$G$4+$C$3*($C$4*$E$5*D295*$D$7)*$G$4+$C$3*($C$4*$E$4*C295*$C$7)*$G$5+$C$3*($C$4*$E$5*E295*$E$7)*$G$5+$C$3*($C$5*$E$4*F295*$F$7)*$H$4+$C$3*($C$5*$E$5*H295*$H$7)*$H$4+$C$3*($C$5*$E$5*I295*$I$7)*$H$5+$C$3*($C$5*$E$4*G295*$G$7)*$H$5</f>
        <v>3964890.5032160436</v>
      </c>
      <c r="K295" s="277">
        <f>ROUND(($C$4*$E$4*B295*$B$7+$C$4*$E$4*C295*$C$7+$C$4*$E$5*D295*$D$7+$C$4*$E$5*E295*$E$7+($C$5*$E$4*F295*$F$7+$C$5*$E$4*G295*$G$7+$C$5*$E$5*H295*$H$7+$C$5*$E$5*I295*$I$7)),2)</f>
        <v>0.56999999999999995</v>
      </c>
      <c r="L295" s="276">
        <f>Scenario[[#This Row],[Total Cost]]/(Scenario[[#This Row],[Total Coverage]]*100)</f>
        <v>69559.482512562172</v>
      </c>
      <c r="M295" s="295" cm="1">
        <f t="array" ref="M295">IF(AND(K295=MAX(K$10:K295), L295=MIN(IF(K$10:K295=K295, L$10:L295))), 1, 0)</f>
        <v>0</v>
      </c>
      <c r="N295" s="295">
        <f>IF(AND(Scenario[[#This Row],[Total Coverage]]&gt;=70%,Scenario[[#This Row],[Frontier]]=1),1,0)</f>
        <v>0</v>
      </c>
    </row>
    <row r="296" spans="1:14" x14ac:dyDescent="0.25">
      <c r="A296">
        <v>139</v>
      </c>
      <c r="B296">
        <v>0.75</v>
      </c>
      <c r="C296">
        <v>0.25</v>
      </c>
      <c r="D296">
        <v>1</v>
      </c>
      <c r="E296">
        <v>0</v>
      </c>
      <c r="F296">
        <v>0.5</v>
      </c>
      <c r="G296">
        <v>0.5</v>
      </c>
      <c r="H296">
        <v>0.25</v>
      </c>
      <c r="I296">
        <v>0.75</v>
      </c>
      <c r="J296" s="272">
        <f>$C$3*($C$4*$E$4*B295*$B$7)*$G$4+$C$3*($C$4*$E$5*D296*$D$7)*$G$4+$C$3*($C$4*$E$4*C296*$C$7)*$G$5+$C$3*($C$4*$E$5*E296*$E$7)*$G$5+$C$3*($C$5*$E$4*F296*$F$7)*$H$4+$C$3*($C$5*$E$5*H296*$H$7)*$H$4+$C$3*($C$5*$E$5*I296*$I$7)*$H$5+$C$3*($C$5*$E$4*G296*$G$7)*$H$5</f>
        <v>4305302.0441179574</v>
      </c>
      <c r="K296" s="277">
        <f>ROUND(($C$4*$E$4*B296*$B$7+$C$4*$E$4*C296*$C$7+$C$4*$E$5*D296*$D$7+$C$4*$E$5*E296*$E$7+($C$5*$E$4*F296*$F$7+$C$5*$E$4*G296*$G$7+$C$5*$E$5*H296*$H$7+$C$5*$E$5*I296*$I$7)),2)</f>
        <v>0.56999999999999995</v>
      </c>
      <c r="L296" s="276">
        <f>Scenario[[#This Row],[Total Cost]]/(Scenario[[#This Row],[Total Coverage]]*100)</f>
        <v>75531.614809086983</v>
      </c>
      <c r="M296" s="295" cm="1">
        <f t="array" ref="M296">IF(AND(K296=MAX(K$10:K296), L296=MIN(IF(K$10:K296=K296, L$10:L296))), 1, 0)</f>
        <v>0</v>
      </c>
      <c r="N296" s="295">
        <f>IF(AND(Scenario[[#This Row],[Total Coverage]]&gt;=70%,Scenario[[#This Row],[Frontier]]=1),1,0)</f>
        <v>0</v>
      </c>
    </row>
    <row r="297" spans="1:14" x14ac:dyDescent="0.25">
      <c r="A297">
        <v>362</v>
      </c>
      <c r="B297">
        <v>0.5</v>
      </c>
      <c r="C297">
        <v>0.5</v>
      </c>
      <c r="D297">
        <v>0</v>
      </c>
      <c r="E297">
        <v>1</v>
      </c>
      <c r="F297">
        <v>0.5</v>
      </c>
      <c r="G297">
        <v>0.5</v>
      </c>
      <c r="H297">
        <v>0.75</v>
      </c>
      <c r="I297">
        <v>0.25</v>
      </c>
      <c r="J297" s="272">
        <f>$C$3*($C$4*$E$4*B296*$B$7)*$G$4+$C$3*($C$4*$E$5*D297*$D$7)*$G$4+$C$3*($C$4*$E$4*C297*$C$7)*$G$5+$C$3*($C$4*$E$5*E297*$E$7)*$G$5+$C$3*($C$5*$E$4*F297*$F$7)*$H$4+$C$3*($C$5*$E$5*H297*$H$7)*$H$4+$C$3*($C$5*$E$5*I297*$I$7)*$H$5+$C$3*($C$5*$E$4*G297*$G$7)*$H$5</f>
        <v>4669113.6374126785</v>
      </c>
      <c r="K297" s="277">
        <f>ROUND(($C$4*$E$4*B297*$B$7+$C$4*$E$4*C297*$C$7+$C$4*$E$5*D297*$D$7+$C$4*$E$5*E297*$E$7+($C$5*$E$4*F297*$F$7+$C$5*$E$4*G297*$G$7+$C$5*$E$5*H297*$H$7+$C$5*$E$5*I297*$I$7)),2)</f>
        <v>0.56999999999999995</v>
      </c>
      <c r="L297" s="276">
        <f>Scenario[[#This Row],[Total Cost]]/(Scenario[[#This Row],[Total Coverage]]*100)</f>
        <v>81914.27434057332</v>
      </c>
      <c r="M297" s="295" cm="1">
        <f t="array" ref="M297">IF(AND(K297=MAX(K$10:K297), L297=MIN(IF(K$10:K297=K297, L$10:L297))), 1, 0)</f>
        <v>0</v>
      </c>
      <c r="N297" s="295">
        <f>IF(AND(Scenario[[#This Row],[Total Coverage]]&gt;=70%,Scenario[[#This Row],[Frontier]]=1),1,0)</f>
        <v>0</v>
      </c>
    </row>
    <row r="298" spans="1:14" x14ac:dyDescent="0.25">
      <c r="A298">
        <v>359</v>
      </c>
      <c r="B298">
        <v>0.5</v>
      </c>
      <c r="C298">
        <v>0.5</v>
      </c>
      <c r="D298">
        <v>0</v>
      </c>
      <c r="E298">
        <v>1</v>
      </c>
      <c r="F298">
        <v>0.75</v>
      </c>
      <c r="G298">
        <v>0.25</v>
      </c>
      <c r="H298">
        <v>0.25</v>
      </c>
      <c r="I298">
        <v>0.75</v>
      </c>
      <c r="J298" s="272">
        <f>$C$3*($C$4*$E$4*B297*$B$7)*$G$4+$C$3*($C$4*$E$5*D298*$D$7)*$G$4+$C$3*($C$4*$E$4*C298*$C$7)*$G$5+$C$3*($C$4*$E$5*E298*$E$7)*$G$5+$C$3*($C$5*$E$4*F298*$F$7)*$H$4+$C$3*($C$5*$E$5*H298*$H$7)*$H$4+$C$3*($C$5*$E$5*I298*$I$7)*$H$5+$C$3*($C$5*$E$4*G298*$G$7)*$H$5</f>
        <v>4487960.5363093456</v>
      </c>
      <c r="K298" s="277">
        <f>ROUND(($C$4*$E$4*B298*$B$7+$C$4*$E$4*C298*$C$7+$C$4*$E$5*D298*$D$7+$C$4*$E$5*E298*$E$7+($C$5*$E$4*F298*$F$7+$C$5*$E$4*G298*$G$7+$C$5*$E$5*H298*$H$7+$C$5*$E$5*I298*$I$7)),2)</f>
        <v>0.56999999999999995</v>
      </c>
      <c r="L298" s="276">
        <f>Scenario[[#This Row],[Total Cost]]/(Scenario[[#This Row],[Total Coverage]]*100)</f>
        <v>78736.149759813095</v>
      </c>
      <c r="M298" s="295" cm="1">
        <f t="array" ref="M298">IF(AND(K298=MAX(K$10:K298), L298=MIN(IF(K$10:K298=K298, L$10:L298))), 1, 0)</f>
        <v>0</v>
      </c>
      <c r="N298" s="295">
        <f>IF(AND(Scenario[[#This Row],[Total Coverage]]&gt;=70%,Scenario[[#This Row],[Frontier]]=1),1,0)</f>
        <v>0</v>
      </c>
    </row>
    <row r="299" spans="1:14" x14ac:dyDescent="0.25">
      <c r="A299">
        <v>288</v>
      </c>
      <c r="B299">
        <v>0.5</v>
      </c>
      <c r="C299">
        <v>0.5</v>
      </c>
      <c r="D299">
        <v>0.75</v>
      </c>
      <c r="E299">
        <v>0.25</v>
      </c>
      <c r="F299">
        <v>0.5</v>
      </c>
      <c r="G299">
        <v>0.5</v>
      </c>
      <c r="H299">
        <v>0.5</v>
      </c>
      <c r="I299">
        <v>0.5</v>
      </c>
      <c r="J299" s="272">
        <f>$C$3*($C$4*$E$4*B298*$B$7)*$G$4+$C$3*($C$4*$E$5*D299*$D$7)*$G$4+$C$3*($C$4*$E$4*C299*$C$7)*$G$5+$C$3*($C$4*$E$5*E299*$E$7)*$G$5+$C$3*($C$5*$E$4*F299*$F$7)*$H$4+$C$3*($C$5*$E$5*H299*$H$7)*$H$4+$C$3*($C$5*$E$5*I299*$I$7)*$H$5+$C$3*($C$5*$E$4*G299*$G$7)*$H$5</f>
        <v>4389827.9296768634</v>
      </c>
      <c r="K299" s="277">
        <f>ROUND(($C$4*$E$4*B299*$B$7+$C$4*$E$4*C299*$C$7+$C$4*$E$5*D299*$D$7+$C$4*$E$5*E299*$E$7+($C$5*$E$4*F299*$F$7+$C$5*$E$4*G299*$G$7+$C$5*$E$5*H299*$H$7+$C$5*$E$5*I299*$I$7)),2)</f>
        <v>0.56999999999999995</v>
      </c>
      <c r="L299" s="276">
        <f>Scenario[[#This Row],[Total Cost]]/(Scenario[[#This Row],[Total Coverage]]*100)</f>
        <v>77014.525082050241</v>
      </c>
      <c r="M299" s="295" cm="1">
        <f t="array" ref="M299">IF(AND(K299=MAX(K$10:K299), L299=MIN(IF(K$10:K299=K299, L$10:L299))), 1, 0)</f>
        <v>0</v>
      </c>
      <c r="N299" s="295">
        <f>IF(AND(Scenario[[#This Row],[Total Coverage]]&gt;=70%,Scenario[[#This Row],[Frontier]]=1),1,0)</f>
        <v>0</v>
      </c>
    </row>
    <row r="300" spans="1:14" x14ac:dyDescent="0.25">
      <c r="A300">
        <v>434</v>
      </c>
      <c r="B300">
        <v>0.25</v>
      </c>
      <c r="C300">
        <v>0.75</v>
      </c>
      <c r="D300">
        <v>0.5</v>
      </c>
      <c r="E300">
        <v>0.5</v>
      </c>
      <c r="F300">
        <v>0.75</v>
      </c>
      <c r="G300">
        <v>0.25</v>
      </c>
      <c r="H300">
        <v>0.25</v>
      </c>
      <c r="I300">
        <v>0.75</v>
      </c>
      <c r="J300" s="272">
        <f>$C$3*($C$4*$E$4*B299*$B$7)*$G$4+$C$3*($C$4*$E$5*D300*$D$7)*$G$4+$C$3*($C$4*$E$4*C300*$C$7)*$G$5+$C$3*($C$4*$E$5*E300*$E$7)*$G$5+$C$3*($C$5*$E$4*F300*$F$7)*$H$4+$C$3*($C$5*$E$5*H300*$H$7)*$H$4+$C$3*($C$5*$E$5*I300*$I$7)*$H$5+$C$3*($C$5*$E$4*G300*$G$7)*$H$5</f>
        <v>4612429.6008271854</v>
      </c>
      <c r="K300" s="277">
        <f>ROUND(($C$4*$E$4*B300*$B$7+$C$4*$E$4*C300*$C$7+$C$4*$E$5*D300*$D$7+$C$4*$E$5*E300*$E$7+($C$5*$E$4*F300*$F$7+$C$5*$E$4*G300*$G$7+$C$5*$E$5*H300*$H$7+$C$5*$E$5*I300*$I$7)),2)</f>
        <v>0.56999999999999995</v>
      </c>
      <c r="L300" s="276">
        <f>Scenario[[#This Row],[Total Cost]]/(Scenario[[#This Row],[Total Coverage]]*100)</f>
        <v>80919.81755837168</v>
      </c>
      <c r="M300" s="295" cm="1">
        <f t="array" ref="M300">IF(AND(K300=MAX(K$10:K300), L300=MIN(IF(K$10:K300=K300, L$10:L300))), 1, 0)</f>
        <v>0</v>
      </c>
      <c r="N300" s="295">
        <f>IF(AND(Scenario[[#This Row],[Total Coverage]]&gt;=70%,Scenario[[#This Row],[Frontier]]=1),1,0)</f>
        <v>0</v>
      </c>
    </row>
    <row r="301" spans="1:14" x14ac:dyDescent="0.25">
      <c r="A301">
        <v>210</v>
      </c>
      <c r="B301">
        <v>0.75</v>
      </c>
      <c r="C301">
        <v>0.25</v>
      </c>
      <c r="D301">
        <v>0.25</v>
      </c>
      <c r="E301">
        <v>0.75</v>
      </c>
      <c r="F301">
        <v>0.75</v>
      </c>
      <c r="G301">
        <v>0.25</v>
      </c>
      <c r="H301">
        <v>0</v>
      </c>
      <c r="I301">
        <v>1</v>
      </c>
      <c r="J301" s="272">
        <f>$C$3*($C$4*$E$4*B300*$B$7)*$G$4+$C$3*($C$4*$E$5*D301*$D$7)*$G$4+$C$3*($C$4*$E$4*C301*$C$7)*$G$5+$C$3*($C$4*$E$5*E301*$E$7)*$G$5+$C$3*($C$5*$E$4*F301*$F$7)*$H$4+$C$3*($C$5*$E$5*H301*$H$7)*$H$4+$C$3*($C$5*$E$5*I301*$I$7)*$H$5+$C$3*($C$5*$E$4*G301*$G$7)*$H$5</f>
        <v>4084205.7640556917</v>
      </c>
      <c r="K301" s="277">
        <f>ROUND(($C$4*$E$4*B301*$B$7+$C$4*$E$4*C301*$C$7+$C$4*$E$5*D301*$D$7+$C$4*$E$5*E301*$E$7+($C$5*$E$4*F301*$F$7+$C$5*$E$4*G301*$G$7+$C$5*$E$5*H301*$H$7+$C$5*$E$5*I301*$I$7)),2)</f>
        <v>0.56999999999999995</v>
      </c>
      <c r="L301" s="276">
        <f>Scenario[[#This Row],[Total Cost]]/(Scenario[[#This Row],[Total Coverage]]*100)</f>
        <v>71652.732702731446</v>
      </c>
      <c r="M301" s="295" cm="1">
        <f t="array" ref="M301">IF(AND(K301=MAX(K$10:K301), L301=MIN(IF(K$10:K301=K301, L$10:L301))), 1, 0)</f>
        <v>0</v>
      </c>
      <c r="N301" s="295">
        <f>IF(AND(Scenario[[#This Row],[Total Coverage]]&gt;=70%,Scenario[[#This Row],[Frontier]]=1),1,0)</f>
        <v>0</v>
      </c>
    </row>
    <row r="302" spans="1:14" x14ac:dyDescent="0.25">
      <c r="A302">
        <v>285</v>
      </c>
      <c r="B302">
        <v>0.5</v>
      </c>
      <c r="C302">
        <v>0.5</v>
      </c>
      <c r="D302">
        <v>0.75</v>
      </c>
      <c r="E302">
        <v>0.25</v>
      </c>
      <c r="F302">
        <v>0.75</v>
      </c>
      <c r="G302">
        <v>0.25</v>
      </c>
      <c r="H302">
        <v>0</v>
      </c>
      <c r="I302">
        <v>1</v>
      </c>
      <c r="J302" s="272">
        <f>$C$3*($C$4*$E$4*B301*$B$7)*$G$4+$C$3*($C$4*$E$5*D302*$D$7)*$G$4+$C$3*($C$4*$E$4*C302*$C$7)*$G$5+$C$3*($C$4*$E$5*E302*$E$7)*$G$5+$C$3*($C$5*$E$4*F302*$F$7)*$H$4+$C$3*($C$5*$E$5*H302*$H$7)*$H$4+$C$3*($C$5*$E$5*I302*$I$7)*$H$5+$C$3*($C$5*$E$4*G302*$G$7)*$H$5</f>
        <v>4421494.0863700304</v>
      </c>
      <c r="K302" s="277">
        <f>ROUND(($C$4*$E$4*B302*$B$7+$C$4*$E$4*C302*$C$7+$C$4*$E$5*D302*$D$7+$C$4*$E$5*E302*$E$7+($C$5*$E$4*F302*$F$7+$C$5*$E$4*G302*$G$7+$C$5*$E$5*H302*$H$7+$C$5*$E$5*I302*$I$7)),2)</f>
        <v>0.56999999999999995</v>
      </c>
      <c r="L302" s="276">
        <f>Scenario[[#This Row],[Total Cost]]/(Scenario[[#This Row],[Total Coverage]]*100)</f>
        <v>77570.071690702302</v>
      </c>
      <c r="M302" s="295" cm="1">
        <f t="array" ref="M302">IF(AND(K302=MAX(K$10:K302), L302=MIN(IF(K$10:K302=K302, L$10:L302))), 1, 0)</f>
        <v>0</v>
      </c>
      <c r="N302" s="295">
        <f>IF(AND(Scenario[[#This Row],[Total Coverage]]&gt;=70%,Scenario[[#This Row],[Frontier]]=1),1,0)</f>
        <v>0</v>
      </c>
    </row>
    <row r="303" spans="1:14" x14ac:dyDescent="0.25">
      <c r="A303">
        <v>291</v>
      </c>
      <c r="B303">
        <v>0.5</v>
      </c>
      <c r="C303">
        <v>0.5</v>
      </c>
      <c r="D303">
        <v>0.75</v>
      </c>
      <c r="E303">
        <v>0.25</v>
      </c>
      <c r="F303">
        <v>0.25</v>
      </c>
      <c r="G303">
        <v>0.75</v>
      </c>
      <c r="H303">
        <v>1</v>
      </c>
      <c r="I303">
        <v>0</v>
      </c>
      <c r="J303" s="272">
        <f>$C$3*($C$4*$E$4*B302*$B$7)*$G$4+$C$3*($C$4*$E$5*D303*$D$7)*$G$4+$C$3*($C$4*$E$4*C303*$C$7)*$G$5+$C$3*($C$4*$E$5*E303*$E$7)*$G$5+$C$3*($C$5*$E$4*F303*$F$7)*$H$4+$C$3*($C$5*$E$5*H303*$H$7)*$H$4+$C$3*($C$5*$E$5*I303*$I$7)*$H$5+$C$3*($C$5*$E$4*G303*$G$7)*$H$5</f>
        <v>4464571.4018819463</v>
      </c>
      <c r="K303" s="277">
        <f>ROUND(($C$4*$E$4*B303*$B$7+$C$4*$E$4*C303*$C$7+$C$4*$E$5*D303*$D$7+$C$4*$E$5*E303*$E$7+($C$5*$E$4*F303*$F$7+$C$5*$E$4*G303*$G$7+$C$5*$E$5*H303*$H$7+$C$5*$E$5*I303*$I$7)),2)</f>
        <v>0.56999999999999995</v>
      </c>
      <c r="L303" s="276">
        <f>Scenario[[#This Row],[Total Cost]]/(Scenario[[#This Row],[Total Coverage]]*100)</f>
        <v>78325.81406810433</v>
      </c>
      <c r="M303" s="295" cm="1">
        <f t="array" ref="M303">IF(AND(K303=MAX(K$10:K303), L303=MIN(IF(K$10:K303=K303, L$10:L303))), 1, 0)</f>
        <v>0</v>
      </c>
      <c r="N303" s="295">
        <f>IF(AND(Scenario[[#This Row],[Total Coverage]]&gt;=70%,Scenario[[#This Row],[Frontier]]=1),1,0)</f>
        <v>0</v>
      </c>
    </row>
    <row r="304" spans="1:14" x14ac:dyDescent="0.25">
      <c r="A304">
        <v>437</v>
      </c>
      <c r="B304">
        <v>0.25</v>
      </c>
      <c r="C304">
        <v>0.75</v>
      </c>
      <c r="D304">
        <v>0.5</v>
      </c>
      <c r="E304">
        <v>0.5</v>
      </c>
      <c r="F304">
        <v>0.5</v>
      </c>
      <c r="G304">
        <v>0.5</v>
      </c>
      <c r="H304">
        <v>0.75</v>
      </c>
      <c r="I304">
        <v>0.25</v>
      </c>
      <c r="J304" s="272">
        <f>$C$3*($C$4*$E$4*B303*$B$7)*$G$4+$C$3*($C$4*$E$5*D304*$D$7)*$G$4+$C$3*($C$4*$E$4*C304*$C$7)*$G$5+$C$3*($C$4*$E$5*E304*$E$7)*$G$5+$C$3*($C$5*$E$4*F304*$F$7)*$H$4+$C$3*($C$5*$E$5*H304*$H$7)*$H$4+$C$3*($C$5*$E$5*I304*$I$7)*$H$5+$C$3*($C$5*$E$4*G304*$G$7)*$H$5</f>
        <v>4687173.0730322683</v>
      </c>
      <c r="K304" s="277">
        <f>ROUND(($C$4*$E$4*B304*$B$7+$C$4*$E$4*C304*$C$7+$C$4*$E$5*D304*$D$7+$C$4*$E$5*E304*$E$7+($C$5*$E$4*F304*$F$7+$C$5*$E$4*G304*$G$7+$C$5*$E$5*H304*$H$7+$C$5*$E$5*I304*$I$7)),2)</f>
        <v>0.56999999999999995</v>
      </c>
      <c r="L304" s="276">
        <f>Scenario[[#This Row],[Total Cost]]/(Scenario[[#This Row],[Total Coverage]]*100)</f>
        <v>82231.106544425769</v>
      </c>
      <c r="M304" s="295" cm="1">
        <f t="array" ref="M304">IF(AND(K304=MAX(K$10:K304), L304=MIN(IF(K$10:K304=K304, L$10:L304))), 1, 0)</f>
        <v>0</v>
      </c>
      <c r="N304" s="295">
        <f>IF(AND(Scenario[[#This Row],[Total Coverage]]&gt;=70%,Scenario[[#This Row],[Frontier]]=1),1,0)</f>
        <v>0</v>
      </c>
    </row>
    <row r="305" spans="1:14" x14ac:dyDescent="0.25">
      <c r="A305">
        <v>385</v>
      </c>
      <c r="B305">
        <v>0.25</v>
      </c>
      <c r="C305">
        <v>0.75</v>
      </c>
      <c r="D305">
        <v>1</v>
      </c>
      <c r="E305">
        <v>0</v>
      </c>
      <c r="F305">
        <v>0.75</v>
      </c>
      <c r="G305">
        <v>0.25</v>
      </c>
      <c r="H305">
        <v>0</v>
      </c>
      <c r="I305">
        <v>1</v>
      </c>
      <c r="J305" s="272">
        <f>$C$3*($C$4*$E$4*B304*$B$7)*$G$4+$C$3*($C$4*$E$5*D305*$D$7)*$G$4+$C$3*($C$4*$E$4*C305*$C$7)*$G$5+$C$3*($C$4*$E$5*E305*$E$7)*$G$5+$C$3*($C$5*$E$4*F305*$F$7)*$H$4+$C$3*($C$5*$E$5*H305*$H$7)*$H$4+$C$3*($C$5*$E$5*I305*$I$7)*$H$5+$C$3*($C$5*$E$4*G305*$G$7)*$H$5</f>
        <v>4517420.2127822796</v>
      </c>
      <c r="K305" s="277">
        <f>ROUND(($C$4*$E$4*B305*$B$7+$C$4*$E$4*C305*$C$7+$C$4*$E$5*D305*$D$7+$C$4*$E$5*E305*$E$7+($C$5*$E$4*F305*$F$7+$C$5*$E$4*G305*$G$7+$C$5*$E$5*H305*$H$7+$C$5*$E$5*I305*$I$7)),2)</f>
        <v>0.56999999999999995</v>
      </c>
      <c r="L305" s="276">
        <f>Scenario[[#This Row],[Total Cost]]/(Scenario[[#This Row],[Total Coverage]]*100)</f>
        <v>79252.98618916281</v>
      </c>
      <c r="M305" s="295" cm="1">
        <f t="array" ref="M305">IF(AND(K305=MAX(K$10:K305), L305=MIN(IF(K$10:K305=K305, L$10:L305))), 1, 0)</f>
        <v>0</v>
      </c>
      <c r="N305" s="295">
        <f>IF(AND(Scenario[[#This Row],[Total Coverage]]&gt;=70%,Scenario[[#This Row],[Frontier]]=1),1,0)</f>
        <v>0</v>
      </c>
    </row>
    <row r="306" spans="1:14" x14ac:dyDescent="0.25">
      <c r="A306">
        <v>534</v>
      </c>
      <c r="B306">
        <v>0</v>
      </c>
      <c r="C306">
        <v>1</v>
      </c>
      <c r="D306">
        <v>0.75</v>
      </c>
      <c r="E306">
        <v>0.25</v>
      </c>
      <c r="F306">
        <v>0.75</v>
      </c>
      <c r="G306">
        <v>0.25</v>
      </c>
      <c r="H306">
        <v>0.25</v>
      </c>
      <c r="I306">
        <v>0.75</v>
      </c>
      <c r="J306" s="272">
        <f>$C$3*($C$4*$E$4*B305*$B$7)*$G$4+$C$3*($C$4*$E$5*D306*$D$7)*$G$4+$C$3*($C$4*$E$4*C306*$C$7)*$G$5+$C$3*($C$4*$E$5*E306*$E$7)*$G$5+$C$3*($C$5*$E$4*F306*$F$7)*$H$4+$C$3*($C$5*$E$5*H306*$H$7)*$H$4+$C$3*($C$5*$E$5*I306*$I$7)*$H$5+$C$3*($C$5*$E$4*G306*$G$7)*$H$5</f>
        <v>4814765.3561376836</v>
      </c>
      <c r="K306" s="277">
        <f>ROUND(($C$4*$E$4*B306*$B$7+$C$4*$E$4*C306*$C$7+$C$4*$E$5*D306*$D$7+$C$4*$E$5*E306*$E$7+($C$5*$E$4*F306*$F$7+$C$5*$E$4*G306*$G$7+$C$5*$E$5*H306*$H$7+$C$5*$E$5*I306*$I$7)),2)</f>
        <v>0.56999999999999995</v>
      </c>
      <c r="L306" s="276">
        <f>Scenario[[#This Row],[Total Cost]]/(Scenario[[#This Row],[Total Coverage]]*100)</f>
        <v>84469.567651538324</v>
      </c>
      <c r="M306" s="295" cm="1">
        <f t="array" ref="M306">IF(AND(K306=MAX(K$10:K306), L306=MIN(IF(K$10:K306=K306, L$10:L306))), 1, 0)</f>
        <v>0</v>
      </c>
      <c r="N306" s="295">
        <f>IF(AND(Scenario[[#This Row],[Total Coverage]]&gt;=70%,Scenario[[#This Row],[Frontier]]=1),1,0)</f>
        <v>0</v>
      </c>
    </row>
    <row r="307" spans="1:14" x14ac:dyDescent="0.25">
      <c r="A307">
        <v>605</v>
      </c>
      <c r="B307">
        <v>0</v>
      </c>
      <c r="C307">
        <v>1</v>
      </c>
      <c r="D307">
        <v>0</v>
      </c>
      <c r="E307">
        <v>1</v>
      </c>
      <c r="F307">
        <v>1</v>
      </c>
      <c r="G307">
        <v>0</v>
      </c>
      <c r="H307">
        <v>0</v>
      </c>
      <c r="I307">
        <v>1</v>
      </c>
      <c r="J307" s="272">
        <f>$C$3*($C$4*$E$4*B306*$B$7)*$G$4+$C$3*($C$4*$E$5*D307*$D$7)*$G$4+$C$3*($C$4*$E$4*C307*$C$7)*$G$5+$C$3*($C$4*$E$5*E307*$E$7)*$G$5+$C$3*($C$5*$E$4*F307*$F$7)*$H$4+$C$3*($C$5*$E$5*H307*$H$7)*$H$4+$C$3*($C$5*$E$5*I307*$I$7)*$H$5+$C$3*($C$5*$E$4*G307*$G$7)*$H$5</f>
        <v>4806488.3338719169</v>
      </c>
      <c r="K307" s="277">
        <f>ROUND(($C$4*$E$4*B307*$B$7+$C$4*$E$4*C307*$C$7+$C$4*$E$5*D307*$D$7+$C$4*$E$5*E307*$E$7+($C$5*$E$4*F307*$F$7+$C$5*$E$4*G307*$G$7+$C$5*$E$5*H307*$H$7+$C$5*$E$5*I307*$I$7)),2)</f>
        <v>0.56999999999999995</v>
      </c>
      <c r="L307" s="276">
        <f>Scenario[[#This Row],[Total Cost]]/(Scenario[[#This Row],[Total Coverage]]*100)</f>
        <v>84324.356734595043</v>
      </c>
      <c r="M307" s="295" cm="1">
        <f t="array" ref="M307">IF(AND(K307=MAX(K$10:K307), L307=MIN(IF(K$10:K307=K307, L$10:L307))), 1, 0)</f>
        <v>0</v>
      </c>
      <c r="N307" s="295">
        <f>IF(AND(Scenario[[#This Row],[Total Coverage]]&gt;=70%,Scenario[[#This Row],[Frontier]]=1),1,0)</f>
        <v>0</v>
      </c>
    </row>
    <row r="308" spans="1:14" x14ac:dyDescent="0.25">
      <c r="A308">
        <v>586</v>
      </c>
      <c r="B308">
        <v>0</v>
      </c>
      <c r="C308">
        <v>1</v>
      </c>
      <c r="D308">
        <v>0.25</v>
      </c>
      <c r="E308">
        <v>0.75</v>
      </c>
      <c r="F308">
        <v>0.5</v>
      </c>
      <c r="G308">
        <v>0.5</v>
      </c>
      <c r="H308">
        <v>1</v>
      </c>
      <c r="I308">
        <v>0</v>
      </c>
      <c r="J308" s="272">
        <f>$C$3*($C$4*$E$4*B307*$B$7)*$G$4+$C$3*($C$4*$E$5*D308*$D$7)*$G$4+$C$3*($C$4*$E$4*C308*$C$7)*$G$5+$C$3*($C$4*$E$5*E308*$E$7)*$G$5+$C$3*($C$5*$E$4*F308*$F$7)*$H$4+$C$3*($C$5*$E$5*H308*$H$7)*$H$4+$C$3*($C$5*$E$5*I308*$I$7)*$H$5+$C$3*($C$5*$E$4*G308*$G$7)*$H$5</f>
        <v>4771698.9585911743</v>
      </c>
      <c r="K308" s="277">
        <f>ROUND(($C$4*$E$4*B308*$B$7+$C$4*$E$4*C308*$C$7+$C$4*$E$5*D308*$D$7+$C$4*$E$5*E308*$E$7+($C$5*$E$4*F308*$F$7+$C$5*$E$4*G308*$G$7+$C$5*$E$5*H308*$H$7+$C$5*$E$5*I308*$I$7)),2)</f>
        <v>0.56999999999999995</v>
      </c>
      <c r="L308" s="276">
        <f>Scenario[[#This Row],[Total Cost]]/(Scenario[[#This Row],[Total Coverage]]*100)</f>
        <v>83714.016817389027</v>
      </c>
      <c r="M308" s="295" cm="1">
        <f t="array" ref="M308">IF(AND(K308=MAX(K$10:K308), L308=MIN(IF(K$10:K308=K308, L$10:L308))), 1, 0)</f>
        <v>0</v>
      </c>
      <c r="N308" s="295">
        <f>IF(AND(Scenario[[#This Row],[Total Coverage]]&gt;=70%,Scenario[[#This Row],[Frontier]]=1),1,0)</f>
        <v>0</v>
      </c>
    </row>
    <row r="309" spans="1:14" x14ac:dyDescent="0.25">
      <c r="A309">
        <v>67</v>
      </c>
      <c r="B309">
        <v>1</v>
      </c>
      <c r="C309">
        <v>0</v>
      </c>
      <c r="D309">
        <v>0.5</v>
      </c>
      <c r="E309">
        <v>0.5</v>
      </c>
      <c r="F309">
        <v>0.25</v>
      </c>
      <c r="G309">
        <v>0.75</v>
      </c>
      <c r="H309">
        <v>0.75</v>
      </c>
      <c r="I309">
        <v>0.25</v>
      </c>
      <c r="J309" s="272">
        <f>$C$3*($C$4*$E$4*B308*$B$7)*$G$4+$C$3*($C$4*$E$5*D309*$D$7)*$G$4+$C$3*($C$4*$E$4*C309*$C$7)*$G$5+$C$3*($C$4*$E$5*E309*$E$7)*$G$5+$C$3*($C$5*$E$4*F309*$F$7)*$H$4+$C$3*($C$5*$E$5*H309*$H$7)*$H$4+$C$3*($C$5*$E$5*I309*$I$7)*$H$5+$C$3*($C$5*$E$4*G309*$G$7)*$H$5</f>
        <v>3829937.9362122035</v>
      </c>
      <c r="K309" s="277">
        <f>ROUND(($C$4*$E$4*B309*$B$7+$C$4*$E$4*C309*$C$7+$C$4*$E$5*D309*$D$7+$C$4*$E$5*E309*$E$7+($C$5*$E$4*F309*$F$7+$C$5*$E$4*G309*$G$7+$C$5*$E$5*H309*$H$7+$C$5*$E$5*I309*$I$7)),2)</f>
        <v>0.57999999999999996</v>
      </c>
      <c r="L309" s="276">
        <f>Scenario[[#This Row],[Total Cost]]/(Scenario[[#This Row],[Total Coverage]]*100)</f>
        <v>66033.412693313861</v>
      </c>
      <c r="M309" s="295" cm="1">
        <f t="array" ref="M309">IF(AND(K309=MAX(K$10:K309), L309=MIN(IF(K$10:K309=K309, L$10:L309))), 1, 0)</f>
        <v>1</v>
      </c>
      <c r="N309" s="295">
        <f>IF(AND(Scenario[[#This Row],[Total Coverage]]&gt;=70%,Scenario[[#This Row],[Frontier]]=1),1,0)</f>
        <v>0</v>
      </c>
    </row>
    <row r="310" spans="1:14" x14ac:dyDescent="0.25">
      <c r="A310">
        <v>64</v>
      </c>
      <c r="B310">
        <v>1</v>
      </c>
      <c r="C310">
        <v>0</v>
      </c>
      <c r="D310">
        <v>0.5</v>
      </c>
      <c r="E310">
        <v>0.5</v>
      </c>
      <c r="F310">
        <v>0.5</v>
      </c>
      <c r="G310">
        <v>0.5</v>
      </c>
      <c r="H310">
        <v>0.25</v>
      </c>
      <c r="I310">
        <v>0.75</v>
      </c>
      <c r="J310" s="272">
        <f>$C$3*($C$4*$E$4*B309*$B$7)*$G$4+$C$3*($C$4*$E$5*D310*$D$7)*$G$4+$C$3*($C$4*$E$4*C310*$C$7)*$G$5+$C$3*($C$4*$E$5*E310*$E$7)*$G$5+$C$3*($C$5*$E$4*F310*$F$7)*$H$4+$C$3*($C$5*$E$5*H310*$H$7)*$H$4+$C$3*($C$5*$E$5*I310*$I$7)*$H$5+$C$3*($C$5*$E$4*G310*$G$7)*$H$5</f>
        <v>4180832.9796001185</v>
      </c>
      <c r="K310" s="277">
        <f>ROUND(($C$4*$E$4*B310*$B$7+$C$4*$E$4*C310*$C$7+$C$4*$E$5*D310*$D$7+$C$4*$E$5*E310*$E$7+($C$5*$E$4*F310*$F$7+$C$5*$E$4*G310*$G$7+$C$5*$E$5*H310*$H$7+$C$5*$E$5*I310*$I$7)),2)</f>
        <v>0.57999999999999996</v>
      </c>
      <c r="L310" s="276">
        <f>Scenario[[#This Row],[Total Cost]]/(Scenario[[#This Row],[Total Coverage]]*100)</f>
        <v>72083.327234484808</v>
      </c>
      <c r="M310" s="295" cm="1">
        <f t="array" ref="M310">IF(AND(K310=MAX(K$10:K310), L310=MIN(IF(K$10:K310=K310, L$10:L310))), 1, 0)</f>
        <v>0</v>
      </c>
      <c r="N310" s="295">
        <f>IF(AND(Scenario[[#This Row],[Total Coverage]]&gt;=70%,Scenario[[#This Row],[Frontier]]=1),1,0)</f>
        <v>0</v>
      </c>
    </row>
    <row r="311" spans="1:14" x14ac:dyDescent="0.25">
      <c r="A311">
        <v>213</v>
      </c>
      <c r="B311">
        <v>0.75</v>
      </c>
      <c r="C311">
        <v>0.25</v>
      </c>
      <c r="D311">
        <v>0.25</v>
      </c>
      <c r="E311">
        <v>0.75</v>
      </c>
      <c r="F311">
        <v>0.5</v>
      </c>
      <c r="G311">
        <v>0.5</v>
      </c>
      <c r="H311">
        <v>0.5</v>
      </c>
      <c r="I311">
        <v>0.5</v>
      </c>
      <c r="J311" s="272">
        <f>$C$3*($C$4*$E$4*B310*$B$7)*$G$4+$C$3*($C$4*$E$5*D311*$D$7)*$G$4+$C$3*($C$4*$E$4*C311*$C$7)*$G$5+$C$3*($C$4*$E$5*E311*$E$7)*$G$5+$C$3*($C$5*$E$4*F311*$F$7)*$H$4+$C$3*($C$5*$E$5*H311*$H$7)*$H$4+$C$3*($C$5*$E$5*I311*$I$7)*$H$5+$C$3*($C$5*$E$4*G311*$G$7)*$H$5</f>
        <v>4478178.1229555225</v>
      </c>
      <c r="K311" s="277">
        <f>ROUND(($C$4*$E$4*B311*$B$7+$C$4*$E$4*C311*$C$7+$C$4*$E$5*D311*$D$7+$C$4*$E$5*E311*$E$7+($C$5*$E$4*F311*$F$7+$C$5*$E$4*G311*$G$7+$C$5*$E$5*H311*$H$7+$C$5*$E$5*I311*$I$7)),2)</f>
        <v>0.57999999999999996</v>
      </c>
      <c r="L311" s="276">
        <f>Scenario[[#This Row],[Total Cost]]/(Scenario[[#This Row],[Total Coverage]]*100)</f>
        <v>77209.967637164184</v>
      </c>
      <c r="M311" s="295" cm="1">
        <f t="array" ref="M311">IF(AND(K311=MAX(K$10:K311), L311=MIN(IF(K$10:K311=K311, L$10:L311))), 1, 0)</f>
        <v>0</v>
      </c>
      <c r="N311" s="295">
        <f>IF(AND(Scenario[[#This Row],[Total Coverage]]&gt;=70%,Scenario[[#This Row],[Frontier]]=1),1,0)</f>
        <v>0</v>
      </c>
    </row>
    <row r="312" spans="1:14" x14ac:dyDescent="0.25">
      <c r="A312">
        <v>216</v>
      </c>
      <c r="B312">
        <v>0.75</v>
      </c>
      <c r="C312">
        <v>0.25</v>
      </c>
      <c r="D312">
        <v>0.25</v>
      </c>
      <c r="E312">
        <v>0.75</v>
      </c>
      <c r="F312">
        <v>0.25</v>
      </c>
      <c r="G312">
        <v>0.75</v>
      </c>
      <c r="H312">
        <v>1</v>
      </c>
      <c r="I312">
        <v>0</v>
      </c>
      <c r="J312" s="272">
        <f>$C$3*($C$4*$E$4*B311*$B$7)*$G$4+$C$3*($C$4*$E$5*D312*$D$7)*$G$4+$C$3*($C$4*$E$4*C312*$C$7)*$G$5+$C$3*($C$4*$E$5*E312*$E$7)*$G$5+$C$3*($C$5*$E$4*F312*$F$7)*$H$4+$C$3*($C$5*$E$5*H312*$H$7)*$H$4+$C$3*($C$5*$E$5*I312*$I$7)*$H$5+$C$3*($C$5*$E$4*G312*$G$7)*$H$5</f>
        <v>4446511.9662623564</v>
      </c>
      <c r="K312" s="277">
        <f>ROUND(($C$4*$E$4*B312*$B$7+$C$4*$E$4*C312*$C$7+$C$4*$E$5*D312*$D$7+$C$4*$E$5*E312*$E$7+($C$5*$E$4*F312*$F$7+$C$5*$E$4*G312*$G$7+$C$5*$E$5*H312*$H$7+$C$5*$E$5*I312*$I$7)),2)</f>
        <v>0.57999999999999996</v>
      </c>
      <c r="L312" s="276">
        <f>Scenario[[#This Row],[Total Cost]]/(Scenario[[#This Row],[Total Coverage]]*100)</f>
        <v>76663.999418316496</v>
      </c>
      <c r="M312" s="295" cm="1">
        <f t="array" ref="M312">IF(AND(K312=MAX(K$10:K312), L312=MIN(IF(K$10:K312=K312, L$10:L312))), 1, 0)</f>
        <v>0</v>
      </c>
      <c r="N312" s="295">
        <f>IF(AND(Scenario[[#This Row],[Total Coverage]]&gt;=70%,Scenario[[#This Row],[Frontier]]=1),1,0)</f>
        <v>0</v>
      </c>
    </row>
    <row r="313" spans="1:14" x14ac:dyDescent="0.25">
      <c r="A313">
        <v>142</v>
      </c>
      <c r="B313">
        <v>0.75</v>
      </c>
      <c r="C313">
        <v>0.25</v>
      </c>
      <c r="D313">
        <v>1</v>
      </c>
      <c r="E313">
        <v>0</v>
      </c>
      <c r="F313">
        <v>0.25</v>
      </c>
      <c r="G313">
        <v>0.75</v>
      </c>
      <c r="H313">
        <v>0.75</v>
      </c>
      <c r="I313">
        <v>0.25</v>
      </c>
      <c r="J313" s="272">
        <f>$C$3*($C$4*$E$4*B312*$B$7)*$G$4+$C$3*($C$4*$E$5*D313*$D$7)*$G$4+$C$3*($C$4*$E$4*C313*$C$7)*$G$5+$C$3*($C$4*$E$5*E313*$E$7)*$G$5+$C$3*($C$5*$E$4*F313*$F$7)*$H$4+$C$3*($C$5*$E$5*H313*$H$7)*$H$4+$C$3*($C$5*$E$5*I313*$I$7)*$H$5+$C$3*($C$5*$E$4*G313*$G$7)*$H$5</f>
        <v>4273635.8874247912</v>
      </c>
      <c r="K313" s="277">
        <f>ROUND(($C$4*$E$4*B313*$B$7+$C$4*$E$4*C313*$C$7+$C$4*$E$5*D313*$D$7+$C$4*$E$5*E313*$E$7+($C$5*$E$4*F313*$F$7+$C$5*$E$4*G313*$G$7+$C$5*$E$5*H313*$H$7+$C$5*$E$5*I313*$I$7)),2)</f>
        <v>0.57999999999999996</v>
      </c>
      <c r="L313" s="276">
        <f>Scenario[[#This Row],[Total Cost]]/(Scenario[[#This Row],[Total Coverage]]*100)</f>
        <v>73683.377369392954</v>
      </c>
      <c r="M313" s="295" cm="1">
        <f t="array" ref="M313">IF(AND(K313=MAX(K$10:K313), L313=MIN(IF(K$10:K313=K313, L$10:L313))), 1, 0)</f>
        <v>0</v>
      </c>
      <c r="N313" s="295">
        <f>IF(AND(Scenario[[#This Row],[Total Coverage]]&gt;=70%,Scenario[[#This Row],[Frontier]]=1),1,0)</f>
        <v>0</v>
      </c>
    </row>
    <row r="314" spans="1:14" x14ac:dyDescent="0.25">
      <c r="A314">
        <v>313</v>
      </c>
      <c r="B314">
        <v>0.5</v>
      </c>
      <c r="C314">
        <v>0.5</v>
      </c>
      <c r="D314">
        <v>0.5</v>
      </c>
      <c r="E314">
        <v>0.5</v>
      </c>
      <c r="F314">
        <v>0.5</v>
      </c>
      <c r="G314">
        <v>0.5</v>
      </c>
      <c r="H314">
        <v>0.5</v>
      </c>
      <c r="I314">
        <v>0.5</v>
      </c>
      <c r="J314" s="272">
        <f>$C$3*($C$4*$E$4*B313*$B$7)*$G$4+$C$3*($C$4*$E$5*D314*$D$7)*$G$4+$C$3*($C$4*$E$4*C314*$C$7)*$G$5+$C$3*($C$4*$E$5*E314*$E$7)*$G$5+$C$3*($C$5*$E$4*F314*$F$7)*$H$4+$C$3*($C$5*$E$5*H314*$H$7)*$H$4+$C$3*($C$5*$E$5*I314*$I$7)*$H$5+$C$3*($C$5*$E$4*G314*$G$7)*$H$5</f>
        <v>4680513.8782660216</v>
      </c>
      <c r="K314" s="277">
        <f>ROUND(($C$4*$E$4*B314*$B$7+$C$4*$E$4*C314*$C$7+$C$4*$E$5*D314*$D$7+$C$4*$E$5*E314*$E$7+($C$5*$E$4*F314*$F$7+$C$5*$E$4*G314*$G$7+$C$5*$E$5*H314*$H$7+$C$5*$E$5*I314*$I$7)),2)</f>
        <v>0.57999999999999996</v>
      </c>
      <c r="L314" s="276">
        <f>Scenario[[#This Row],[Total Cost]]/(Scenario[[#This Row],[Total Coverage]]*100)</f>
        <v>80698.51514251763</v>
      </c>
      <c r="M314" s="295" cm="1">
        <f t="array" ref="M314">IF(AND(K314=MAX(K$10:K314), L314=MIN(IF(K$10:K314=K314, L$10:L314))), 1, 0)</f>
        <v>0</v>
      </c>
      <c r="N314" s="295">
        <f>IF(AND(Scenario[[#This Row],[Total Coverage]]&gt;=70%,Scenario[[#This Row],[Frontier]]=1),1,0)</f>
        <v>0</v>
      </c>
    </row>
    <row r="315" spans="1:14" x14ac:dyDescent="0.25">
      <c r="A315">
        <v>459</v>
      </c>
      <c r="B315">
        <v>0.25</v>
      </c>
      <c r="C315">
        <v>0.75</v>
      </c>
      <c r="D315">
        <v>0.25</v>
      </c>
      <c r="E315">
        <v>0.75</v>
      </c>
      <c r="F315">
        <v>0.75</v>
      </c>
      <c r="G315">
        <v>0.25</v>
      </c>
      <c r="H315">
        <v>0.25</v>
      </c>
      <c r="I315">
        <v>0.75</v>
      </c>
      <c r="J315" s="272">
        <f>$C$3*($C$4*$E$4*B314*$B$7)*$G$4+$C$3*($C$4*$E$5*D315*$D$7)*$G$4+$C$3*($C$4*$E$4*C315*$C$7)*$G$5+$C$3*($C$4*$E$5*E315*$E$7)*$G$5+$C$3*($C$5*$E$4*F315*$F$7)*$H$4+$C$3*($C$5*$E$5*H315*$H$7)*$H$4+$C$3*($C$5*$E$5*I315*$I$7)*$H$5+$C$3*($C$5*$E$4*G315*$G$7)*$H$5</f>
        <v>4796705.9205180937</v>
      </c>
      <c r="K315" s="277">
        <f>ROUND(($C$4*$E$4*B315*$B$7+$C$4*$E$4*C315*$C$7+$C$4*$E$5*D315*$D$7+$C$4*$E$5*E315*$E$7+($C$5*$E$4*F315*$F$7+$C$5*$E$4*G315*$G$7+$C$5*$E$5*H315*$H$7+$C$5*$E$5*I315*$I$7)),2)</f>
        <v>0.57999999999999996</v>
      </c>
      <c r="L315" s="276">
        <f>Scenario[[#This Row],[Total Cost]]/(Scenario[[#This Row],[Total Coverage]]*100)</f>
        <v>82701.826215829205</v>
      </c>
      <c r="M315" s="295" cm="1">
        <f t="array" ref="M315">IF(AND(K315=MAX(K$10:K315), L315=MIN(IF(K$10:K315=K315, L$10:L315))), 1, 0)</f>
        <v>0</v>
      </c>
      <c r="N315" s="295">
        <f>IF(AND(Scenario[[#This Row],[Total Coverage]]&gt;=70%,Scenario[[#This Row],[Frontier]]=1),1,0)</f>
        <v>0</v>
      </c>
    </row>
    <row r="316" spans="1:14" x14ac:dyDescent="0.25">
      <c r="A316">
        <v>388</v>
      </c>
      <c r="B316">
        <v>0.25</v>
      </c>
      <c r="C316">
        <v>0.75</v>
      </c>
      <c r="D316">
        <v>1</v>
      </c>
      <c r="E316">
        <v>0</v>
      </c>
      <c r="F316">
        <v>0.5</v>
      </c>
      <c r="G316">
        <v>0.5</v>
      </c>
      <c r="H316">
        <v>0.5</v>
      </c>
      <c r="I316">
        <v>0.5</v>
      </c>
      <c r="J316" s="272">
        <f>$C$3*($C$4*$E$4*B315*$B$7)*$G$4+$C$3*($C$4*$E$5*D316*$D$7)*$G$4+$C$3*($C$4*$E$4*C316*$C$7)*$G$5+$C$3*($C$4*$E$5*E316*$E$7)*$G$5+$C$3*($C$5*$E$4*F316*$F$7)*$H$4+$C$3*($C$5*$E$5*H316*$H$7)*$H$4+$C$3*($C$5*$E$5*I316*$I$7)*$H$5+$C$3*($C$5*$E$4*G316*$G$7)*$H$5</f>
        <v>4592163.6849873615</v>
      </c>
      <c r="K316" s="277">
        <f>ROUND(($C$4*$E$4*B316*$B$7+$C$4*$E$4*C316*$C$7+$C$4*$E$5*D316*$D$7+$C$4*$E$5*E316*$E$7+($C$5*$E$4*F316*$F$7+$C$5*$E$4*G316*$G$7+$C$5*$E$5*H316*$H$7+$C$5*$E$5*I316*$I$7)),2)</f>
        <v>0.57999999999999996</v>
      </c>
      <c r="L316" s="276">
        <f>Scenario[[#This Row],[Total Cost]]/(Scenario[[#This Row],[Total Coverage]]*100)</f>
        <v>79175.235948057962</v>
      </c>
      <c r="M316" s="295" cm="1">
        <f t="array" ref="M316">IF(AND(K316=MAX(K$10:K316), L316=MIN(IF(K$10:K316=K316, L$10:L316))), 1, 0)</f>
        <v>0</v>
      </c>
      <c r="N316" s="295">
        <f>IF(AND(Scenario[[#This Row],[Total Coverage]]&gt;=70%,Scenario[[#This Row],[Frontier]]=1),1,0)</f>
        <v>0</v>
      </c>
    </row>
    <row r="317" spans="1:14" x14ac:dyDescent="0.25">
      <c r="A317">
        <v>310</v>
      </c>
      <c r="B317">
        <v>0.5</v>
      </c>
      <c r="C317">
        <v>0.5</v>
      </c>
      <c r="D317">
        <v>0.5</v>
      </c>
      <c r="E317">
        <v>0.5</v>
      </c>
      <c r="F317">
        <v>0.75</v>
      </c>
      <c r="G317">
        <v>0.25</v>
      </c>
      <c r="H317">
        <v>0</v>
      </c>
      <c r="I317">
        <v>1</v>
      </c>
      <c r="J317" s="272">
        <f>$C$3*($C$4*$E$4*B316*$B$7)*$G$4+$C$3*($C$4*$E$5*D317*$D$7)*$G$4+$C$3*($C$4*$E$4*C317*$C$7)*$G$5+$C$3*($C$4*$E$5*E317*$E$7)*$G$5+$C$3*($C$5*$E$4*F317*$F$7)*$H$4+$C$3*($C$5*$E$5*H317*$H$7)*$H$4+$C$3*($C$5*$E$5*I317*$I$7)*$H$5+$C$3*($C$5*$E$4*G317*$G$7)*$H$5</f>
        <v>4392951.1482644398</v>
      </c>
      <c r="K317" s="277">
        <f>ROUND(($C$4*$E$4*B317*$B$7+$C$4*$E$4*C317*$C$7+$C$4*$E$5*D317*$D$7+$C$4*$E$5*E317*$E$7+($C$5*$E$4*F317*$F$7+$C$5*$E$4*G317*$G$7+$C$5*$E$5*H317*$H$7+$C$5*$E$5*I317*$I$7)),2)</f>
        <v>0.57999999999999996</v>
      </c>
      <c r="L317" s="276">
        <f>Scenario[[#This Row],[Total Cost]]/(Scenario[[#This Row],[Total Coverage]]*100)</f>
        <v>75740.537039042072</v>
      </c>
      <c r="M317" s="295" cm="1">
        <f t="array" ref="M317">IF(AND(K317=MAX(K$10:K317), L317=MIN(IF(K$10:K317=K317, L$10:L317))), 1, 0)</f>
        <v>0</v>
      </c>
      <c r="N317" s="295">
        <f>IF(AND(Scenario[[#This Row],[Total Coverage]]&gt;=70%,Scenario[[#This Row],[Frontier]]=1),1,0)</f>
        <v>0</v>
      </c>
    </row>
    <row r="318" spans="1:14" x14ac:dyDescent="0.25">
      <c r="A318">
        <v>462</v>
      </c>
      <c r="B318">
        <v>0.25</v>
      </c>
      <c r="C318">
        <v>0.75</v>
      </c>
      <c r="D318">
        <v>0.25</v>
      </c>
      <c r="E318">
        <v>0.75</v>
      </c>
      <c r="F318">
        <v>0.5</v>
      </c>
      <c r="G318">
        <v>0.5</v>
      </c>
      <c r="H318">
        <v>0.75</v>
      </c>
      <c r="I318">
        <v>0.25</v>
      </c>
      <c r="J318" s="272">
        <f>$C$3*($C$4*$E$4*B317*$B$7)*$G$4+$C$3*($C$4*$E$5*D318*$D$7)*$G$4+$C$3*($C$4*$E$4*C318*$C$7)*$G$5+$C$3*($C$4*$E$5*E318*$E$7)*$G$5+$C$3*($C$5*$E$4*F318*$F$7)*$H$4+$C$3*($C$5*$E$5*H318*$H$7)*$H$4+$C$3*($C$5*$E$5*I318*$I$7)*$H$5+$C$3*($C$5*$E$4*G318*$G$7)*$H$5</f>
        <v>4871449.3927231766</v>
      </c>
      <c r="K318" s="277">
        <f>ROUND(($C$4*$E$4*B318*$B$7+$C$4*$E$4*C318*$C$7+$C$4*$E$5*D318*$D$7+$C$4*$E$5*E318*$E$7+($C$5*$E$4*F318*$F$7+$C$5*$E$4*G318*$G$7+$C$5*$E$5*H318*$H$7+$C$5*$E$5*I318*$I$7)),2)</f>
        <v>0.57999999999999996</v>
      </c>
      <c r="L318" s="276">
        <f>Scenario[[#This Row],[Total Cost]]/(Scenario[[#This Row],[Total Coverage]]*100)</f>
        <v>83990.506771089262</v>
      </c>
      <c r="M318" s="295" cm="1">
        <f t="array" ref="M318">IF(AND(K318=MAX(K$10:K318), L318=MIN(IF(K$10:K318=K318, L$10:L318))), 1, 0)</f>
        <v>0</v>
      </c>
      <c r="N318" s="295">
        <f>IF(AND(Scenario[[#This Row],[Total Coverage]]&gt;=70%,Scenario[[#This Row],[Frontier]]=1),1,0)</f>
        <v>0</v>
      </c>
    </row>
    <row r="319" spans="1:14" x14ac:dyDescent="0.25">
      <c r="A319">
        <v>391</v>
      </c>
      <c r="B319">
        <v>0.25</v>
      </c>
      <c r="C319">
        <v>0.75</v>
      </c>
      <c r="D319">
        <v>1</v>
      </c>
      <c r="E319">
        <v>0</v>
      </c>
      <c r="F319">
        <v>0.25</v>
      </c>
      <c r="G319">
        <v>0.75</v>
      </c>
      <c r="H319">
        <v>1</v>
      </c>
      <c r="I319">
        <v>0</v>
      </c>
      <c r="J319" s="272">
        <f>$C$3*($C$4*$E$4*B318*$B$7)*$G$4+$C$3*($C$4*$E$5*D319*$D$7)*$G$4+$C$3*($C$4*$E$4*C319*$C$7)*$G$5+$C$3*($C$4*$E$5*E319*$E$7)*$G$5+$C$3*($C$5*$E$4*F319*$F$7)*$H$4+$C$3*($C$5*$E$5*H319*$H$7)*$H$4+$C$3*($C$5*$E$5*I319*$I$7)*$H$5+$C$3*($C$5*$E$4*G319*$G$7)*$H$5</f>
        <v>4666907.1571924454</v>
      </c>
      <c r="K319" s="277">
        <f>ROUND(($C$4*$E$4*B319*$B$7+$C$4*$E$4*C319*$C$7+$C$4*$E$5*D319*$D$7+$C$4*$E$5*E319*$E$7+($C$5*$E$4*F319*$F$7+$C$5*$E$4*G319*$G$7+$C$5*$E$5*H319*$H$7+$C$5*$E$5*I319*$I$7)),2)</f>
        <v>0.57999999999999996</v>
      </c>
      <c r="L319" s="276">
        <f>Scenario[[#This Row],[Total Cost]]/(Scenario[[#This Row],[Total Coverage]]*100)</f>
        <v>80463.916503318032</v>
      </c>
      <c r="M319" s="295" cm="1">
        <f t="array" ref="M319">IF(AND(K319=MAX(K$10:K319), L319=MIN(IF(K$10:K319=K319, L$10:L319))), 1, 0)</f>
        <v>0</v>
      </c>
      <c r="N319" s="295">
        <f>IF(AND(Scenario[[#This Row],[Total Coverage]]&gt;=70%,Scenario[[#This Row],[Frontier]]=1),1,0)</f>
        <v>0</v>
      </c>
    </row>
    <row r="320" spans="1:14" x14ac:dyDescent="0.25">
      <c r="A320">
        <v>537</v>
      </c>
      <c r="B320">
        <v>0</v>
      </c>
      <c r="C320">
        <v>1</v>
      </c>
      <c r="D320">
        <v>0.75</v>
      </c>
      <c r="E320">
        <v>0.25</v>
      </c>
      <c r="F320">
        <v>0.5</v>
      </c>
      <c r="G320">
        <v>0.5</v>
      </c>
      <c r="H320">
        <v>0.75</v>
      </c>
      <c r="I320">
        <v>0.25</v>
      </c>
      <c r="J320" s="272">
        <f>$C$3*($C$4*$E$4*B319*$B$7)*$G$4+$C$3*($C$4*$E$5*D320*$D$7)*$G$4+$C$3*($C$4*$E$4*C320*$C$7)*$G$5+$C$3*($C$4*$E$5*E320*$E$7)*$G$5+$C$3*($C$5*$E$4*F320*$F$7)*$H$4+$C$3*($C$5*$E$5*H320*$H$7)*$H$4+$C$3*($C$5*$E$5*I320*$I$7)*$H$5+$C$3*($C$5*$E$4*G320*$G$7)*$H$5</f>
        <v>4889508.8283427665</v>
      </c>
      <c r="K320" s="277">
        <f>ROUND(($C$4*$E$4*B320*$B$7+$C$4*$E$4*C320*$C$7+$C$4*$E$5*D320*$D$7+$C$4*$E$5*E320*$E$7+($C$5*$E$4*F320*$F$7+$C$5*$E$4*G320*$G$7+$C$5*$E$5*H320*$H$7+$C$5*$E$5*I320*$I$7)),2)</f>
        <v>0.57999999999999996</v>
      </c>
      <c r="L320" s="276">
        <f>Scenario[[#This Row],[Total Cost]]/(Scenario[[#This Row],[Total Coverage]]*100)</f>
        <v>84301.876350737366</v>
      </c>
      <c r="M320" s="295" cm="1">
        <f t="array" ref="M320">IF(AND(K320=MAX(K$10:K320), L320=MIN(IF(K$10:K320=K320, L$10:L320))), 1, 0)</f>
        <v>0</v>
      </c>
      <c r="N320" s="295">
        <f>IF(AND(Scenario[[#This Row],[Total Coverage]]&gt;=70%,Scenario[[#This Row],[Frontier]]=1),1,0)</f>
        <v>0</v>
      </c>
    </row>
    <row r="321" spans="1:14" x14ac:dyDescent="0.25">
      <c r="A321">
        <v>608</v>
      </c>
      <c r="B321">
        <v>0</v>
      </c>
      <c r="C321">
        <v>1</v>
      </c>
      <c r="D321">
        <v>0</v>
      </c>
      <c r="E321">
        <v>1</v>
      </c>
      <c r="F321">
        <v>0.75</v>
      </c>
      <c r="G321">
        <v>0.25</v>
      </c>
      <c r="H321">
        <v>0.5</v>
      </c>
      <c r="I321">
        <v>0.5</v>
      </c>
      <c r="J321" s="272">
        <f>$C$3*($C$4*$E$4*B320*$B$7)*$G$4+$C$3*($C$4*$E$5*D321*$D$7)*$G$4+$C$3*($C$4*$E$4*C321*$C$7)*$G$5+$C$3*($C$4*$E$5*E321*$E$7)*$G$5+$C$3*($C$5*$E$4*F321*$F$7)*$H$4+$C$3*($C$5*$E$5*H321*$H$7)*$H$4+$C$3*($C$5*$E$5*I321*$I$7)*$H$5+$C$3*($C$5*$E$4*G321*$G$7)*$H$5</f>
        <v>4881231.8060769998</v>
      </c>
      <c r="K321" s="277">
        <f>ROUND(($C$4*$E$4*B321*$B$7+$C$4*$E$4*C321*$C$7+$C$4*$E$5*D321*$D$7+$C$4*$E$5*E321*$E$7+($C$5*$E$4*F321*$F$7+$C$5*$E$4*G321*$G$7+$C$5*$E$5*H321*$H$7+$C$5*$E$5*I321*$I$7)),2)</f>
        <v>0.57999999999999996</v>
      </c>
      <c r="L321" s="276">
        <f>Scenario[[#This Row],[Total Cost]]/(Scenario[[#This Row],[Total Coverage]]*100)</f>
        <v>84159.169070293108</v>
      </c>
      <c r="M321" s="295" cm="1">
        <f t="array" ref="M321">IF(AND(K321=MAX(K$10:K321), L321=MIN(IF(K$10:K321=K321, L$10:L321))), 1, 0)</f>
        <v>0</v>
      </c>
      <c r="N321" s="295">
        <f>IF(AND(Scenario[[#This Row],[Total Coverage]]&gt;=70%,Scenario[[#This Row],[Frontier]]=1),1,0)</f>
        <v>0</v>
      </c>
    </row>
    <row r="322" spans="1:14" x14ac:dyDescent="0.25">
      <c r="A322">
        <v>611</v>
      </c>
      <c r="B322">
        <v>0</v>
      </c>
      <c r="C322">
        <v>1</v>
      </c>
      <c r="D322">
        <v>0</v>
      </c>
      <c r="E322">
        <v>1</v>
      </c>
      <c r="F322">
        <v>0.5</v>
      </c>
      <c r="G322">
        <v>0.5</v>
      </c>
      <c r="H322">
        <v>1</v>
      </c>
      <c r="I322">
        <v>0</v>
      </c>
      <c r="J322" s="272">
        <f>$C$3*($C$4*$E$4*B321*$B$7)*$G$4+$C$3*($C$4*$E$5*D322*$D$7)*$G$4+$C$3*($C$4*$E$4*C322*$C$7)*$G$5+$C$3*($C$4*$E$5*E322*$E$7)*$G$5+$C$3*($C$5*$E$4*F322*$F$7)*$H$4+$C$3*($C$5*$E$5*H322*$H$7)*$H$4+$C$3*($C$5*$E$5*I322*$I$7)*$H$5+$C$3*($C$5*$E$4*G322*$G$7)*$H$5</f>
        <v>4955975.2782820817</v>
      </c>
      <c r="K322" s="277">
        <f>ROUND(($C$4*$E$4*B322*$B$7+$C$4*$E$4*C322*$C$7+$C$4*$E$5*D322*$D$7+$C$4*$E$5*E322*$E$7+($C$5*$E$4*F322*$F$7+$C$5*$E$4*G322*$G$7+$C$5*$E$5*H322*$H$7+$C$5*$E$5*I322*$I$7)),2)</f>
        <v>0.57999999999999996</v>
      </c>
      <c r="L322" s="276">
        <f>Scenario[[#This Row],[Total Cost]]/(Scenario[[#This Row],[Total Coverage]]*100)</f>
        <v>85447.84962555315</v>
      </c>
      <c r="M322" s="295" cm="1">
        <f t="array" ref="M322">IF(AND(K322=MAX(K$10:K322), L322=MIN(IF(K$10:K322=K322, L$10:L322))), 1, 0)</f>
        <v>0</v>
      </c>
      <c r="N322" s="295">
        <f>IF(AND(Scenario[[#This Row],[Total Coverage]]&gt;=70%,Scenario[[#This Row],[Frontier]]=1),1,0)</f>
        <v>0</v>
      </c>
    </row>
    <row r="323" spans="1:14" x14ac:dyDescent="0.25">
      <c r="A323">
        <v>15</v>
      </c>
      <c r="B323">
        <v>1</v>
      </c>
      <c r="C323">
        <v>0</v>
      </c>
      <c r="D323">
        <v>1</v>
      </c>
      <c r="E323">
        <v>0</v>
      </c>
      <c r="F323">
        <v>0.5</v>
      </c>
      <c r="G323">
        <v>0.5</v>
      </c>
      <c r="H323">
        <v>0</v>
      </c>
      <c r="I323">
        <v>1</v>
      </c>
      <c r="J323" s="272">
        <f>$C$3*($C$4*$E$4*B322*$B$7)*$G$4+$C$3*($C$4*$E$5*D323*$D$7)*$G$4+$C$3*($C$4*$E$4*C323*$C$7)*$G$5+$C$3*($C$4*$E$5*E323*$E$7)*$G$5+$C$3*($C$5*$E$4*F323*$F$7)*$H$4+$C$3*($C$5*$E$5*H323*$H$7)*$H$4+$C$3*($C$5*$E$5*I323*$I$7)*$H$5+$C$3*($C$5*$E$4*G323*$G$7)*$H$5</f>
        <v>3766594.7048604637</v>
      </c>
      <c r="K323" s="277">
        <f>ROUND(($C$4*$E$4*B323*$B$7+$C$4*$E$4*C323*$C$7+$C$4*$E$5*D323*$D$7+$C$4*$E$5*E323*$E$7+($C$5*$E$4*F323*$F$7+$C$5*$E$4*G323*$G$7+$C$5*$E$5*H323*$H$7+$C$5*$E$5*I323*$I$7)),2)</f>
        <v>0.59</v>
      </c>
      <c r="L323" s="276">
        <f>Scenario[[#This Row],[Total Cost]]/(Scenario[[#This Row],[Total Coverage]]*100)</f>
        <v>63840.588217973964</v>
      </c>
      <c r="M323" s="295" cm="1">
        <f t="array" ref="M323">IF(AND(K323=MAX(K$10:K323), L323=MIN(IF(K$10:K323=K323, L$10:L323))), 1, 0)</f>
        <v>1</v>
      </c>
      <c r="N323" s="295">
        <f>IF(AND(Scenario[[#This Row],[Total Coverage]]&gt;=70%,Scenario[[#This Row],[Frontier]]=1),1,0)</f>
        <v>0</v>
      </c>
    </row>
    <row r="324" spans="1:14" x14ac:dyDescent="0.25">
      <c r="A324">
        <v>92</v>
      </c>
      <c r="B324">
        <v>1</v>
      </c>
      <c r="C324">
        <v>0</v>
      </c>
      <c r="D324">
        <v>0.25</v>
      </c>
      <c r="E324">
        <v>0.75</v>
      </c>
      <c r="F324">
        <v>0.25</v>
      </c>
      <c r="G324">
        <v>0.75</v>
      </c>
      <c r="H324">
        <v>0.75</v>
      </c>
      <c r="I324">
        <v>0.25</v>
      </c>
      <c r="J324" s="272">
        <f>$C$3*($C$4*$E$4*B323*$B$7)*$G$4+$C$3*($C$4*$E$5*D324*$D$7)*$G$4+$C$3*($C$4*$E$4*C324*$C$7)*$G$5+$C$3*($C$4*$E$5*E324*$E$7)*$G$5+$C$3*($C$5*$E$4*F324*$F$7)*$H$4+$C$3*($C$5*$E$5*H324*$H$7)*$H$4+$C$3*($C$5*$E$5*I324*$I$7)*$H$5+$C$3*($C$5*$E$4*G324*$G$7)*$H$5</f>
        <v>4439852.7714961097</v>
      </c>
      <c r="K324" s="277">
        <f>ROUND(($C$4*$E$4*B324*$B$7+$C$4*$E$4*C324*$C$7+$C$4*$E$5*D324*$D$7+$C$4*$E$5*E324*$E$7+($C$5*$E$4*F324*$F$7+$C$5*$E$4*G324*$G$7+$C$5*$E$5*H324*$H$7+$C$5*$E$5*I324*$I$7)),2)</f>
        <v>0.59</v>
      </c>
      <c r="L324" s="276">
        <f>Scenario[[#This Row],[Total Cost]]/(Scenario[[#This Row],[Total Coverage]]*100)</f>
        <v>75251.741889764569</v>
      </c>
      <c r="M324" s="295" cm="1">
        <f t="array" ref="M324">IF(AND(K324=MAX(K$10:K324), L324=MIN(IF(K$10:K324=K324, L$10:L324))), 1, 0)</f>
        <v>0</v>
      </c>
      <c r="N324" s="295">
        <f>IF(AND(Scenario[[#This Row],[Total Coverage]]&gt;=70%,Scenario[[#This Row],[Frontier]]=1),1,0)</f>
        <v>0</v>
      </c>
    </row>
    <row r="325" spans="1:14" x14ac:dyDescent="0.25">
      <c r="A325">
        <v>89</v>
      </c>
      <c r="B325">
        <v>1</v>
      </c>
      <c r="C325">
        <v>0</v>
      </c>
      <c r="D325">
        <v>0.25</v>
      </c>
      <c r="E325">
        <v>0.75</v>
      </c>
      <c r="F325">
        <v>0.5</v>
      </c>
      <c r="G325">
        <v>0.5</v>
      </c>
      <c r="H325">
        <v>0.25</v>
      </c>
      <c r="I325">
        <v>0.75</v>
      </c>
      <c r="J325" s="272">
        <f>$C$3*($C$4*$E$4*B324*$B$7)*$G$4+$C$3*($C$4*$E$5*D325*$D$7)*$G$4+$C$3*($C$4*$E$4*C325*$C$7)*$G$5+$C$3*($C$4*$E$5*E325*$E$7)*$G$5+$C$3*($C$5*$E$4*F325*$F$7)*$H$4+$C$3*($C$5*$E$5*H325*$H$7)*$H$4+$C$3*($C$5*$E$5*I325*$I$7)*$H$5+$C$3*($C$5*$E$4*G325*$G$7)*$H$5</f>
        <v>4365109.2992910268</v>
      </c>
      <c r="K325" s="277">
        <f>ROUND(($C$4*$E$4*B325*$B$7+$C$4*$E$4*C325*$C$7+$C$4*$E$5*D325*$D$7+$C$4*$E$5*E325*$E$7+($C$5*$E$4*F325*$F$7+$C$5*$E$4*G325*$G$7+$C$5*$E$5*H325*$H$7+$C$5*$E$5*I325*$I$7)),2)</f>
        <v>0.59</v>
      </c>
      <c r="L325" s="276">
        <f>Scenario[[#This Row],[Total Cost]]/(Scenario[[#This Row],[Total Coverage]]*100)</f>
        <v>73984.903377814015</v>
      </c>
      <c r="M325" s="295" cm="1">
        <f t="array" ref="M325">IF(AND(K325=MAX(K$10:K325), L325=MIN(IF(K$10:K325=K325, L$10:L325))), 1, 0)</f>
        <v>0</v>
      </c>
      <c r="N325" s="295">
        <f>IF(AND(Scenario[[#This Row],[Total Coverage]]&gt;=70%,Scenario[[#This Row],[Frontier]]=1),1,0)</f>
        <v>0</v>
      </c>
    </row>
    <row r="326" spans="1:14" x14ac:dyDescent="0.25">
      <c r="A326">
        <v>18</v>
      </c>
      <c r="B326">
        <v>1</v>
      </c>
      <c r="C326">
        <v>0</v>
      </c>
      <c r="D326">
        <v>1</v>
      </c>
      <c r="E326">
        <v>0</v>
      </c>
      <c r="F326">
        <v>0.25</v>
      </c>
      <c r="G326">
        <v>0.75</v>
      </c>
      <c r="H326">
        <v>0.5</v>
      </c>
      <c r="I326">
        <v>0.5</v>
      </c>
      <c r="J326" s="272">
        <f>$C$3*($C$4*$E$4*B325*$B$7)*$G$4+$C$3*($C$4*$E$5*D326*$D$7)*$G$4+$C$3*($C$4*$E$4*C326*$C$7)*$G$5+$C$3*($C$4*$E$5*E326*$E$7)*$G$5+$C$3*($C$5*$E$4*F326*$F$7)*$H$4+$C$3*($C$5*$E$5*H326*$H$7)*$H$4+$C$3*($C$5*$E$5*I326*$I$7)*$H$5+$C$3*($C$5*$E$4*G326*$G$7)*$H$5</f>
        <v>4266976.6926585445</v>
      </c>
      <c r="K326" s="277">
        <f>ROUND(($C$4*$E$4*B326*$B$7+$C$4*$E$4*C326*$C$7+$C$4*$E$5*D326*$D$7+$C$4*$E$5*E326*$E$7+($C$5*$E$4*F326*$F$7+$C$5*$E$4*G326*$G$7+$C$5*$E$5*H326*$H$7+$C$5*$E$5*I326*$I$7)),2)</f>
        <v>0.59</v>
      </c>
      <c r="L326" s="276">
        <f>Scenario[[#This Row],[Total Cost]]/(Scenario[[#This Row],[Total Coverage]]*100)</f>
        <v>72321.638858619393</v>
      </c>
      <c r="M326" s="295" cm="1">
        <f t="array" ref="M326">IF(AND(K326=MAX(K$10:K326), L326=MIN(IF(K$10:K326=K326, L$10:L326))), 1, 0)</f>
        <v>0</v>
      </c>
      <c r="N326" s="295">
        <f>IF(AND(Scenario[[#This Row],[Total Coverage]]&gt;=70%,Scenario[[#This Row],[Frontier]]=1),1,0)</f>
        <v>0</v>
      </c>
    </row>
    <row r="327" spans="1:14" x14ac:dyDescent="0.25">
      <c r="A327">
        <v>21</v>
      </c>
      <c r="B327">
        <v>1</v>
      </c>
      <c r="C327">
        <v>0</v>
      </c>
      <c r="D327">
        <v>1</v>
      </c>
      <c r="E327">
        <v>0</v>
      </c>
      <c r="F327">
        <v>0</v>
      </c>
      <c r="G327">
        <v>1</v>
      </c>
      <c r="H327">
        <v>1</v>
      </c>
      <c r="I327">
        <v>0</v>
      </c>
      <c r="J327" s="272">
        <f>$C$3*($C$4*$E$4*B326*$B$7)*$G$4+$C$3*($C$4*$E$5*D327*$D$7)*$G$4+$C$3*($C$4*$E$4*C327*$C$7)*$G$5+$C$3*($C$4*$E$5*E327*$E$7)*$G$5+$C$3*($C$5*$E$4*F327*$F$7)*$H$4+$C$3*($C$5*$E$5*H327*$H$7)*$H$4+$C$3*($C$5*$E$5*I327*$I$7)*$H$5+$C$3*($C$5*$E$4*G327*$G$7)*$H$5</f>
        <v>4341720.1648636265</v>
      </c>
      <c r="K327" s="277">
        <f>ROUND(($C$4*$E$4*B327*$B$7+$C$4*$E$4*C327*$C$7+$C$4*$E$5*D327*$D$7+$C$4*$E$5*E327*$E$7+($C$5*$E$4*F327*$F$7+$C$5*$E$4*G327*$G$7+$C$5*$E$5*H327*$H$7+$C$5*$E$5*I327*$I$7)),2)</f>
        <v>0.59</v>
      </c>
      <c r="L327" s="276">
        <f>Scenario[[#This Row],[Total Cost]]/(Scenario[[#This Row],[Total Coverage]]*100)</f>
        <v>73588.477370569934</v>
      </c>
      <c r="M327" s="295" cm="1">
        <f t="array" ref="M327">IF(AND(K327=MAX(K$10:K327), L327=MIN(IF(K$10:K327=K327, L$10:L327))), 1, 0)</f>
        <v>0</v>
      </c>
      <c r="N327" s="295">
        <f>IF(AND(Scenario[[#This Row],[Total Coverage]]&gt;=70%,Scenario[[#This Row],[Frontier]]=1),1,0)</f>
        <v>0</v>
      </c>
    </row>
    <row r="328" spans="1:14" x14ac:dyDescent="0.25">
      <c r="A328">
        <v>238</v>
      </c>
      <c r="B328">
        <v>0.75</v>
      </c>
      <c r="C328">
        <v>0.25</v>
      </c>
      <c r="D328">
        <v>0</v>
      </c>
      <c r="E328">
        <v>1</v>
      </c>
      <c r="F328">
        <v>0.5</v>
      </c>
      <c r="G328">
        <v>0.5</v>
      </c>
      <c r="H328">
        <v>0.5</v>
      </c>
      <c r="I328">
        <v>0.5</v>
      </c>
      <c r="J328" s="272">
        <f>$C$3*($C$4*$E$4*B327*$B$7)*$G$4+$C$3*($C$4*$E$5*D328*$D$7)*$G$4+$C$3*($C$4*$E$4*C328*$C$7)*$G$5+$C$3*($C$4*$E$5*E328*$E$7)*$G$5+$C$3*($C$5*$E$4*F328*$F$7)*$H$4+$C$3*($C$5*$E$5*H328*$H$7)*$H$4+$C$3*($C$5*$E$5*I328*$I$7)*$H$5+$C$3*($C$5*$E$4*G328*$G$7)*$H$5</f>
        <v>4662454.4426464308</v>
      </c>
      <c r="K328" s="277">
        <f>ROUND(($C$4*$E$4*B328*$B$7+$C$4*$E$4*C328*$C$7+$C$4*$E$5*D328*$D$7+$C$4*$E$5*E328*$E$7+($C$5*$E$4*F328*$F$7+$C$5*$E$4*G328*$G$7+$C$5*$E$5*H328*$H$7+$C$5*$E$5*I328*$I$7)),2)</f>
        <v>0.59</v>
      </c>
      <c r="L328" s="276">
        <f>Scenario[[#This Row],[Total Cost]]/(Scenario[[#This Row],[Total Coverage]]*100)</f>
        <v>79024.651570278482</v>
      </c>
      <c r="M328" s="295" cm="1">
        <f t="array" ref="M328">IF(AND(K328=MAX(K$10:K328), L328=MIN(IF(K$10:K328=K328, L$10:L328))), 1, 0)</f>
        <v>0</v>
      </c>
      <c r="N328" s="295">
        <f>IF(AND(Scenario[[#This Row],[Total Coverage]]&gt;=70%,Scenario[[#This Row],[Frontier]]=1),1,0)</f>
        <v>0</v>
      </c>
    </row>
    <row r="329" spans="1:14" x14ac:dyDescent="0.25">
      <c r="A329">
        <v>235</v>
      </c>
      <c r="B329">
        <v>0.75</v>
      </c>
      <c r="C329">
        <v>0.25</v>
      </c>
      <c r="D329">
        <v>0</v>
      </c>
      <c r="E329">
        <v>1</v>
      </c>
      <c r="F329">
        <v>0.75</v>
      </c>
      <c r="G329">
        <v>0.25</v>
      </c>
      <c r="H329">
        <v>0</v>
      </c>
      <c r="I329">
        <v>1</v>
      </c>
      <c r="J329" s="272">
        <f>$C$3*($C$4*$E$4*B328*$B$7)*$G$4+$C$3*($C$4*$E$5*D329*$D$7)*$G$4+$C$3*($C$4*$E$4*C329*$C$7)*$G$5+$C$3*($C$4*$E$5*E329*$E$7)*$G$5+$C$3*($C$5*$E$4*F329*$F$7)*$H$4+$C$3*($C$5*$E$5*H329*$H$7)*$H$4+$C$3*($C$5*$E$5*I329*$I$7)*$H$5+$C$3*($C$5*$E$4*G329*$G$7)*$H$5</f>
        <v>4481301.3415430989</v>
      </c>
      <c r="K329" s="277">
        <f>ROUND(($C$4*$E$4*B329*$B$7+$C$4*$E$4*C329*$C$7+$C$4*$E$5*D329*$D$7+$C$4*$E$5*E329*$E$7+($C$5*$E$4*F329*$F$7+$C$5*$E$4*G329*$G$7+$C$5*$E$5*H329*$H$7+$C$5*$E$5*I329*$I$7)),2)</f>
        <v>0.59</v>
      </c>
      <c r="L329" s="276">
        <f>Scenario[[#This Row],[Total Cost]]/(Scenario[[#This Row],[Total Coverage]]*100)</f>
        <v>75954.260026154225</v>
      </c>
      <c r="M329" s="295" cm="1">
        <f t="array" ref="M329">IF(AND(K329=MAX(K$10:K329), L329=MIN(IF(K$10:K329=K329, L$10:L329))), 1, 0)</f>
        <v>0</v>
      </c>
      <c r="N329" s="295">
        <f>IF(AND(Scenario[[#This Row],[Total Coverage]]&gt;=70%,Scenario[[#This Row],[Frontier]]=1),1,0)</f>
        <v>0</v>
      </c>
    </row>
    <row r="330" spans="1:14" x14ac:dyDescent="0.25">
      <c r="A330">
        <v>164</v>
      </c>
      <c r="B330">
        <v>0.75</v>
      </c>
      <c r="C330">
        <v>0.25</v>
      </c>
      <c r="D330">
        <v>0.75</v>
      </c>
      <c r="E330">
        <v>0.25</v>
      </c>
      <c r="F330">
        <v>0.5</v>
      </c>
      <c r="G330">
        <v>0.5</v>
      </c>
      <c r="H330">
        <v>0.25</v>
      </c>
      <c r="I330">
        <v>0.75</v>
      </c>
      <c r="J330" s="272">
        <f>$C$3*($C$4*$E$4*B329*$B$7)*$G$4+$C$3*($C$4*$E$5*D330*$D$7)*$G$4+$C$3*($C$4*$E$4*C330*$C$7)*$G$5+$C$3*($C$4*$E$5*E330*$E$7)*$G$5+$C$3*($C$5*$E$4*F330*$F$7)*$H$4+$C$3*($C$5*$E$5*H330*$H$7)*$H$4+$C$3*($C$5*$E$5*I330*$I$7)*$H$5+$C$3*($C$5*$E$4*G330*$G$7)*$H$5</f>
        <v>4383168.7349106167</v>
      </c>
      <c r="K330" s="277">
        <f>ROUND(($C$4*$E$4*B330*$B$7+$C$4*$E$4*C330*$C$7+$C$4*$E$5*D330*$D$7+$C$4*$E$5*E330*$E$7+($C$5*$E$4*F330*$F$7+$C$5*$E$4*G330*$G$7+$C$5*$E$5*H330*$H$7+$C$5*$E$5*I330*$I$7)),2)</f>
        <v>0.59</v>
      </c>
      <c r="L330" s="276">
        <f>Scenario[[#This Row],[Total Cost]]/(Scenario[[#This Row],[Total Coverage]]*100)</f>
        <v>74290.995506959604</v>
      </c>
      <c r="M330" s="295" cm="1">
        <f t="array" ref="M330">IF(AND(K330=MAX(K$10:K330), L330=MIN(IF(K$10:K330=K330, L$10:L330))), 1, 0)</f>
        <v>0</v>
      </c>
      <c r="N330" s="295">
        <f>IF(AND(Scenario[[#This Row],[Total Coverage]]&gt;=70%,Scenario[[#This Row],[Frontier]]=1),1,0)</f>
        <v>0</v>
      </c>
    </row>
    <row r="331" spans="1:14" x14ac:dyDescent="0.25">
      <c r="A331">
        <v>241</v>
      </c>
      <c r="B331">
        <v>0.75</v>
      </c>
      <c r="C331">
        <v>0.25</v>
      </c>
      <c r="D331">
        <v>0</v>
      </c>
      <c r="E331">
        <v>1</v>
      </c>
      <c r="F331">
        <v>0.25</v>
      </c>
      <c r="G331">
        <v>0.75</v>
      </c>
      <c r="H331">
        <v>1</v>
      </c>
      <c r="I331">
        <v>0</v>
      </c>
      <c r="J331" s="272">
        <f>$C$3*($C$4*$E$4*B330*$B$7)*$G$4+$C$3*($C$4*$E$5*D331*$D$7)*$G$4+$C$3*($C$4*$E$4*C331*$C$7)*$G$5+$C$3*($C$4*$E$5*E331*$E$7)*$G$5+$C$3*($C$5*$E$4*F331*$F$7)*$H$4+$C$3*($C$5*$E$5*H331*$H$7)*$H$4+$C$3*($C$5*$E$5*I331*$I$7)*$H$5+$C$3*($C$5*$E$4*G331*$G$7)*$H$5</f>
        <v>4630788.2859532647</v>
      </c>
      <c r="K331" s="277">
        <f>ROUND(($C$4*$E$4*B331*$B$7+$C$4*$E$4*C331*$C$7+$C$4*$E$5*D331*$D$7+$C$4*$E$5*E331*$E$7+($C$5*$E$4*F331*$F$7+$C$5*$E$4*G331*$G$7+$C$5*$E$5*H331*$H$7+$C$5*$E$5*I331*$I$7)),2)</f>
        <v>0.59</v>
      </c>
      <c r="L331" s="276">
        <f>Scenario[[#This Row],[Total Cost]]/(Scenario[[#This Row],[Total Coverage]]*100)</f>
        <v>78487.937050055334</v>
      </c>
      <c r="M331" s="295" cm="1">
        <f t="array" ref="M331">IF(AND(K331=MAX(K$10:K331), L331=MIN(IF(K$10:K331=K331, L$10:L331))), 1, 0)</f>
        <v>0</v>
      </c>
      <c r="N331" s="295">
        <f>IF(AND(Scenario[[#This Row],[Total Coverage]]&gt;=70%,Scenario[[#This Row],[Frontier]]=1),1,0)</f>
        <v>0</v>
      </c>
    </row>
    <row r="332" spans="1:14" x14ac:dyDescent="0.25">
      <c r="A332">
        <v>316</v>
      </c>
      <c r="B332">
        <v>0.5</v>
      </c>
      <c r="C332">
        <v>0.5</v>
      </c>
      <c r="D332">
        <v>0.5</v>
      </c>
      <c r="E332">
        <v>0.5</v>
      </c>
      <c r="F332">
        <v>0.25</v>
      </c>
      <c r="G332">
        <v>0.75</v>
      </c>
      <c r="H332">
        <v>1</v>
      </c>
      <c r="I332">
        <v>0</v>
      </c>
      <c r="J332" s="272">
        <f>$C$3*($C$4*$E$4*B331*$B$7)*$G$4+$C$3*($C$4*$E$5*D332*$D$7)*$G$4+$C$3*($C$4*$E$4*C332*$C$7)*$G$5+$C$3*($C$4*$E$5*E332*$E$7)*$G$5+$C$3*($C$5*$E$4*F332*$F$7)*$H$4+$C$3*($C$5*$E$5*H332*$H$7)*$H$4+$C$3*($C$5*$E$5*I332*$I$7)*$H$5+$C$3*($C$5*$E$4*G332*$G$7)*$H$5</f>
        <v>4755257.3504711045</v>
      </c>
      <c r="K332" s="277">
        <f>ROUND(($C$4*$E$4*B332*$B$7+$C$4*$E$4*C332*$C$7+$C$4*$E$5*D332*$D$7+$C$4*$E$5*E332*$E$7+($C$5*$E$4*F332*$F$7+$C$5*$E$4*G332*$G$7+$C$5*$E$5*H332*$H$7+$C$5*$E$5*I332*$I$7)),2)</f>
        <v>0.59</v>
      </c>
      <c r="L332" s="276">
        <f>Scenario[[#This Row],[Total Cost]]/(Scenario[[#This Row],[Total Coverage]]*100)</f>
        <v>80597.582211374654</v>
      </c>
      <c r="M332" s="295" cm="1">
        <f t="array" ref="M332">IF(AND(K332=MAX(K$10:K332), L332=MIN(IF(K$10:K332=K332, L$10:L332))), 1, 0)</f>
        <v>0</v>
      </c>
      <c r="N332" s="295">
        <f>IF(AND(Scenario[[#This Row],[Total Coverage]]&gt;=70%,Scenario[[#This Row],[Frontier]]=1),1,0)</f>
        <v>0</v>
      </c>
    </row>
    <row r="333" spans="1:14" x14ac:dyDescent="0.25">
      <c r="A333">
        <v>167</v>
      </c>
      <c r="B333">
        <v>0.75</v>
      </c>
      <c r="C333">
        <v>0.25</v>
      </c>
      <c r="D333">
        <v>0.75</v>
      </c>
      <c r="E333">
        <v>0.25</v>
      </c>
      <c r="F333">
        <v>0.25</v>
      </c>
      <c r="G333">
        <v>0.75</v>
      </c>
      <c r="H333">
        <v>0.75</v>
      </c>
      <c r="I333">
        <v>0.25</v>
      </c>
      <c r="J333" s="272">
        <f>$C$3*($C$4*$E$4*B332*$B$7)*$G$4+$C$3*($C$4*$E$5*D333*$D$7)*$G$4+$C$3*($C$4*$E$4*C333*$C$7)*$G$5+$C$3*($C$4*$E$5*E333*$E$7)*$G$5+$C$3*($C$5*$E$4*F333*$F$7)*$H$4+$C$3*($C$5*$E$5*H333*$H$7)*$H$4+$C$3*($C$5*$E$5*I333*$I$7)*$H$5+$C$3*($C$5*$E$4*G333*$G$7)*$H$5</f>
        <v>4351502.5782174505</v>
      </c>
      <c r="K333" s="277">
        <f>ROUND(($C$4*$E$4*B333*$B$7+$C$4*$E$4*C333*$C$7+$C$4*$E$5*D333*$D$7+$C$4*$E$5*E333*$E$7+($C$5*$E$4*F333*$F$7+$C$5*$E$4*G333*$G$7+$C$5*$E$5*H333*$H$7+$C$5*$E$5*I333*$I$7)),2)</f>
        <v>0.59</v>
      </c>
      <c r="L333" s="276">
        <f>Scenario[[#This Row],[Total Cost]]/(Scenario[[#This Row],[Total Coverage]]*100)</f>
        <v>73754.280986736456</v>
      </c>
      <c r="M333" s="295" cm="1">
        <f t="array" ref="M333">IF(AND(K333=MAX(K$10:K333), L333=MIN(IF(K$10:K333=K333, L$10:L333))), 1, 0)</f>
        <v>0</v>
      </c>
      <c r="N333" s="295">
        <f>IF(AND(Scenario[[#This Row],[Total Coverage]]&gt;=70%,Scenario[[#This Row],[Frontier]]=1),1,0)</f>
        <v>0</v>
      </c>
    </row>
    <row r="334" spans="1:14" x14ac:dyDescent="0.25">
      <c r="A334">
        <v>264</v>
      </c>
      <c r="B334">
        <v>0.5</v>
      </c>
      <c r="C334">
        <v>0.5</v>
      </c>
      <c r="D334">
        <v>1</v>
      </c>
      <c r="E334">
        <v>0</v>
      </c>
      <c r="F334">
        <v>0.5</v>
      </c>
      <c r="G334">
        <v>0.5</v>
      </c>
      <c r="H334">
        <v>0.25</v>
      </c>
      <c r="I334">
        <v>0.75</v>
      </c>
      <c r="J334" s="272">
        <f>$C$3*($C$4*$E$4*B333*$B$7)*$G$4+$C$3*($C$4*$E$5*D334*$D$7)*$G$4+$C$3*($C$4*$E$4*C334*$C$7)*$G$5+$C$3*($C$4*$E$5*E334*$E$7)*$G$5+$C$3*($C$5*$E$4*F334*$F$7)*$H$4+$C$3*($C$5*$E$5*H334*$H$7)*$H$4+$C$3*($C$5*$E$5*I334*$I$7)*$H$5+$C$3*($C$5*$E$4*G334*$G$7)*$H$5</f>
        <v>4691914.1191193638</v>
      </c>
      <c r="K334" s="277">
        <f>ROUND(($C$4*$E$4*B334*$B$7+$C$4*$E$4*C334*$C$7+$C$4*$E$5*D334*$D$7+$C$4*$E$5*E334*$E$7+($C$5*$E$4*F334*$F$7+$C$5*$E$4*G334*$G$7+$C$5*$E$5*H334*$H$7+$C$5*$E$5*I334*$I$7)),2)</f>
        <v>0.59</v>
      </c>
      <c r="L334" s="276">
        <f>Scenario[[#This Row],[Total Cost]]/(Scenario[[#This Row],[Total Coverage]]*100)</f>
        <v>79523.968120667181</v>
      </c>
      <c r="M334" s="295" cm="1">
        <f t="array" ref="M334">IF(AND(K334=MAX(K$10:K334), L334=MIN(IF(K$10:K334=K334, L$10:L334))), 1, 0)</f>
        <v>0</v>
      </c>
      <c r="N334" s="295">
        <f>IF(AND(Scenario[[#This Row],[Total Coverage]]&gt;=70%,Scenario[[#This Row],[Frontier]]=1),1,0)</f>
        <v>0</v>
      </c>
    </row>
    <row r="335" spans="1:14" x14ac:dyDescent="0.25">
      <c r="A335">
        <v>484</v>
      </c>
      <c r="B335">
        <v>0.25</v>
      </c>
      <c r="C335">
        <v>0.75</v>
      </c>
      <c r="D335">
        <v>0</v>
      </c>
      <c r="E335">
        <v>1</v>
      </c>
      <c r="F335">
        <v>0.75</v>
      </c>
      <c r="G335">
        <v>0.25</v>
      </c>
      <c r="H335">
        <v>0.25</v>
      </c>
      <c r="I335">
        <v>0.75</v>
      </c>
      <c r="J335" s="272">
        <f>$C$3*($C$4*$E$4*B334*$B$7)*$G$4+$C$3*($C$4*$E$5*D335*$D$7)*$G$4+$C$3*($C$4*$E$4*C335*$C$7)*$G$5+$C$3*($C$4*$E$5*E335*$E$7)*$G$5+$C$3*($C$5*$E$4*F335*$F$7)*$H$4+$C$3*($C$5*$E$5*H335*$H$7)*$H$4+$C$3*($C$5*$E$5*I335*$I$7)*$H$5+$C$3*($C$5*$E$4*G335*$G$7)*$H$5</f>
        <v>4980982.240209002</v>
      </c>
      <c r="K335" s="277">
        <f>ROUND(($C$4*$E$4*B335*$B$7+$C$4*$E$4*C335*$C$7+$C$4*$E$5*D335*$D$7+$C$4*$E$5*E335*$E$7+($C$5*$E$4*F335*$F$7+$C$5*$E$4*G335*$G$7+$C$5*$E$5*H335*$H$7+$C$5*$E$5*I335*$I$7)),2)</f>
        <v>0.59</v>
      </c>
      <c r="L335" s="276">
        <f>Scenario[[#This Row],[Total Cost]]/(Scenario[[#This Row],[Total Coverage]]*100)</f>
        <v>84423.427800152582</v>
      </c>
      <c r="M335" s="295" cm="1">
        <f t="array" ref="M335">IF(AND(K335=MAX(K$10:K335), L335=MIN(IF(K$10:K335=K335, L$10:L335))), 1, 0)</f>
        <v>0</v>
      </c>
      <c r="N335" s="295">
        <f>IF(AND(Scenario[[#This Row],[Total Coverage]]&gt;=70%,Scenario[[#This Row],[Frontier]]=1),1,0)</f>
        <v>0</v>
      </c>
    </row>
    <row r="336" spans="1:14" x14ac:dyDescent="0.25">
      <c r="A336">
        <v>413</v>
      </c>
      <c r="B336">
        <v>0.25</v>
      </c>
      <c r="C336">
        <v>0.75</v>
      </c>
      <c r="D336">
        <v>0.75</v>
      </c>
      <c r="E336">
        <v>0.25</v>
      </c>
      <c r="F336">
        <v>0.5</v>
      </c>
      <c r="G336">
        <v>0.5</v>
      </c>
      <c r="H336">
        <v>0.5</v>
      </c>
      <c r="I336">
        <v>0.5</v>
      </c>
      <c r="J336" s="272">
        <f>$C$3*($C$4*$E$4*B335*$B$7)*$G$4+$C$3*($C$4*$E$5*D336*$D$7)*$G$4+$C$3*($C$4*$E$4*C336*$C$7)*$G$5+$C$3*($C$4*$E$5*E336*$E$7)*$G$5+$C$3*($C$5*$E$4*F336*$F$7)*$H$4+$C$3*($C$5*$E$5*H336*$H$7)*$H$4+$C$3*($C$5*$E$5*I336*$I$7)*$H$5+$C$3*($C$5*$E$4*G336*$G$7)*$H$5</f>
        <v>4776440.0046782698</v>
      </c>
      <c r="K336" s="277">
        <f>ROUND(($C$4*$E$4*B336*$B$7+$C$4*$E$4*C336*$C$7+$C$4*$E$5*D336*$D$7+$C$4*$E$5*E336*$E$7+($C$5*$E$4*F336*$F$7+$C$5*$E$4*G336*$G$7+$C$5*$E$5*H336*$H$7+$C$5*$E$5*I336*$I$7)),2)</f>
        <v>0.59</v>
      </c>
      <c r="L336" s="276">
        <f>Scenario[[#This Row],[Total Cost]]/(Scenario[[#This Row],[Total Coverage]]*100)</f>
        <v>80956.610248784229</v>
      </c>
      <c r="M336" s="295" cm="1">
        <f t="array" ref="M336">IF(AND(K336=MAX(K$10:K336), L336=MIN(IF(K$10:K336=K336, L$10:L336))), 1, 0)</f>
        <v>0</v>
      </c>
      <c r="N336" s="295">
        <f>IF(AND(Scenario[[#This Row],[Total Coverage]]&gt;=70%,Scenario[[#This Row],[Frontier]]=1),1,0)</f>
        <v>0</v>
      </c>
    </row>
    <row r="337" spans="1:14" x14ac:dyDescent="0.25">
      <c r="A337">
        <v>335</v>
      </c>
      <c r="B337">
        <v>0.5</v>
      </c>
      <c r="C337">
        <v>0.5</v>
      </c>
      <c r="D337">
        <v>0.25</v>
      </c>
      <c r="E337">
        <v>0.75</v>
      </c>
      <c r="F337">
        <v>0.75</v>
      </c>
      <c r="G337">
        <v>0.25</v>
      </c>
      <c r="H337">
        <v>0</v>
      </c>
      <c r="I337">
        <v>1</v>
      </c>
      <c r="J337" s="272">
        <f>$C$3*($C$4*$E$4*B336*$B$7)*$G$4+$C$3*($C$4*$E$5*D337*$D$7)*$G$4+$C$3*($C$4*$E$4*C337*$C$7)*$G$5+$C$3*($C$4*$E$5*E337*$E$7)*$G$5+$C$3*($C$5*$E$4*F337*$F$7)*$H$4+$C$3*($C$5*$E$5*H337*$H$7)*$H$4+$C$3*($C$5*$E$5*I337*$I$7)*$H$5+$C$3*($C$5*$E$4*G337*$G$7)*$H$5</f>
        <v>4577227.4679553481</v>
      </c>
      <c r="K337" s="277">
        <f>ROUND(($C$4*$E$4*B337*$B$7+$C$4*$E$4*C337*$C$7+$C$4*$E$5*D337*$D$7+$C$4*$E$5*E337*$E$7+($C$5*$E$4*F337*$F$7+$C$5*$E$4*G337*$G$7+$C$5*$E$5*H337*$H$7+$C$5*$E$5*I337*$I$7)),2)</f>
        <v>0.59</v>
      </c>
      <c r="L337" s="276">
        <f>Scenario[[#This Row],[Total Cost]]/(Scenario[[#This Row],[Total Coverage]]*100)</f>
        <v>77580.126575514369</v>
      </c>
      <c r="M337" s="295" cm="1">
        <f t="array" ref="M337">IF(AND(K337=MAX(K$10:K337), L337=MIN(IF(K$10:K337=K337, L$10:L337))), 1, 0)</f>
        <v>0</v>
      </c>
      <c r="N337" s="295">
        <f>IF(AND(Scenario[[#This Row],[Total Coverage]]&gt;=70%,Scenario[[#This Row],[Frontier]]=1),1,0)</f>
        <v>0</v>
      </c>
    </row>
    <row r="338" spans="1:14" x14ac:dyDescent="0.25">
      <c r="A338">
        <v>410</v>
      </c>
      <c r="B338">
        <v>0.25</v>
      </c>
      <c r="C338">
        <v>0.75</v>
      </c>
      <c r="D338">
        <v>0.75</v>
      </c>
      <c r="E338">
        <v>0.25</v>
      </c>
      <c r="F338">
        <v>0.75</v>
      </c>
      <c r="G338">
        <v>0.25</v>
      </c>
      <c r="H338">
        <v>0</v>
      </c>
      <c r="I338">
        <v>1</v>
      </c>
      <c r="J338" s="272">
        <f>$C$3*($C$4*$E$4*B337*$B$7)*$G$4+$C$3*($C$4*$E$5*D338*$D$7)*$G$4+$C$3*($C$4*$E$4*C338*$C$7)*$G$5+$C$3*($C$4*$E$5*E338*$E$7)*$G$5+$C$3*($C$5*$E$4*F338*$F$7)*$H$4+$C$3*($C$5*$E$5*H338*$H$7)*$H$4+$C$3*($C$5*$E$5*I338*$I$7)*$H$5+$C$3*($C$5*$E$4*G338*$G$7)*$H$5</f>
        <v>4808106.1613714369</v>
      </c>
      <c r="K338" s="277">
        <f>ROUND(($C$4*$E$4*B338*$B$7+$C$4*$E$4*C338*$C$7+$C$4*$E$5*D338*$D$7+$C$4*$E$5*E338*$E$7+($C$5*$E$4*F338*$F$7+$C$5*$E$4*G338*$G$7+$C$5*$E$5*H338*$H$7+$C$5*$E$5*I338*$I$7)),2)</f>
        <v>0.59</v>
      </c>
      <c r="L338" s="276">
        <f>Scenario[[#This Row],[Total Cost]]/(Scenario[[#This Row],[Total Coverage]]*100)</f>
        <v>81493.324769007406</v>
      </c>
      <c r="M338" s="295" cm="1">
        <f t="array" ref="M338">IF(AND(K338=MAX(K$10:K338), L338=MIN(IF(K$10:K338=K338, L$10:L338))), 1, 0)</f>
        <v>0</v>
      </c>
      <c r="N338" s="295">
        <f>IF(AND(Scenario[[#This Row],[Total Coverage]]&gt;=70%,Scenario[[#This Row],[Frontier]]=1),1,0)</f>
        <v>0</v>
      </c>
    </row>
    <row r="339" spans="1:14" x14ac:dyDescent="0.25">
      <c r="A339">
        <v>559</v>
      </c>
      <c r="B339">
        <v>0</v>
      </c>
      <c r="C339">
        <v>1</v>
      </c>
      <c r="D339">
        <v>0.5</v>
      </c>
      <c r="E339">
        <v>0.5</v>
      </c>
      <c r="F339">
        <v>0.75</v>
      </c>
      <c r="G339">
        <v>0.25</v>
      </c>
      <c r="H339">
        <v>0.25</v>
      </c>
      <c r="I339">
        <v>0.75</v>
      </c>
      <c r="J339" s="272">
        <f>$C$3*($C$4*$E$4*B338*$B$7)*$G$4+$C$3*($C$4*$E$5*D339*$D$7)*$G$4+$C$3*($C$4*$E$4*C339*$C$7)*$G$5+$C$3*($C$4*$E$5*E339*$E$7)*$G$5+$C$3*($C$5*$E$4*F339*$F$7)*$H$4+$C$3*($C$5*$E$5*H339*$H$7)*$H$4+$C$3*($C$5*$E$5*I339*$I$7)*$H$5+$C$3*($C$5*$E$4*G339*$G$7)*$H$5</f>
        <v>4999041.6758285919</v>
      </c>
      <c r="K339" s="277">
        <f>ROUND(($C$4*$E$4*B339*$B$7+$C$4*$E$4*C339*$C$7+$C$4*$E$5*D339*$D$7+$C$4*$E$5*E339*$E$7+($C$5*$E$4*F339*$F$7+$C$5*$E$4*G339*$G$7+$C$5*$E$5*H339*$H$7+$C$5*$E$5*I339*$I$7)),2)</f>
        <v>0.59</v>
      </c>
      <c r="L339" s="276">
        <f>Scenario[[#This Row],[Total Cost]]/(Scenario[[#This Row],[Total Coverage]]*100)</f>
        <v>84729.519929298171</v>
      </c>
      <c r="M339" s="295" cm="1">
        <f t="array" ref="M339">IF(AND(K339=MAX(K$10:K339), L339=MIN(IF(K$10:K339=K339, L$10:L339))), 1, 0)</f>
        <v>0</v>
      </c>
      <c r="N339" s="295">
        <f>IF(AND(Scenario[[#This Row],[Total Coverage]]&gt;=70%,Scenario[[#This Row],[Frontier]]=1),1,0)</f>
        <v>0</v>
      </c>
    </row>
    <row r="340" spans="1:14" x14ac:dyDescent="0.25">
      <c r="A340">
        <v>562</v>
      </c>
      <c r="B340">
        <v>0</v>
      </c>
      <c r="C340">
        <v>1</v>
      </c>
      <c r="D340">
        <v>0.5</v>
      </c>
      <c r="E340">
        <v>0.5</v>
      </c>
      <c r="F340">
        <v>0.5</v>
      </c>
      <c r="G340">
        <v>0.5</v>
      </c>
      <c r="H340">
        <v>0.75</v>
      </c>
      <c r="I340">
        <v>0.25</v>
      </c>
      <c r="J340" s="272">
        <f>$C$3*($C$4*$E$4*B339*$B$7)*$G$4+$C$3*($C$4*$E$5*D340*$D$7)*$G$4+$C$3*($C$4*$E$4*C340*$C$7)*$G$5+$C$3*($C$4*$E$5*E340*$E$7)*$G$5+$C$3*($C$5*$E$4*F340*$F$7)*$H$4+$C$3*($C$5*$E$5*H340*$H$7)*$H$4+$C$3*($C$5*$E$5*I340*$I$7)*$H$5+$C$3*($C$5*$E$4*G340*$G$7)*$H$5</f>
        <v>4967375.5191354249</v>
      </c>
      <c r="K340" s="277">
        <f>ROUND(($C$4*$E$4*B340*$B$7+$C$4*$E$4*C340*$C$7+$C$4*$E$5*D340*$D$7+$C$4*$E$5*E340*$E$7+($C$5*$E$4*F340*$F$7+$C$5*$E$4*G340*$G$7+$C$5*$E$5*H340*$H$7+$C$5*$E$5*I340*$I$7)),2)</f>
        <v>0.59</v>
      </c>
      <c r="L340" s="276">
        <f>Scenario[[#This Row],[Total Cost]]/(Scenario[[#This Row],[Total Coverage]]*100)</f>
        <v>84192.805409074994</v>
      </c>
      <c r="M340" s="295" cm="1">
        <f t="array" ref="M340">IF(AND(K340=MAX(K$10:K340), L340=MIN(IF(K$10:K340=K340, L$10:L340))), 1, 0)</f>
        <v>0</v>
      </c>
      <c r="N340" s="295">
        <f>IF(AND(Scenario[[#This Row],[Total Coverage]]&gt;=70%,Scenario[[#This Row],[Frontier]]=1),1,0)</f>
        <v>0</v>
      </c>
    </row>
    <row r="341" spans="1:14" x14ac:dyDescent="0.25">
      <c r="A341">
        <v>40</v>
      </c>
      <c r="B341">
        <v>1</v>
      </c>
      <c r="C341">
        <v>0</v>
      </c>
      <c r="D341">
        <v>0.75</v>
      </c>
      <c r="E341">
        <v>0.25</v>
      </c>
      <c r="F341">
        <v>0.5</v>
      </c>
      <c r="G341">
        <v>0.5</v>
      </c>
      <c r="H341">
        <v>0</v>
      </c>
      <c r="I341">
        <v>1</v>
      </c>
      <c r="J341" s="272">
        <f>$C$3*($C$4*$E$4*B340*$B$7)*$G$4+$C$3*($C$4*$E$5*D341*$D$7)*$G$4+$C$3*($C$4*$E$4*C341*$C$7)*$G$5+$C$3*($C$4*$E$5*E341*$E$7)*$G$5+$C$3*($C$5*$E$4*F341*$F$7)*$H$4+$C$3*($C$5*$E$5*H341*$H$7)*$H$4+$C$3*($C$5*$E$5*I341*$I$7)*$H$5+$C$3*($C$5*$E$4*G341*$G$7)*$H$5</f>
        <v>3950871.024551372</v>
      </c>
      <c r="K341" s="277">
        <f>ROUND(($C$4*$E$4*B341*$B$7+$C$4*$E$4*C341*$C$7+$C$4*$E$5*D341*$D$7+$C$4*$E$5*E341*$E$7+($C$5*$E$4*F341*$F$7+$C$5*$E$4*G341*$G$7+$C$5*$E$5*H341*$H$7+$C$5*$E$5*I341*$I$7)),2)</f>
        <v>0.6</v>
      </c>
      <c r="L341" s="276">
        <f>Scenario[[#This Row],[Total Cost]]/(Scenario[[#This Row],[Total Coverage]]*100)</f>
        <v>65847.85040918953</v>
      </c>
      <c r="M341" s="295" cm="1">
        <f t="array" ref="M341">IF(AND(K341=MAX(K$10:K341), L341=MIN(IF(K$10:K341=K341, L$10:L341))), 1, 0)</f>
        <v>1</v>
      </c>
      <c r="N341" s="295">
        <f>IF(AND(Scenario[[#This Row],[Total Coverage]]&gt;=70%,Scenario[[#This Row],[Frontier]]=1),1,0)</f>
        <v>0</v>
      </c>
    </row>
    <row r="342" spans="1:14" x14ac:dyDescent="0.25">
      <c r="A342">
        <v>192</v>
      </c>
      <c r="B342">
        <v>0.75</v>
      </c>
      <c r="C342">
        <v>0.25</v>
      </c>
      <c r="D342">
        <v>0.5</v>
      </c>
      <c r="E342">
        <v>0.5</v>
      </c>
      <c r="F342">
        <v>0.25</v>
      </c>
      <c r="G342">
        <v>0.75</v>
      </c>
      <c r="H342">
        <v>0.75</v>
      </c>
      <c r="I342">
        <v>0.25</v>
      </c>
      <c r="J342" s="272">
        <f>$C$3*($C$4*$E$4*B341*$B$7)*$G$4+$C$3*($C$4*$E$5*D342*$D$7)*$G$4+$C$3*($C$4*$E$4*C342*$C$7)*$G$5+$C$3*($C$4*$E$5*E342*$E$7)*$G$5+$C$3*($C$5*$E$4*F342*$F$7)*$H$4+$C$3*($C$5*$E$5*H342*$H$7)*$H$4+$C$3*($C$5*$E$5*I342*$I$7)*$H$5+$C$3*($C$5*$E$4*G342*$G$7)*$H$5</f>
        <v>4748598.1557048578</v>
      </c>
      <c r="K342" s="277">
        <f>ROUND(($C$4*$E$4*B342*$B$7+$C$4*$E$4*C342*$C$7+$C$4*$E$5*D342*$D$7+$C$4*$E$5*E342*$E$7+($C$5*$E$4*F342*$F$7+$C$5*$E$4*G342*$G$7+$C$5*$E$5*H342*$H$7+$C$5*$E$5*I342*$I$7)),2)</f>
        <v>0.6</v>
      </c>
      <c r="L342" s="276">
        <f>Scenario[[#This Row],[Total Cost]]/(Scenario[[#This Row],[Total Coverage]]*100)</f>
        <v>79143.302595080968</v>
      </c>
      <c r="M342" s="295" cm="1">
        <f t="array" ref="M342">IF(AND(K342=MAX(K$10:K342), L342=MIN(IF(K$10:K342=K342, L$10:L342))), 1, 0)</f>
        <v>0</v>
      </c>
      <c r="N342" s="295">
        <f>IF(AND(Scenario[[#This Row],[Total Coverage]]&gt;=70%,Scenario[[#This Row],[Frontier]]=1),1,0)</f>
        <v>0</v>
      </c>
    </row>
    <row r="343" spans="1:14" x14ac:dyDescent="0.25">
      <c r="A343">
        <v>114</v>
      </c>
      <c r="B343">
        <v>1</v>
      </c>
      <c r="C343">
        <v>0</v>
      </c>
      <c r="D343">
        <v>0</v>
      </c>
      <c r="E343">
        <v>1</v>
      </c>
      <c r="F343">
        <v>0.5</v>
      </c>
      <c r="G343">
        <v>0.5</v>
      </c>
      <c r="H343">
        <v>0.25</v>
      </c>
      <c r="I343">
        <v>0.75</v>
      </c>
      <c r="J343" s="272">
        <f>$C$3*($C$4*$E$4*B342*$B$7)*$G$4+$C$3*($C$4*$E$5*D343*$D$7)*$G$4+$C$3*($C$4*$E$4*C343*$C$7)*$G$5+$C$3*($C$4*$E$5*E343*$E$7)*$G$5+$C$3*($C$5*$E$4*F343*$F$7)*$H$4+$C$3*($C$5*$E$5*H343*$H$7)*$H$4+$C$3*($C$5*$E$5*I343*$I$7)*$H$5+$C$3*($C$5*$E$4*G343*$G$7)*$H$5</f>
        <v>4442975.9900836851</v>
      </c>
      <c r="K343" s="277">
        <f>ROUND(($C$4*$E$4*B343*$B$7+$C$4*$E$4*C343*$C$7+$C$4*$E$5*D343*$D$7+$C$4*$E$5*E343*$E$7+($C$5*$E$4*F343*$F$7+$C$5*$E$4*G343*$G$7+$C$5*$E$5*H343*$H$7+$C$5*$E$5*I343*$I$7)),2)</f>
        <v>0.6</v>
      </c>
      <c r="L343" s="276">
        <f>Scenario[[#This Row],[Total Cost]]/(Scenario[[#This Row],[Total Coverage]]*100)</f>
        <v>74049.599834728084</v>
      </c>
      <c r="M343" s="295" cm="1">
        <f t="array" ref="M343">IF(AND(K343=MAX(K$10:K343), L343=MIN(IF(K$10:K343=K343, L$10:L343))), 1, 0)</f>
        <v>0</v>
      </c>
      <c r="N343" s="295">
        <f>IF(AND(Scenario[[#This Row],[Total Coverage]]&gt;=70%,Scenario[[#This Row],[Frontier]]=1),1,0)</f>
        <v>0</v>
      </c>
    </row>
    <row r="344" spans="1:14" x14ac:dyDescent="0.25">
      <c r="A344">
        <v>43</v>
      </c>
      <c r="B344">
        <v>1</v>
      </c>
      <c r="C344">
        <v>0</v>
      </c>
      <c r="D344">
        <v>0.75</v>
      </c>
      <c r="E344">
        <v>0.25</v>
      </c>
      <c r="F344">
        <v>0.25</v>
      </c>
      <c r="G344">
        <v>0.75</v>
      </c>
      <c r="H344">
        <v>0.5</v>
      </c>
      <c r="I344">
        <v>0.5</v>
      </c>
      <c r="J344" s="272">
        <f>$C$3*($C$4*$E$4*B343*$B$7)*$G$4+$C$3*($C$4*$E$5*D344*$D$7)*$G$4+$C$3*($C$4*$E$4*C344*$C$7)*$G$5+$C$3*($C$4*$E$5*E344*$E$7)*$G$5+$C$3*($C$5*$E$4*F344*$F$7)*$H$4+$C$3*($C$5*$E$5*H344*$H$7)*$H$4+$C$3*($C$5*$E$5*I344*$I$7)*$H$5+$C$3*($C$5*$E$4*G344*$G$7)*$H$5</f>
        <v>4451253.0123494528</v>
      </c>
      <c r="K344" s="277">
        <f>ROUND(($C$4*$E$4*B344*$B$7+$C$4*$E$4*C344*$C$7+$C$4*$E$5*D344*$D$7+$C$4*$E$5*E344*$E$7+($C$5*$E$4*F344*$F$7+$C$5*$E$4*G344*$G$7+$C$5*$E$5*H344*$H$7+$C$5*$E$5*I344*$I$7)),2)</f>
        <v>0.6</v>
      </c>
      <c r="L344" s="276">
        <f>Scenario[[#This Row],[Total Cost]]/(Scenario[[#This Row],[Total Coverage]]*100)</f>
        <v>74187.550205824213</v>
      </c>
      <c r="M344" s="295" cm="1">
        <f t="array" ref="M344">IF(AND(K344=MAX(K$10:K344), L344=MIN(IF(K$10:K344=K344, L$10:L344))), 1, 0)</f>
        <v>0</v>
      </c>
      <c r="N344" s="295">
        <f>IF(AND(Scenario[[#This Row],[Total Coverage]]&gt;=70%,Scenario[[#This Row],[Frontier]]=1),1,0)</f>
        <v>0</v>
      </c>
    </row>
    <row r="345" spans="1:14" x14ac:dyDescent="0.25">
      <c r="A345">
        <v>189</v>
      </c>
      <c r="B345">
        <v>0.75</v>
      </c>
      <c r="C345">
        <v>0.25</v>
      </c>
      <c r="D345">
        <v>0.5</v>
      </c>
      <c r="E345">
        <v>0.5</v>
      </c>
      <c r="F345">
        <v>0.5</v>
      </c>
      <c r="G345">
        <v>0.5</v>
      </c>
      <c r="H345">
        <v>0.25</v>
      </c>
      <c r="I345">
        <v>0.75</v>
      </c>
      <c r="J345" s="272">
        <f>$C$3*($C$4*$E$4*B344*$B$7)*$G$4+$C$3*($C$4*$E$5*D345*$D$7)*$G$4+$C$3*($C$4*$E$4*C345*$C$7)*$G$5+$C$3*($C$4*$E$5*E345*$E$7)*$G$5+$C$3*($C$5*$E$4*F345*$F$7)*$H$4+$C$3*($C$5*$E$5*H345*$H$7)*$H$4+$C$3*($C$5*$E$5*I345*$I$7)*$H$5+$C$3*($C$5*$E$4*G345*$G$7)*$H$5</f>
        <v>4673854.683499774</v>
      </c>
      <c r="K345" s="277">
        <f>ROUND(($C$4*$E$4*B345*$B$7+$C$4*$E$4*C345*$C$7+$C$4*$E$5*D345*$D$7+$C$4*$E$5*E345*$E$7+($C$5*$E$4*F345*$F$7+$C$5*$E$4*G345*$G$7+$C$5*$E$5*H345*$H$7+$C$5*$E$5*I345*$I$7)),2)</f>
        <v>0.6</v>
      </c>
      <c r="L345" s="276">
        <f>Scenario[[#This Row],[Total Cost]]/(Scenario[[#This Row],[Total Coverage]]*100)</f>
        <v>77897.578058329571</v>
      </c>
      <c r="M345" s="295" cm="1">
        <f t="array" ref="M345">IF(AND(K345=MAX(K$10:K345), L345=MIN(IF(K$10:K345=K345, L$10:L345))), 1, 0)</f>
        <v>0</v>
      </c>
      <c r="N345" s="295">
        <f>IF(AND(Scenario[[#This Row],[Total Coverage]]&gt;=70%,Scenario[[#This Row],[Frontier]]=1),1,0)</f>
        <v>0</v>
      </c>
    </row>
    <row r="346" spans="1:14" x14ac:dyDescent="0.25">
      <c r="A346">
        <v>338</v>
      </c>
      <c r="B346">
        <v>0.5</v>
      </c>
      <c r="C346">
        <v>0.5</v>
      </c>
      <c r="D346">
        <v>0.25</v>
      </c>
      <c r="E346">
        <v>0.75</v>
      </c>
      <c r="F346">
        <v>0.5</v>
      </c>
      <c r="G346">
        <v>0.5</v>
      </c>
      <c r="H346">
        <v>0.5</v>
      </c>
      <c r="I346">
        <v>0.5</v>
      </c>
      <c r="J346" s="272">
        <f>$C$3*($C$4*$E$4*B345*$B$7)*$G$4+$C$3*($C$4*$E$5*D346*$D$7)*$G$4+$C$3*($C$4*$E$4*C346*$C$7)*$G$5+$C$3*($C$4*$E$5*E346*$E$7)*$G$5+$C$3*($C$5*$E$4*F346*$F$7)*$H$4+$C$3*($C$5*$E$5*H346*$H$7)*$H$4+$C$3*($C$5*$E$5*I346*$I$7)*$H$5+$C$3*($C$5*$E$4*G346*$G$7)*$H$5</f>
        <v>4864790.1979569299</v>
      </c>
      <c r="K346" s="277">
        <f>ROUND(($C$4*$E$4*B346*$B$7+$C$4*$E$4*C346*$C$7+$C$4*$E$5*D346*$D$7+$C$4*$E$5*E346*$E$7+($C$5*$E$4*F346*$F$7+$C$5*$E$4*G346*$G$7+$C$5*$E$5*H346*$H$7+$C$5*$E$5*I346*$I$7)),2)</f>
        <v>0.6</v>
      </c>
      <c r="L346" s="276">
        <f>Scenario[[#This Row],[Total Cost]]/(Scenario[[#This Row],[Total Coverage]]*100)</f>
        <v>81079.836632615494</v>
      </c>
      <c r="M346" s="295" cm="1">
        <f t="array" ref="M346">IF(AND(K346=MAX(K$10:K346), L346=MIN(IF(K$10:K346=K346, L$10:L346))), 1, 0)</f>
        <v>0</v>
      </c>
      <c r="N346" s="295">
        <f>IF(AND(Scenario[[#This Row],[Total Coverage]]&gt;=70%,Scenario[[#This Row],[Frontier]]=1),1,0)</f>
        <v>0</v>
      </c>
    </row>
    <row r="347" spans="1:14" x14ac:dyDescent="0.25">
      <c r="A347">
        <v>341</v>
      </c>
      <c r="B347">
        <v>0.5</v>
      </c>
      <c r="C347">
        <v>0.5</v>
      </c>
      <c r="D347">
        <v>0.25</v>
      </c>
      <c r="E347">
        <v>0.75</v>
      </c>
      <c r="F347">
        <v>0.25</v>
      </c>
      <c r="G347">
        <v>0.75</v>
      </c>
      <c r="H347">
        <v>1</v>
      </c>
      <c r="I347">
        <v>0</v>
      </c>
      <c r="J347" s="272">
        <f>$C$3*($C$4*$E$4*B346*$B$7)*$G$4+$C$3*($C$4*$E$5*D347*$D$7)*$G$4+$C$3*($C$4*$E$4*C347*$C$7)*$G$5+$C$3*($C$4*$E$5*E347*$E$7)*$G$5+$C$3*($C$5*$E$4*F347*$F$7)*$H$4+$C$3*($C$5*$E$5*H347*$H$7)*$H$4+$C$3*($C$5*$E$5*I347*$I$7)*$H$5+$C$3*($C$5*$E$4*G347*$G$7)*$H$5</f>
        <v>4833124.0412637629</v>
      </c>
      <c r="K347" s="277">
        <f>ROUND(($C$4*$E$4*B347*$B$7+$C$4*$E$4*C347*$C$7+$C$4*$E$5*D347*$D$7+$C$4*$E$5*E347*$E$7+($C$5*$E$4*F347*$F$7+$C$5*$E$4*G347*$G$7+$C$5*$E$5*H347*$H$7+$C$5*$E$5*I347*$I$7)),2)</f>
        <v>0.6</v>
      </c>
      <c r="L347" s="276">
        <f>Scenario[[#This Row],[Total Cost]]/(Scenario[[#This Row],[Total Coverage]]*100)</f>
        <v>80552.067354396044</v>
      </c>
      <c r="M347" s="295" cm="1">
        <f t="array" ref="M347">IF(AND(K347=MAX(K$10:K347), L347=MIN(IF(K$10:K347=K347, L$10:L347))), 1, 0)</f>
        <v>0</v>
      </c>
      <c r="N347" s="295">
        <f>IF(AND(Scenario[[#This Row],[Total Coverage]]&gt;=70%,Scenario[[#This Row],[Frontier]]=1),1,0)</f>
        <v>0</v>
      </c>
    </row>
    <row r="348" spans="1:14" x14ac:dyDescent="0.25">
      <c r="A348">
        <v>267</v>
      </c>
      <c r="B348">
        <v>0.5</v>
      </c>
      <c r="C348">
        <v>0.5</v>
      </c>
      <c r="D348">
        <v>1</v>
      </c>
      <c r="E348">
        <v>0</v>
      </c>
      <c r="F348">
        <v>0.25</v>
      </c>
      <c r="G348">
        <v>0.75</v>
      </c>
      <c r="H348">
        <v>0.75</v>
      </c>
      <c r="I348">
        <v>0.25</v>
      </c>
      <c r="J348" s="272">
        <f>$C$3*($C$4*$E$4*B347*$B$7)*$G$4+$C$3*($C$4*$E$5*D348*$D$7)*$G$4+$C$3*($C$4*$E$4*C348*$C$7)*$G$5+$C$3*($C$4*$E$5*E348*$E$7)*$G$5+$C$3*($C$5*$E$4*F348*$F$7)*$H$4+$C$3*($C$5*$E$5*H348*$H$7)*$H$4+$C$3*($C$5*$E$5*I348*$I$7)*$H$5+$C$3*($C$5*$E$4*G348*$G$7)*$H$5</f>
        <v>4660247.9624261977</v>
      </c>
      <c r="K348" s="277">
        <f>ROUND(($C$4*$E$4*B348*$B$7+$C$4*$E$4*C348*$C$7+$C$4*$E$5*D348*$D$7+$C$4*$E$5*E348*$E$7+($C$5*$E$4*F348*$F$7+$C$5*$E$4*G348*$G$7+$C$5*$E$5*H348*$H$7+$C$5*$E$5*I348*$I$7)),2)</f>
        <v>0.6</v>
      </c>
      <c r="L348" s="276">
        <f>Scenario[[#This Row],[Total Cost]]/(Scenario[[#This Row],[Total Coverage]]*100)</f>
        <v>77670.799373769958</v>
      </c>
      <c r="M348" s="295" cm="1">
        <f t="array" ref="M348">IF(AND(K348=MAX(K$10:K348), L348=MIN(IF(K$10:K348=K348, L$10:L348))), 1, 0)</f>
        <v>0</v>
      </c>
      <c r="N348" s="295">
        <f>IF(AND(Scenario[[#This Row],[Total Coverage]]&gt;=70%,Scenario[[#This Row],[Frontier]]=1),1,0)</f>
        <v>0</v>
      </c>
    </row>
    <row r="349" spans="1:14" x14ac:dyDescent="0.25">
      <c r="A349">
        <v>416</v>
      </c>
      <c r="B349">
        <v>0.25</v>
      </c>
      <c r="C349">
        <v>0.75</v>
      </c>
      <c r="D349">
        <v>0.75</v>
      </c>
      <c r="E349">
        <v>0.25</v>
      </c>
      <c r="F349">
        <v>0.25</v>
      </c>
      <c r="G349">
        <v>0.75</v>
      </c>
      <c r="H349">
        <v>1</v>
      </c>
      <c r="I349">
        <v>0</v>
      </c>
      <c r="J349" s="272">
        <f>$C$3*($C$4*$E$4*B348*$B$7)*$G$4+$C$3*($C$4*$E$5*D349*$D$7)*$G$4+$C$3*($C$4*$E$4*C349*$C$7)*$G$5+$C$3*($C$4*$E$5*E349*$E$7)*$G$5+$C$3*($C$5*$E$4*F349*$F$7)*$H$4+$C$3*($C$5*$E$5*H349*$H$7)*$H$4+$C$3*($C$5*$E$5*I349*$I$7)*$H$5+$C$3*($C$5*$E$4*G349*$G$7)*$H$5</f>
        <v>4957593.1057816027</v>
      </c>
      <c r="K349" s="277">
        <f>ROUND(($C$4*$E$4*B349*$B$7+$C$4*$E$4*C349*$C$7+$C$4*$E$5*D349*$D$7+$C$4*$E$5*E349*$E$7+($C$5*$E$4*F349*$F$7+$C$5*$E$4*G349*$G$7+$C$5*$E$5*H349*$H$7+$C$5*$E$5*I349*$I$7)),2)</f>
        <v>0.6</v>
      </c>
      <c r="L349" s="276">
        <f>Scenario[[#This Row],[Total Cost]]/(Scenario[[#This Row],[Total Coverage]]*100)</f>
        <v>82626.551763026713</v>
      </c>
      <c r="M349" s="295" cm="1">
        <f t="array" ref="M349">IF(AND(K349=MAX(K$10:K349), L349=MIN(IF(K$10:K349=K349, L$10:L349))), 1, 0)</f>
        <v>0</v>
      </c>
      <c r="N349" s="295">
        <f>IF(AND(Scenario[[#This Row],[Total Coverage]]&gt;=70%,Scenario[[#This Row],[Frontier]]=1),1,0)</f>
        <v>0</v>
      </c>
    </row>
    <row r="350" spans="1:14" x14ac:dyDescent="0.25">
      <c r="A350">
        <v>513</v>
      </c>
      <c r="B350">
        <v>0</v>
      </c>
      <c r="C350">
        <v>1</v>
      </c>
      <c r="D350">
        <v>1</v>
      </c>
      <c r="E350">
        <v>0</v>
      </c>
      <c r="F350">
        <v>0.5</v>
      </c>
      <c r="G350">
        <v>0.5</v>
      </c>
      <c r="H350">
        <v>0.5</v>
      </c>
      <c r="I350">
        <v>0.5</v>
      </c>
      <c r="J350" s="272">
        <f>$C$3*($C$4*$E$4*B349*$B$7)*$G$4+$C$3*($C$4*$E$5*D350*$D$7)*$G$4+$C$3*($C$4*$E$4*C350*$C$7)*$G$5+$C$3*($C$4*$E$5*E350*$E$7)*$G$5+$C$3*($C$5*$E$4*F350*$F$7)*$H$4+$C$3*($C$5*$E$5*H350*$H$7)*$H$4+$C$3*($C$5*$E$5*I350*$I$7)*$H$5+$C$3*($C$5*$E$4*G350*$G$7)*$H$5</f>
        <v>5085185.388887018</v>
      </c>
      <c r="K350" s="277">
        <f>ROUND(($C$4*$E$4*B350*$B$7+$C$4*$E$4*C350*$C$7+$C$4*$E$5*D350*$D$7+$C$4*$E$5*E350*$E$7+($C$5*$E$4*F350*$F$7+$C$5*$E$4*G350*$G$7+$C$5*$E$5*H350*$H$7+$C$5*$E$5*I350*$I$7)),2)</f>
        <v>0.6</v>
      </c>
      <c r="L350" s="276">
        <f>Scenario[[#This Row],[Total Cost]]/(Scenario[[#This Row],[Total Coverage]]*100)</f>
        <v>84753.089814783627</v>
      </c>
      <c r="M350" s="295" cm="1">
        <f t="array" ref="M350">IF(AND(K350=MAX(K$10:K350), L350=MIN(IF(K$10:K350=K350, L$10:L350))), 1, 0)</f>
        <v>0</v>
      </c>
      <c r="N350" s="295">
        <f>IF(AND(Scenario[[#This Row],[Total Coverage]]&gt;=70%,Scenario[[#This Row],[Frontier]]=1),1,0)</f>
        <v>0</v>
      </c>
    </row>
    <row r="351" spans="1:14" x14ac:dyDescent="0.25">
      <c r="A351">
        <v>435</v>
      </c>
      <c r="B351">
        <v>0.25</v>
      </c>
      <c r="C351">
        <v>0.75</v>
      </c>
      <c r="D351">
        <v>0.5</v>
      </c>
      <c r="E351">
        <v>0.5</v>
      </c>
      <c r="F351">
        <v>0.75</v>
      </c>
      <c r="G351">
        <v>0.25</v>
      </c>
      <c r="H351">
        <v>0</v>
      </c>
      <c r="I351">
        <v>1</v>
      </c>
      <c r="J351" s="272">
        <f>$C$3*($C$4*$E$4*B350*$B$7)*$G$4+$C$3*($C$4*$E$5*D351*$D$7)*$G$4+$C$3*($C$4*$E$4*C351*$C$7)*$G$5+$C$3*($C$4*$E$5*E351*$E$7)*$G$5+$C$3*($C$5*$E$4*F351*$F$7)*$H$4+$C$3*($C$5*$E$5*H351*$H$7)*$H$4+$C$3*($C$5*$E$5*I351*$I$7)*$H$5+$C$3*($C$5*$E$4*G351*$G$7)*$H$5</f>
        <v>4779563.2232658463</v>
      </c>
      <c r="K351" s="277">
        <f>ROUND(($C$4*$E$4*B351*$B$7+$C$4*$E$4*C351*$C$7+$C$4*$E$5*D351*$D$7+$C$4*$E$5*E351*$E$7+($C$5*$E$4*F351*$F$7+$C$5*$E$4*G351*$G$7+$C$5*$E$5*H351*$H$7+$C$5*$E$5*I351*$I$7)),2)</f>
        <v>0.6</v>
      </c>
      <c r="L351" s="276">
        <f>Scenario[[#This Row],[Total Cost]]/(Scenario[[#This Row],[Total Coverage]]*100)</f>
        <v>79659.387054430772</v>
      </c>
      <c r="M351" s="295" cm="1">
        <f t="array" ref="M351">IF(AND(K351=MAX(K$10:K351), L351=MIN(IF(K$10:K351=K351, L$10:L351))), 1, 0)</f>
        <v>0</v>
      </c>
      <c r="N351" s="295">
        <f>IF(AND(Scenario[[#This Row],[Total Coverage]]&gt;=70%,Scenario[[#This Row],[Frontier]]=1),1,0)</f>
        <v>0</v>
      </c>
    </row>
    <row r="352" spans="1:14" x14ac:dyDescent="0.25">
      <c r="A352">
        <v>510</v>
      </c>
      <c r="B352">
        <v>0</v>
      </c>
      <c r="C352">
        <v>1</v>
      </c>
      <c r="D352">
        <v>1</v>
      </c>
      <c r="E352">
        <v>0</v>
      </c>
      <c r="F352">
        <v>0.75</v>
      </c>
      <c r="G352">
        <v>0.25</v>
      </c>
      <c r="H352">
        <v>0</v>
      </c>
      <c r="I352">
        <v>1</v>
      </c>
      <c r="J352" s="272">
        <f>$C$3*($C$4*$E$4*B351*$B$7)*$G$4+$C$3*($C$4*$E$5*D352*$D$7)*$G$4+$C$3*($C$4*$E$4*C352*$C$7)*$G$5+$C$3*($C$4*$E$5*E352*$E$7)*$G$5+$C$3*($C$5*$E$4*F352*$F$7)*$H$4+$C$3*($C$5*$E$5*H352*$H$7)*$H$4+$C$3*($C$5*$E$5*I352*$I$7)*$H$5+$C$3*($C$5*$E$4*G352*$G$7)*$H$5</f>
        <v>5010441.9166819351</v>
      </c>
      <c r="K352" s="277">
        <f>ROUND(($C$4*$E$4*B352*$B$7+$C$4*$E$4*C352*$C$7+$C$4*$E$5*D352*$D$7+$C$4*$E$5*E352*$E$7+($C$5*$E$4*F352*$F$7+$C$5*$E$4*G352*$G$7+$C$5*$E$5*H352*$H$7+$C$5*$E$5*I352*$I$7)),2)</f>
        <v>0.6</v>
      </c>
      <c r="L352" s="276">
        <f>Scenario[[#This Row],[Total Cost]]/(Scenario[[#This Row],[Total Coverage]]*100)</f>
        <v>83507.365278032245</v>
      </c>
      <c r="M352" s="295" cm="1">
        <f t="array" ref="M352">IF(AND(K352=MAX(K$10:K352), L352=MIN(IF(K$10:K352=K352, L$10:L352))), 1, 0)</f>
        <v>0</v>
      </c>
      <c r="N352" s="295">
        <f>IF(AND(Scenario[[#This Row],[Total Coverage]]&gt;=70%,Scenario[[#This Row],[Frontier]]=1),1,0)</f>
        <v>0</v>
      </c>
    </row>
    <row r="353" spans="1:14" x14ac:dyDescent="0.25">
      <c r="A353">
        <v>487</v>
      </c>
      <c r="B353">
        <v>0.25</v>
      </c>
      <c r="C353">
        <v>0.75</v>
      </c>
      <c r="D353">
        <v>0</v>
      </c>
      <c r="E353">
        <v>1</v>
      </c>
      <c r="F353">
        <v>0.5</v>
      </c>
      <c r="G353">
        <v>0.5</v>
      </c>
      <c r="H353">
        <v>0.75</v>
      </c>
      <c r="I353">
        <v>0.25</v>
      </c>
      <c r="J353" s="272">
        <f>$C$3*($C$4*$E$4*B352*$B$7)*$G$4+$C$3*($C$4*$E$5*D353*$D$7)*$G$4+$C$3*($C$4*$E$4*C353*$C$7)*$G$5+$C$3*($C$4*$E$5*E353*$E$7)*$G$5+$C$3*($C$5*$E$4*F353*$F$7)*$H$4+$C$3*($C$5*$E$5*H353*$H$7)*$H$4+$C$3*($C$5*$E$5*I353*$I$7)*$H$5+$C$3*($C$5*$E$4*G353*$G$7)*$H$5</f>
        <v>4842906.454617586</v>
      </c>
      <c r="K353" s="277">
        <f>ROUND(($C$4*$E$4*B353*$B$7+$C$4*$E$4*C353*$C$7+$C$4*$E$5*D353*$D$7+$C$4*$E$5*E353*$E$7+($C$5*$E$4*F353*$F$7+$C$5*$E$4*G353*$G$7+$C$5*$E$5*H353*$H$7+$C$5*$E$5*I353*$I$7)),2)</f>
        <v>0.6</v>
      </c>
      <c r="L353" s="276">
        <f>Scenario[[#This Row],[Total Cost]]/(Scenario[[#This Row],[Total Coverage]]*100)</f>
        <v>80715.107576959766</v>
      </c>
      <c r="M353" s="295" cm="1">
        <f t="array" ref="M353">IF(AND(K353=MAX(K$10:K353), L353=MIN(IF(K$10:K353=K353, L$10:L353))), 1, 0)</f>
        <v>0</v>
      </c>
      <c r="N353" s="295">
        <f>IF(AND(Scenario[[#This Row],[Total Coverage]]&gt;=70%,Scenario[[#This Row],[Frontier]]=1),1,0)</f>
        <v>0</v>
      </c>
    </row>
    <row r="354" spans="1:14" x14ac:dyDescent="0.25">
      <c r="A354">
        <v>584</v>
      </c>
      <c r="B354">
        <v>0</v>
      </c>
      <c r="C354">
        <v>1</v>
      </c>
      <c r="D354">
        <v>0.25</v>
      </c>
      <c r="E354">
        <v>0.75</v>
      </c>
      <c r="F354">
        <v>0.75</v>
      </c>
      <c r="G354">
        <v>0.25</v>
      </c>
      <c r="H354">
        <v>0.25</v>
      </c>
      <c r="I354">
        <v>0.75</v>
      </c>
      <c r="J354" s="272">
        <f>$C$3*($C$4*$E$4*B353*$B$7)*$G$4+$C$3*($C$4*$E$5*D354*$D$7)*$G$4+$C$3*($C$4*$E$4*C354*$C$7)*$G$5+$C$3*($C$4*$E$5*E354*$E$7)*$G$5+$C$3*($C$5*$E$4*F354*$F$7)*$H$4+$C$3*($C$5*$E$5*H354*$H$7)*$H$4+$C$3*($C$5*$E$5*I354*$I$7)*$H$5+$C$3*($C$5*$E$4*G354*$G$7)*$H$5</f>
        <v>5183317.9955195002</v>
      </c>
      <c r="K354" s="277">
        <f>ROUND(($C$4*$E$4*B354*$B$7+$C$4*$E$4*C354*$C$7+$C$4*$E$5*D354*$D$7+$C$4*$E$5*E354*$E$7+($C$5*$E$4*F354*$F$7+$C$5*$E$4*G354*$G$7+$C$5*$E$5*H354*$H$7+$C$5*$E$5*I354*$I$7)),2)</f>
        <v>0.6</v>
      </c>
      <c r="L354" s="276">
        <f>Scenario[[#This Row],[Total Cost]]/(Scenario[[#This Row],[Total Coverage]]*100)</f>
        <v>86388.63325865833</v>
      </c>
      <c r="M354" s="295" cm="1">
        <f t="array" ref="M354">IF(AND(K354=MAX(K$10:K354), L354=MIN(IF(K$10:K354=K354, L$10:L354))), 1, 0)</f>
        <v>0</v>
      </c>
      <c r="N354" s="295">
        <f>IF(AND(Scenario[[#This Row],[Total Coverage]]&gt;=70%,Scenario[[#This Row],[Frontier]]=1),1,0)</f>
        <v>0</v>
      </c>
    </row>
    <row r="355" spans="1:14" x14ac:dyDescent="0.25">
      <c r="A355">
        <v>117</v>
      </c>
      <c r="B355">
        <v>1</v>
      </c>
      <c r="C355">
        <v>0</v>
      </c>
      <c r="D355">
        <v>0</v>
      </c>
      <c r="E355">
        <v>1</v>
      </c>
      <c r="F355">
        <v>0.25</v>
      </c>
      <c r="G355">
        <v>0.75</v>
      </c>
      <c r="H355">
        <v>0.75</v>
      </c>
      <c r="I355">
        <v>0.25</v>
      </c>
      <c r="J355" s="272">
        <f>$C$3*($C$4*$E$4*B354*$B$7)*$G$4+$C$3*($C$4*$E$5*D355*$D$7)*$G$4+$C$3*($C$4*$E$4*C355*$C$7)*$G$5+$C$3*($C$4*$E$5*E355*$E$7)*$G$5+$C$3*($C$5*$E$4*F355*$F$7)*$H$4+$C$3*($C$5*$E$5*H355*$H$7)*$H$4+$C$3*($C$5*$E$5*I355*$I$7)*$H$5+$C$3*($C$5*$E$4*G355*$G$7)*$H$5</f>
        <v>4198490.5755940201</v>
      </c>
      <c r="K355" s="277">
        <f>ROUND(($C$4*$E$4*B355*$B$7+$C$4*$E$4*C355*$C$7+$C$4*$E$5*D355*$D$7+$C$4*$E$5*E355*$E$7+($C$5*$E$4*F355*$F$7+$C$5*$E$4*G355*$G$7+$C$5*$E$5*H355*$H$7+$C$5*$E$5*I355*$I$7)),2)</f>
        <v>0.61</v>
      </c>
      <c r="L355" s="276">
        <f>Scenario[[#This Row],[Total Cost]]/(Scenario[[#This Row],[Total Coverage]]*100)</f>
        <v>68827.714354000331</v>
      </c>
      <c r="M355" s="295" cm="1">
        <f t="array" ref="M355">IF(AND(K355=MAX(K$10:K355), L355=MIN(IF(K$10:K355=K355, L$10:L355))), 1, 0)</f>
        <v>1</v>
      </c>
      <c r="N355" s="295">
        <f>IF(AND(Scenario[[#This Row],[Total Coverage]]&gt;=70%,Scenario[[#This Row],[Frontier]]=1),1,0)</f>
        <v>0</v>
      </c>
    </row>
    <row r="356" spans="1:14" x14ac:dyDescent="0.25">
      <c r="A356">
        <v>65</v>
      </c>
      <c r="B356">
        <v>1</v>
      </c>
      <c r="C356">
        <v>0</v>
      </c>
      <c r="D356">
        <v>0.5</v>
      </c>
      <c r="E356">
        <v>0.5</v>
      </c>
      <c r="F356">
        <v>0.5</v>
      </c>
      <c r="G356">
        <v>0.5</v>
      </c>
      <c r="H356">
        <v>0</v>
      </c>
      <c r="I356">
        <v>1</v>
      </c>
      <c r="J356" s="272">
        <f>$C$3*($C$4*$E$4*B355*$B$7)*$G$4+$C$3*($C$4*$E$5*D356*$D$7)*$G$4+$C$3*($C$4*$E$4*C356*$C$7)*$G$5+$C$3*($C$4*$E$5*E356*$E$7)*$G$5+$C$3*($C$5*$E$4*F356*$F$7)*$H$4+$C$3*($C$5*$E$5*H356*$H$7)*$H$4+$C$3*($C$5*$E$5*I356*$I$7)*$H$5+$C$3*($C$5*$E$4*G356*$G$7)*$H$5</f>
        <v>4560785.8598352782</v>
      </c>
      <c r="K356" s="277">
        <f>ROUND(($C$4*$E$4*B356*$B$7+$C$4*$E$4*C356*$C$7+$C$4*$E$5*D356*$D$7+$C$4*$E$5*E356*$E$7+($C$5*$E$4*F356*$F$7+$C$5*$E$4*G356*$G$7+$C$5*$E$5*H356*$H$7+$C$5*$E$5*I356*$I$7)),2)</f>
        <v>0.61</v>
      </c>
      <c r="L356" s="276">
        <f>Scenario[[#This Row],[Total Cost]]/(Scenario[[#This Row],[Total Coverage]]*100)</f>
        <v>74766.981308775052</v>
      </c>
      <c r="M356" s="295" cm="1">
        <f t="array" ref="M356">IF(AND(K356=MAX(K$10:K356), L356=MIN(IF(K$10:K356=K356, L$10:L356))), 1, 0)</f>
        <v>0</v>
      </c>
      <c r="N356" s="295">
        <f>IF(AND(Scenario[[#This Row],[Total Coverage]]&gt;=70%,Scenario[[#This Row],[Frontier]]=1),1,0)</f>
        <v>0</v>
      </c>
    </row>
    <row r="357" spans="1:14" x14ac:dyDescent="0.25">
      <c r="A357">
        <v>46</v>
      </c>
      <c r="B357">
        <v>1</v>
      </c>
      <c r="C357">
        <v>0</v>
      </c>
      <c r="D357">
        <v>0.75</v>
      </c>
      <c r="E357">
        <v>0.25</v>
      </c>
      <c r="F357">
        <v>0</v>
      </c>
      <c r="G357">
        <v>1</v>
      </c>
      <c r="H357">
        <v>1</v>
      </c>
      <c r="I357">
        <v>0</v>
      </c>
      <c r="J357" s="272">
        <f>$C$3*($C$4*$E$4*B356*$B$7)*$G$4+$C$3*($C$4*$E$5*D357*$D$7)*$G$4+$C$3*($C$4*$E$4*C357*$C$7)*$G$5+$C$3*($C$4*$E$5*E357*$E$7)*$G$5+$C$3*($C$5*$E$4*F357*$F$7)*$H$4+$C$3*($C$5*$E$5*H357*$H$7)*$H$4+$C$3*($C$5*$E$5*I357*$I$7)*$H$5+$C$3*($C$5*$E$4*G357*$G$7)*$H$5</f>
        <v>4525996.4845545348</v>
      </c>
      <c r="K357" s="277">
        <f>ROUND(($C$4*$E$4*B357*$B$7+$C$4*$E$4*C357*$C$7+$C$4*$E$5*D357*$D$7+$C$4*$E$5*E357*$E$7+($C$5*$E$4*F357*$F$7+$C$5*$E$4*G357*$G$7+$C$5*$E$5*H357*$H$7+$C$5*$E$5*I357*$I$7)),2)</f>
        <v>0.61</v>
      </c>
      <c r="L357" s="276">
        <f>Scenario[[#This Row],[Total Cost]]/(Scenario[[#This Row],[Total Coverage]]*100)</f>
        <v>74196.663681221879</v>
      </c>
      <c r="M357" s="295" cm="1">
        <f t="array" ref="M357">IF(AND(K357=MAX(K$10:K357), L357=MIN(IF(K$10:K357=K357, L$10:L357))), 1, 0)</f>
        <v>0</v>
      </c>
      <c r="N357" s="295">
        <f>IF(AND(Scenario[[#This Row],[Total Coverage]]&gt;=70%,Scenario[[#This Row],[Frontier]]=1),1,0)</f>
        <v>0</v>
      </c>
    </row>
    <row r="358" spans="1:14" x14ac:dyDescent="0.25">
      <c r="A358">
        <v>214</v>
      </c>
      <c r="B358">
        <v>0.75</v>
      </c>
      <c r="C358">
        <v>0.25</v>
      </c>
      <c r="D358">
        <v>0.25</v>
      </c>
      <c r="E358">
        <v>0.75</v>
      </c>
      <c r="F358">
        <v>0.5</v>
      </c>
      <c r="G358">
        <v>0.5</v>
      </c>
      <c r="H358">
        <v>0.25</v>
      </c>
      <c r="I358">
        <v>0.75</v>
      </c>
      <c r="J358" s="272">
        <f>$C$3*($C$4*$E$4*B357*$B$7)*$G$4+$C$3*($C$4*$E$5*D358*$D$7)*$G$4+$C$3*($C$4*$E$4*C358*$C$7)*$G$5+$C$3*($C$4*$E$5*E358*$E$7)*$G$5+$C$3*($C$5*$E$4*F358*$F$7)*$H$4+$C$3*($C$5*$E$5*H358*$H$7)*$H$4+$C$3*($C$5*$E$5*I358*$I$7)*$H$5+$C$3*($C$5*$E$4*G358*$G$7)*$H$5</f>
        <v>4858131.0031906823</v>
      </c>
      <c r="K358" s="277">
        <f>ROUND(($C$4*$E$4*B358*$B$7+$C$4*$E$4*C358*$C$7+$C$4*$E$5*D358*$D$7+$C$4*$E$5*E358*$E$7+($C$5*$E$4*F358*$F$7+$C$5*$E$4*G358*$G$7+$C$5*$E$5*H358*$H$7+$C$5*$E$5*I358*$I$7)),2)</f>
        <v>0.61</v>
      </c>
      <c r="L358" s="276">
        <f>Scenario[[#This Row],[Total Cost]]/(Scenario[[#This Row],[Total Coverage]]*100)</f>
        <v>79641.491855584958</v>
      </c>
      <c r="M358" s="295" cm="1">
        <f t="array" ref="M358">IF(AND(K358=MAX(K$10:K358), L358=MIN(IF(K$10:K358=K358, L$10:L358))), 1, 0)</f>
        <v>0</v>
      </c>
      <c r="N358" s="295">
        <f>IF(AND(Scenario[[#This Row],[Total Coverage]]&gt;=70%,Scenario[[#This Row],[Frontier]]=1),1,0)</f>
        <v>0</v>
      </c>
    </row>
    <row r="359" spans="1:14" x14ac:dyDescent="0.25">
      <c r="A359">
        <v>143</v>
      </c>
      <c r="B359">
        <v>0.75</v>
      </c>
      <c r="C359">
        <v>0.25</v>
      </c>
      <c r="D359">
        <v>1</v>
      </c>
      <c r="E359">
        <v>0</v>
      </c>
      <c r="F359">
        <v>0.25</v>
      </c>
      <c r="G359">
        <v>0.75</v>
      </c>
      <c r="H359">
        <v>0.5</v>
      </c>
      <c r="I359">
        <v>0.5</v>
      </c>
      <c r="J359" s="272">
        <f>$C$3*($C$4*$E$4*B358*$B$7)*$G$4+$C$3*($C$4*$E$5*D359*$D$7)*$G$4+$C$3*($C$4*$E$4*C359*$C$7)*$G$5+$C$3*($C$4*$E$5*E359*$E$7)*$G$5+$C$3*($C$5*$E$4*F359*$F$7)*$H$4+$C$3*($C$5*$E$5*H359*$H$7)*$H$4+$C$3*($C$5*$E$5*I359*$I$7)*$H$5+$C$3*($C$5*$E$4*G359*$G$7)*$H$5</f>
        <v>4653588.767659951</v>
      </c>
      <c r="K359" s="277">
        <f>ROUND(($C$4*$E$4*B359*$B$7+$C$4*$E$4*C359*$C$7+$C$4*$E$5*D359*$D$7+$C$4*$E$5*E359*$E$7+($C$5*$E$4*F359*$F$7+$C$5*$E$4*G359*$G$7+$C$5*$E$5*H359*$H$7+$C$5*$E$5*I359*$I$7)),2)</f>
        <v>0.61</v>
      </c>
      <c r="L359" s="276">
        <f>Scenario[[#This Row],[Total Cost]]/(Scenario[[#This Row],[Total Coverage]]*100)</f>
        <v>76288.340453441822</v>
      </c>
      <c r="M359" s="295" cm="1">
        <f t="array" ref="M359">IF(AND(K359=MAX(K$10:K359), L359=MIN(IF(K$10:K359=K359, L$10:L359))), 1, 0)</f>
        <v>0</v>
      </c>
      <c r="N359" s="295">
        <f>IF(AND(Scenario[[#This Row],[Total Coverage]]&gt;=70%,Scenario[[#This Row],[Frontier]]=1),1,0)</f>
        <v>0</v>
      </c>
    </row>
    <row r="360" spans="1:14" x14ac:dyDescent="0.25">
      <c r="A360">
        <v>140</v>
      </c>
      <c r="B360">
        <v>0.75</v>
      </c>
      <c r="C360">
        <v>0.25</v>
      </c>
      <c r="D360">
        <v>1</v>
      </c>
      <c r="E360">
        <v>0</v>
      </c>
      <c r="F360">
        <v>0.5</v>
      </c>
      <c r="G360">
        <v>0.5</v>
      </c>
      <c r="H360">
        <v>0</v>
      </c>
      <c r="I360">
        <v>1</v>
      </c>
      <c r="J360" s="272">
        <f>$C$3*($C$4*$E$4*B359*$B$7)*$G$4+$C$3*($C$4*$E$5*D360*$D$7)*$G$4+$C$3*($C$4*$E$4*C360*$C$7)*$G$5+$C$3*($C$4*$E$5*E360*$E$7)*$G$5+$C$3*($C$5*$E$4*F360*$F$7)*$H$4+$C$3*($C$5*$E$5*H360*$H$7)*$H$4+$C$3*($C$5*$E$5*I360*$I$7)*$H$5+$C$3*($C$5*$E$4*G360*$G$7)*$H$5</f>
        <v>4578845.2954548681</v>
      </c>
      <c r="K360" s="277">
        <f>ROUND(($C$4*$E$4*B360*$B$7+$C$4*$E$4*C360*$C$7+$C$4*$E$5*D360*$D$7+$C$4*$E$5*E360*$E$7+($C$5*$E$4*F360*$F$7+$C$5*$E$4*G360*$G$7+$C$5*$E$5*H360*$H$7+$C$5*$E$5*I360*$I$7)),2)</f>
        <v>0.61</v>
      </c>
      <c r="L360" s="276">
        <f>Scenario[[#This Row],[Total Cost]]/(Scenario[[#This Row],[Total Coverage]]*100)</f>
        <v>75063.037630407678</v>
      </c>
      <c r="M360" s="295" cm="1">
        <f t="array" ref="M360">IF(AND(K360=MAX(K$10:K360), L360=MIN(IF(K$10:K360=K360, L$10:L360))), 1, 0)</f>
        <v>0</v>
      </c>
      <c r="N360" s="295">
        <f>IF(AND(Scenario[[#This Row],[Total Coverage]]&gt;=70%,Scenario[[#This Row],[Frontier]]=1),1,0)</f>
        <v>0</v>
      </c>
    </row>
    <row r="361" spans="1:14" x14ac:dyDescent="0.25">
      <c r="A361">
        <v>363</v>
      </c>
      <c r="B361">
        <v>0.5</v>
      </c>
      <c r="C361">
        <v>0.5</v>
      </c>
      <c r="D361">
        <v>0</v>
      </c>
      <c r="E361">
        <v>1</v>
      </c>
      <c r="F361">
        <v>0.5</v>
      </c>
      <c r="G361">
        <v>0.5</v>
      </c>
      <c r="H361">
        <v>0.5</v>
      </c>
      <c r="I361">
        <v>0.5</v>
      </c>
      <c r="J361" s="272">
        <f>$C$3*($C$4*$E$4*B360*$B$7)*$G$4+$C$3*($C$4*$E$5*D361*$D$7)*$G$4+$C$3*($C$4*$E$4*C361*$C$7)*$G$5+$C$3*($C$4*$E$5*E361*$E$7)*$G$5+$C$3*($C$5*$E$4*F361*$F$7)*$H$4+$C$3*($C$5*$E$5*H361*$H$7)*$H$4+$C$3*($C$5*$E$5*I361*$I$7)*$H$5+$C$3*($C$5*$E$4*G361*$G$7)*$H$5</f>
        <v>5049066.5176478382</v>
      </c>
      <c r="K361" s="277">
        <f>ROUND(($C$4*$E$4*B361*$B$7+$C$4*$E$4*C361*$C$7+$C$4*$E$5*D361*$D$7+$C$4*$E$5*E361*$E$7+($C$5*$E$4*F361*$F$7+$C$5*$E$4*G361*$G$7+$C$5*$E$5*H361*$H$7+$C$5*$E$5*I361*$I$7)),2)</f>
        <v>0.61</v>
      </c>
      <c r="L361" s="276">
        <f>Scenario[[#This Row],[Total Cost]]/(Scenario[[#This Row],[Total Coverage]]*100)</f>
        <v>82771.582256521942</v>
      </c>
      <c r="M361" s="295" cm="1">
        <f t="array" ref="M361">IF(AND(K361=MAX(K$10:K361), L361=MIN(IF(K$10:K361=K361, L$10:L361))), 1, 0)</f>
        <v>0</v>
      </c>
      <c r="N361" s="295">
        <f>IF(AND(Scenario[[#This Row],[Total Coverage]]&gt;=70%,Scenario[[#This Row],[Frontier]]=1),1,0)</f>
        <v>0</v>
      </c>
    </row>
    <row r="362" spans="1:14" x14ac:dyDescent="0.25">
      <c r="A362">
        <v>360</v>
      </c>
      <c r="B362">
        <v>0.5</v>
      </c>
      <c r="C362">
        <v>0.5</v>
      </c>
      <c r="D362">
        <v>0</v>
      </c>
      <c r="E362">
        <v>1</v>
      </c>
      <c r="F362">
        <v>0.75</v>
      </c>
      <c r="G362">
        <v>0.25</v>
      </c>
      <c r="H362">
        <v>0</v>
      </c>
      <c r="I362">
        <v>1</v>
      </c>
      <c r="J362" s="272">
        <f>$C$3*($C$4*$E$4*B361*$B$7)*$G$4+$C$3*($C$4*$E$5*D362*$D$7)*$G$4+$C$3*($C$4*$E$4*C362*$C$7)*$G$5+$C$3*($C$4*$E$5*E362*$E$7)*$G$5+$C$3*($C$5*$E$4*F362*$F$7)*$H$4+$C$3*($C$5*$E$5*H362*$H$7)*$H$4+$C$3*($C$5*$E$5*I362*$I$7)*$H$5+$C$3*($C$5*$E$4*G362*$G$7)*$H$5</f>
        <v>4867913.4165445054</v>
      </c>
      <c r="K362" s="277">
        <f>ROUND(($C$4*$E$4*B362*$B$7+$C$4*$E$4*C362*$C$7+$C$4*$E$5*D362*$D$7+$C$4*$E$5*E362*$E$7+($C$5*$E$4*F362*$F$7+$C$5*$E$4*G362*$G$7+$C$5*$E$5*H362*$H$7+$C$5*$E$5*I362*$I$7)),2)</f>
        <v>0.61</v>
      </c>
      <c r="L362" s="276">
        <f>Scenario[[#This Row],[Total Cost]]/(Scenario[[#This Row],[Total Coverage]]*100)</f>
        <v>79801.859287614847</v>
      </c>
      <c r="M362" s="295" cm="1">
        <f t="array" ref="M362">IF(AND(K362=MAX(K$10:K362), L362=MIN(IF(K$10:K362=K362, L$10:L362))), 1, 0)</f>
        <v>0</v>
      </c>
      <c r="N362" s="295">
        <f>IF(AND(Scenario[[#This Row],[Total Coverage]]&gt;=70%,Scenario[[#This Row],[Frontier]]=1),1,0)</f>
        <v>0</v>
      </c>
    </row>
    <row r="363" spans="1:14" x14ac:dyDescent="0.25">
      <c r="A363">
        <v>289</v>
      </c>
      <c r="B363">
        <v>0.5</v>
      </c>
      <c r="C363">
        <v>0.5</v>
      </c>
      <c r="D363">
        <v>0.75</v>
      </c>
      <c r="E363">
        <v>0.25</v>
      </c>
      <c r="F363">
        <v>0.5</v>
      </c>
      <c r="G363">
        <v>0.5</v>
      </c>
      <c r="H363">
        <v>0.25</v>
      </c>
      <c r="I363">
        <v>0.75</v>
      </c>
      <c r="J363" s="272">
        <f>$C$3*($C$4*$E$4*B362*$B$7)*$G$4+$C$3*($C$4*$E$5*D363*$D$7)*$G$4+$C$3*($C$4*$E$4*C363*$C$7)*$G$5+$C$3*($C$4*$E$5*E363*$E$7)*$G$5+$C$3*($C$5*$E$4*F363*$F$7)*$H$4+$C$3*($C$5*$E$5*H363*$H$7)*$H$4+$C$3*($C$5*$E$5*I363*$I$7)*$H$5+$C$3*($C$5*$E$4*G363*$G$7)*$H$5</f>
        <v>4769780.8099120231</v>
      </c>
      <c r="K363" s="277">
        <f>ROUND(($C$4*$E$4*B363*$B$7+$C$4*$E$4*C363*$C$7+$C$4*$E$5*D363*$D$7+$C$4*$E$5*E363*$E$7+($C$5*$E$4*F363*$F$7+$C$5*$E$4*G363*$G$7+$C$5*$E$5*H363*$H$7+$C$5*$E$5*I363*$I$7)),2)</f>
        <v>0.61</v>
      </c>
      <c r="L363" s="276">
        <f>Scenario[[#This Row],[Total Cost]]/(Scenario[[#This Row],[Total Coverage]]*100)</f>
        <v>78193.128031344648</v>
      </c>
      <c r="M363" s="295" cm="1">
        <f t="array" ref="M363">IF(AND(K363=MAX(K$10:K363), L363=MIN(IF(K$10:K363=K363, L$10:L363))), 1, 0)</f>
        <v>0</v>
      </c>
      <c r="N363" s="295">
        <f>IF(AND(Scenario[[#This Row],[Total Coverage]]&gt;=70%,Scenario[[#This Row],[Frontier]]=1),1,0)</f>
        <v>0</v>
      </c>
    </row>
    <row r="364" spans="1:14" x14ac:dyDescent="0.25">
      <c r="A364">
        <v>292</v>
      </c>
      <c r="B364">
        <v>0.5</v>
      </c>
      <c r="C364">
        <v>0.5</v>
      </c>
      <c r="D364">
        <v>0.75</v>
      </c>
      <c r="E364">
        <v>0.25</v>
      </c>
      <c r="F364">
        <v>0.25</v>
      </c>
      <c r="G364">
        <v>0.75</v>
      </c>
      <c r="H364">
        <v>0.75</v>
      </c>
      <c r="I364">
        <v>0.25</v>
      </c>
      <c r="J364" s="272">
        <f>$C$3*($C$4*$E$4*B363*$B$7)*$G$4+$C$3*($C$4*$E$5*D364*$D$7)*$G$4+$C$3*($C$4*$E$4*C364*$C$7)*$G$5+$C$3*($C$4*$E$5*E364*$E$7)*$G$5+$C$3*($C$5*$E$4*F364*$F$7)*$H$4+$C$3*($C$5*$E$5*H364*$H$7)*$H$4+$C$3*($C$5*$E$5*I364*$I$7)*$H$5+$C$3*($C$5*$E$4*G364*$G$7)*$H$5</f>
        <v>4844524.282117106</v>
      </c>
      <c r="K364" s="277">
        <f>ROUND(($C$4*$E$4*B364*$B$7+$C$4*$E$4*C364*$C$7+$C$4*$E$5*D364*$D$7+$C$4*$E$5*E364*$E$7+($C$5*$E$4*F364*$F$7+$C$5*$E$4*G364*$G$7+$C$5*$E$5*H364*$H$7+$C$5*$E$5*I364*$I$7)),2)</f>
        <v>0.61</v>
      </c>
      <c r="L364" s="276">
        <f>Scenario[[#This Row],[Total Cost]]/(Scenario[[#This Row],[Total Coverage]]*100)</f>
        <v>79418.430854378792</v>
      </c>
      <c r="M364" s="295" cm="1">
        <f t="array" ref="M364">IF(AND(K364=MAX(K$10:K364), L364=MIN(IF(K$10:K364=K364, L$10:L364))), 1, 0)</f>
        <v>0</v>
      </c>
      <c r="N364" s="295">
        <f>IF(AND(Scenario[[#This Row],[Total Coverage]]&gt;=70%,Scenario[[#This Row],[Frontier]]=1),1,0)</f>
        <v>0</v>
      </c>
    </row>
    <row r="365" spans="1:14" x14ac:dyDescent="0.25">
      <c r="A365">
        <v>438</v>
      </c>
      <c r="B365">
        <v>0.25</v>
      </c>
      <c r="C365">
        <v>0.75</v>
      </c>
      <c r="D365">
        <v>0.5</v>
      </c>
      <c r="E365">
        <v>0.5</v>
      </c>
      <c r="F365">
        <v>0.5</v>
      </c>
      <c r="G365">
        <v>0.5</v>
      </c>
      <c r="H365">
        <v>0.5</v>
      </c>
      <c r="I365">
        <v>0.5</v>
      </c>
      <c r="J365" s="272">
        <f>$C$3*($C$4*$E$4*B364*$B$7)*$G$4+$C$3*($C$4*$E$5*D365*$D$7)*$G$4+$C$3*($C$4*$E$4*C365*$C$7)*$G$5+$C$3*($C$4*$E$5*E365*$E$7)*$G$5+$C$3*($C$5*$E$4*F365*$F$7)*$H$4+$C$3*($C$5*$E$5*H365*$H$7)*$H$4+$C$3*($C$5*$E$5*I365*$I$7)*$H$5+$C$3*($C$5*$E$4*G365*$G$7)*$H$5</f>
        <v>5067125.9532674281</v>
      </c>
      <c r="K365" s="277">
        <f>ROUND(($C$4*$E$4*B365*$B$7+$C$4*$E$4*C365*$C$7+$C$4*$E$5*D365*$D$7+$C$4*$E$5*E365*$E$7+($C$5*$E$4*F365*$F$7+$C$5*$E$4*G365*$G$7+$C$5*$E$5*H365*$H$7+$C$5*$E$5*I365*$I$7)),2)</f>
        <v>0.61</v>
      </c>
      <c r="L365" s="276">
        <f>Scenario[[#This Row],[Total Cost]]/(Scenario[[#This Row],[Total Coverage]]*100)</f>
        <v>83067.638578154554</v>
      </c>
      <c r="M365" s="295" cm="1">
        <f t="array" ref="M365">IF(AND(K365=MAX(K$10:K365), L365=MIN(IF(K$10:K365=K365, L$10:L365))), 1, 0)</f>
        <v>0</v>
      </c>
      <c r="N365" s="295">
        <f>IF(AND(Scenario[[#This Row],[Total Coverage]]&gt;=70%,Scenario[[#This Row],[Frontier]]=1),1,0)</f>
        <v>0</v>
      </c>
    </row>
    <row r="366" spans="1:14" x14ac:dyDescent="0.25">
      <c r="A366">
        <v>516</v>
      </c>
      <c r="B366">
        <v>0</v>
      </c>
      <c r="C366">
        <v>1</v>
      </c>
      <c r="D366">
        <v>1</v>
      </c>
      <c r="E366">
        <v>0</v>
      </c>
      <c r="F366">
        <v>0.25</v>
      </c>
      <c r="G366">
        <v>0.75</v>
      </c>
      <c r="H366">
        <v>1</v>
      </c>
      <c r="I366">
        <v>0</v>
      </c>
      <c r="J366" s="272">
        <f>$C$3*($C$4*$E$4*B365*$B$7)*$G$4+$C$3*($C$4*$E$5*D366*$D$7)*$G$4+$C$3*($C$4*$E$4*C366*$C$7)*$G$5+$C$3*($C$4*$E$5*E366*$E$7)*$G$5+$C$3*($C$5*$E$4*F366*$F$7)*$H$4+$C$3*($C$5*$E$5*H366*$H$7)*$H$4+$C$3*($C$5*$E$5*I366*$I$7)*$H$5+$C$3*($C$5*$E$4*G366*$G$7)*$H$5</f>
        <v>5159928.8610921018</v>
      </c>
      <c r="K366" s="277">
        <f>ROUND(($C$4*$E$4*B366*$B$7+$C$4*$E$4*C366*$C$7+$C$4*$E$5*D366*$D$7+$C$4*$E$5*E366*$E$7+($C$5*$E$4*F366*$F$7+$C$5*$E$4*G366*$G$7+$C$5*$E$5*H366*$H$7+$C$5*$E$5*I366*$I$7)),2)</f>
        <v>0.61</v>
      </c>
      <c r="L366" s="276">
        <f>Scenario[[#This Row],[Total Cost]]/(Scenario[[#This Row],[Total Coverage]]*100)</f>
        <v>84588.997722821339</v>
      </c>
      <c r="M366" s="295" cm="1">
        <f t="array" ref="M366">IF(AND(K366=MAX(K$10:K366), L366=MIN(IF(K$10:K366=K366, L$10:L366))), 1, 0)</f>
        <v>0</v>
      </c>
      <c r="N366" s="295">
        <f>IF(AND(Scenario[[#This Row],[Total Coverage]]&gt;=70%,Scenario[[#This Row],[Frontier]]=1),1,0)</f>
        <v>0</v>
      </c>
    </row>
    <row r="367" spans="1:14" x14ac:dyDescent="0.25">
      <c r="A367">
        <v>535</v>
      </c>
      <c r="B367">
        <v>0</v>
      </c>
      <c r="C367">
        <v>1</v>
      </c>
      <c r="D367">
        <v>0.75</v>
      </c>
      <c r="E367">
        <v>0.25</v>
      </c>
      <c r="F367">
        <v>0.75</v>
      </c>
      <c r="G367">
        <v>0.25</v>
      </c>
      <c r="H367">
        <v>0</v>
      </c>
      <c r="I367">
        <v>1</v>
      </c>
      <c r="J367" s="272">
        <f>$C$3*($C$4*$E$4*B366*$B$7)*$G$4+$C$3*($C$4*$E$5*D367*$D$7)*$G$4+$C$3*($C$4*$E$4*C367*$C$7)*$G$5+$C$3*($C$4*$E$5*E367*$E$7)*$G$5+$C$3*($C$5*$E$4*F367*$F$7)*$H$4+$C$3*($C$5*$E$5*H367*$H$7)*$H$4+$C$3*($C$5*$E$5*I367*$I$7)*$H$5+$C$3*($C$5*$E$4*G367*$G$7)*$H$5</f>
        <v>5088308.6074745944</v>
      </c>
      <c r="K367" s="277">
        <f>ROUND(($C$4*$E$4*B367*$B$7+$C$4*$E$4*C367*$C$7+$C$4*$E$5*D367*$D$7+$C$4*$E$5*E367*$E$7+($C$5*$E$4*F367*$F$7+$C$5*$E$4*G367*$G$7+$C$5*$E$5*H367*$H$7+$C$5*$E$5*I367*$I$7)),2)</f>
        <v>0.61</v>
      </c>
      <c r="L367" s="276">
        <f>Scenario[[#This Row],[Total Cost]]/(Scenario[[#This Row],[Total Coverage]]*100)</f>
        <v>83414.895204501547</v>
      </c>
      <c r="M367" s="295" cm="1">
        <f t="array" ref="M367">IF(AND(K367=MAX(K$10:K367), L367=MIN(IF(K$10:K367=K367, L$10:L367))), 1, 0)</f>
        <v>0</v>
      </c>
      <c r="N367" s="295">
        <f>IF(AND(Scenario[[#This Row],[Total Coverage]]&gt;=70%,Scenario[[#This Row],[Frontier]]=1),1,0)</f>
        <v>0</v>
      </c>
    </row>
    <row r="368" spans="1:14" x14ac:dyDescent="0.25">
      <c r="A368">
        <v>441</v>
      </c>
      <c r="B368">
        <v>0.25</v>
      </c>
      <c r="C368">
        <v>0.75</v>
      </c>
      <c r="D368">
        <v>0.5</v>
      </c>
      <c r="E368">
        <v>0.5</v>
      </c>
      <c r="F368">
        <v>0.25</v>
      </c>
      <c r="G368">
        <v>0.75</v>
      </c>
      <c r="H368">
        <v>1</v>
      </c>
      <c r="I368">
        <v>0</v>
      </c>
      <c r="J368" s="272">
        <f>$C$3*($C$4*$E$4*B367*$B$7)*$G$4+$C$3*($C$4*$E$5*D368*$D$7)*$G$4+$C$3*($C$4*$E$4*C368*$C$7)*$G$5+$C$3*($C$4*$E$5*E368*$E$7)*$G$5+$C$3*($C$5*$E$4*F368*$F$7)*$H$4+$C$3*($C$5*$E$5*H368*$H$7)*$H$4+$C$3*($C$5*$E$5*I368*$I$7)*$H$5+$C$3*($C$5*$E$4*G368*$G$7)*$H$5</f>
        <v>4929050.167676012</v>
      </c>
      <c r="K368" s="277">
        <f>ROUND(($C$4*$E$4*B368*$B$7+$C$4*$E$4*C368*$C$7+$C$4*$E$5*D368*$D$7+$C$4*$E$5*E368*$E$7+($C$5*$E$4*F368*$F$7+$C$5*$E$4*G368*$G$7+$C$5*$E$5*H368*$H$7+$C$5*$E$5*I368*$I$7)),2)</f>
        <v>0.61</v>
      </c>
      <c r="L368" s="276">
        <f>Scenario[[#This Row],[Total Cost]]/(Scenario[[#This Row],[Total Coverage]]*100)</f>
        <v>80804.101109442825</v>
      </c>
      <c r="M368" s="295" cm="1">
        <f t="array" ref="M368">IF(AND(K368=MAX(K$10:K368), L368=MIN(IF(K$10:K368=K368, L$10:L368))), 1, 0)</f>
        <v>0</v>
      </c>
      <c r="N368" s="295">
        <f>IF(AND(Scenario[[#This Row],[Total Coverage]]&gt;=70%,Scenario[[#This Row],[Frontier]]=1),1,0)</f>
        <v>0</v>
      </c>
    </row>
    <row r="369" spans="1:14" x14ac:dyDescent="0.25">
      <c r="A369">
        <v>587</v>
      </c>
      <c r="B369">
        <v>0</v>
      </c>
      <c r="C369">
        <v>1</v>
      </c>
      <c r="D369">
        <v>0.25</v>
      </c>
      <c r="E369">
        <v>0.75</v>
      </c>
      <c r="F369">
        <v>0.5</v>
      </c>
      <c r="G369">
        <v>0.5</v>
      </c>
      <c r="H369">
        <v>0.75</v>
      </c>
      <c r="I369">
        <v>0.25</v>
      </c>
      <c r="J369" s="272">
        <f>$C$3*($C$4*$E$4*B368*$B$7)*$G$4+$C$3*($C$4*$E$5*D369*$D$7)*$G$4+$C$3*($C$4*$E$4*C369*$C$7)*$G$5+$C$3*($C$4*$E$5*E369*$E$7)*$G$5+$C$3*($C$5*$E$4*F369*$F$7)*$H$4+$C$3*($C$5*$E$5*H369*$H$7)*$H$4+$C$3*($C$5*$E$5*I369*$I$7)*$H$5+$C$3*($C$5*$E$4*G369*$G$7)*$H$5</f>
        <v>5258061.4677245831</v>
      </c>
      <c r="K369" s="277">
        <f>ROUND(($C$4*$E$4*B369*$B$7+$C$4*$E$4*C369*$C$7+$C$4*$E$5*D369*$D$7+$C$4*$E$5*E369*$E$7+($C$5*$E$4*F369*$F$7+$C$5*$E$4*G369*$G$7+$C$5*$E$5*H369*$H$7+$C$5*$E$5*I369*$I$7)),2)</f>
        <v>0.61</v>
      </c>
      <c r="L369" s="276">
        <f>Scenario[[#This Row],[Total Cost]]/(Scenario[[#This Row],[Total Coverage]]*100)</f>
        <v>86197.728979091524</v>
      </c>
      <c r="M369" s="295" cm="1">
        <f t="array" ref="M369">IF(AND(K369=MAX(K$10:K369), L369=MIN(IF(K$10:K369=K369, L$10:L369))), 1, 0)</f>
        <v>0</v>
      </c>
      <c r="N369" s="295">
        <f>IF(AND(Scenario[[#This Row],[Total Coverage]]&gt;=70%,Scenario[[#This Row],[Frontier]]=1),1,0)</f>
        <v>0</v>
      </c>
    </row>
    <row r="370" spans="1:14" x14ac:dyDescent="0.25">
      <c r="A370">
        <v>71</v>
      </c>
      <c r="B370">
        <v>1</v>
      </c>
      <c r="C370">
        <v>0</v>
      </c>
      <c r="D370">
        <v>0.5</v>
      </c>
      <c r="E370">
        <v>0.5</v>
      </c>
      <c r="F370">
        <v>0</v>
      </c>
      <c r="G370">
        <v>1</v>
      </c>
      <c r="H370">
        <v>1</v>
      </c>
      <c r="I370">
        <v>0</v>
      </c>
      <c r="J370" s="272">
        <f>$C$3*($C$4*$E$4*B369*$B$7)*$G$4+$C$3*($C$4*$E$5*D370*$D$7)*$G$4+$C$3*($C$4*$E$4*C370*$C$7)*$G$5+$C$3*($C$4*$E$5*E370*$E$7)*$G$5+$C$3*($C$5*$E$4*F370*$F$7)*$H$4+$C$3*($C$5*$E$5*H370*$H$7)*$H$4+$C$3*($C$5*$E$5*I370*$I$7)*$H$5+$C$3*($C$5*$E$4*G370*$G$7)*$H$5</f>
        <v>4284634.2886524452</v>
      </c>
      <c r="K370" s="277">
        <f>ROUND(($C$4*$E$4*B370*$B$7+$C$4*$E$4*C370*$C$7+$C$4*$E$5*D370*$D$7+$C$4*$E$5*E370*$E$7+($C$5*$E$4*F370*$F$7+$C$5*$E$4*G370*$G$7+$C$5*$E$5*H370*$H$7+$C$5*$E$5*I370*$I$7)),2)</f>
        <v>0.62</v>
      </c>
      <c r="L370" s="276">
        <f>Scenario[[#This Row],[Total Cost]]/(Scenario[[#This Row],[Total Coverage]]*100)</f>
        <v>69107.004655684606</v>
      </c>
      <c r="M370" s="295" cm="1">
        <f t="array" ref="M370">IF(AND(K370=MAX(K$10:K370), L370=MIN(IF(K$10:K370=K370, L$10:L370))), 1, 0)</f>
        <v>1</v>
      </c>
      <c r="N370" s="295">
        <f>IF(AND(Scenario[[#This Row],[Total Coverage]]&gt;=70%,Scenario[[#This Row],[Frontier]]=1),1,0)</f>
        <v>0</v>
      </c>
    </row>
    <row r="371" spans="1:14" x14ac:dyDescent="0.25">
      <c r="A371">
        <v>68</v>
      </c>
      <c r="B371">
        <v>1</v>
      </c>
      <c r="C371">
        <v>0</v>
      </c>
      <c r="D371">
        <v>0.5</v>
      </c>
      <c r="E371">
        <v>0.5</v>
      </c>
      <c r="F371">
        <v>0.25</v>
      </c>
      <c r="G371">
        <v>0.75</v>
      </c>
      <c r="H371">
        <v>0.5</v>
      </c>
      <c r="I371">
        <v>0.5</v>
      </c>
      <c r="J371" s="272">
        <f>$C$3*($C$4*$E$4*B370*$B$7)*$G$4+$C$3*($C$4*$E$5*D371*$D$7)*$G$4+$C$3*($C$4*$E$4*C371*$C$7)*$G$5+$C$3*($C$4*$E$5*E371*$E$7)*$G$5+$C$3*($C$5*$E$4*F371*$F$7)*$H$4+$C$3*($C$5*$E$5*H371*$H$7)*$H$4+$C$3*($C$5*$E$5*I371*$I$7)*$H$5+$C$3*($C$5*$E$4*G371*$G$7)*$H$5</f>
        <v>4635529.3320403611</v>
      </c>
      <c r="K371" s="277">
        <f>ROUND(($C$4*$E$4*B371*$B$7+$C$4*$E$4*C371*$C$7+$C$4*$E$5*D371*$D$7+$C$4*$E$5*E371*$E$7+($C$5*$E$4*F371*$F$7+$C$5*$E$4*G371*$G$7+$C$5*$E$5*H371*$H$7+$C$5*$E$5*I371*$I$7)),2)</f>
        <v>0.62</v>
      </c>
      <c r="L371" s="276">
        <f>Scenario[[#This Row],[Total Cost]]/(Scenario[[#This Row],[Total Coverage]]*100)</f>
        <v>74766.602129683248</v>
      </c>
      <c r="M371" s="295" cm="1">
        <f t="array" ref="M371">IF(AND(K371=MAX(K$10:K371), L371=MIN(IF(K$10:K371=K371, L$10:L371))), 1, 0)</f>
        <v>0</v>
      </c>
      <c r="N371" s="295">
        <f>IF(AND(Scenario[[#This Row],[Total Coverage]]&gt;=70%,Scenario[[#This Row],[Frontier]]=1),1,0)</f>
        <v>0</v>
      </c>
    </row>
    <row r="372" spans="1:14" x14ac:dyDescent="0.25">
      <c r="A372">
        <v>217</v>
      </c>
      <c r="B372">
        <v>0.75</v>
      </c>
      <c r="C372">
        <v>0.25</v>
      </c>
      <c r="D372">
        <v>0.25</v>
      </c>
      <c r="E372">
        <v>0.75</v>
      </c>
      <c r="F372">
        <v>0.25</v>
      </c>
      <c r="G372">
        <v>0.75</v>
      </c>
      <c r="H372">
        <v>0.75</v>
      </c>
      <c r="I372">
        <v>0.25</v>
      </c>
      <c r="J372" s="272">
        <f>$C$3*($C$4*$E$4*B371*$B$7)*$G$4+$C$3*($C$4*$E$5*D372*$D$7)*$G$4+$C$3*($C$4*$E$4*C372*$C$7)*$G$5+$C$3*($C$4*$E$5*E372*$E$7)*$G$5+$C$3*($C$5*$E$4*F372*$F$7)*$H$4+$C$3*($C$5*$E$5*H372*$H$7)*$H$4+$C$3*($C$5*$E$5*I372*$I$7)*$H$5+$C$3*($C$5*$E$4*G372*$G$7)*$H$5</f>
        <v>4932874.4753957661</v>
      </c>
      <c r="K372" s="277">
        <f>ROUND(($C$4*$E$4*B372*$B$7+$C$4*$E$4*C372*$C$7+$C$4*$E$5*D372*$D$7+$C$4*$E$5*E372*$E$7+($C$5*$E$4*F372*$F$7+$C$5*$E$4*G372*$G$7+$C$5*$E$5*H372*$H$7+$C$5*$E$5*I372*$I$7)),2)</f>
        <v>0.62</v>
      </c>
      <c r="L372" s="276">
        <f>Scenario[[#This Row],[Total Cost]]/(Scenario[[#This Row],[Total Coverage]]*100)</f>
        <v>79562.491538641392</v>
      </c>
      <c r="M372" s="295" cm="1">
        <f t="array" ref="M372">IF(AND(K372=MAX(K$10:K372), L372=MIN(IF(K$10:K372=K372, L$10:L372))), 1, 0)</f>
        <v>0</v>
      </c>
      <c r="N372" s="295">
        <f>IF(AND(Scenario[[#This Row],[Total Coverage]]&gt;=70%,Scenario[[#This Row],[Frontier]]=1),1,0)</f>
        <v>0</v>
      </c>
    </row>
    <row r="373" spans="1:14" x14ac:dyDescent="0.25">
      <c r="A373">
        <v>146</v>
      </c>
      <c r="B373">
        <v>0.75</v>
      </c>
      <c r="C373">
        <v>0.25</v>
      </c>
      <c r="D373">
        <v>1</v>
      </c>
      <c r="E373">
        <v>0</v>
      </c>
      <c r="F373">
        <v>0</v>
      </c>
      <c r="G373">
        <v>1</v>
      </c>
      <c r="H373">
        <v>1</v>
      </c>
      <c r="I373">
        <v>0</v>
      </c>
      <c r="J373" s="272">
        <f>$C$3*($C$4*$E$4*B372*$B$7)*$G$4+$C$3*($C$4*$E$5*D373*$D$7)*$G$4+$C$3*($C$4*$E$4*C373*$C$7)*$G$5+$C$3*($C$4*$E$5*E373*$E$7)*$G$5+$C$3*($C$5*$E$4*F373*$F$7)*$H$4+$C$3*($C$5*$E$5*H373*$H$7)*$H$4+$C$3*($C$5*$E$5*I373*$I$7)*$H$5+$C$3*($C$5*$E$4*G373*$G$7)*$H$5</f>
        <v>4728332.239865033</v>
      </c>
      <c r="K373" s="277">
        <f>ROUND(($C$4*$E$4*B373*$B$7+$C$4*$E$4*C373*$C$7+$C$4*$E$5*D373*$D$7+$C$4*$E$5*E373*$E$7+($C$5*$E$4*F373*$F$7+$C$5*$E$4*G373*$G$7+$C$5*$E$5*H373*$H$7+$C$5*$E$5*I373*$I$7)),2)</f>
        <v>0.62</v>
      </c>
      <c r="L373" s="276">
        <f>Scenario[[#This Row],[Total Cost]]/(Scenario[[#This Row],[Total Coverage]]*100)</f>
        <v>76263.423223629565</v>
      </c>
      <c r="M373" s="295" cm="1">
        <f t="array" ref="M373">IF(AND(K373=MAX(K$10:K373), L373=MIN(IF(K$10:K373=K373, L$10:L373))), 1, 0)</f>
        <v>0</v>
      </c>
      <c r="N373" s="295">
        <f>IF(AND(Scenario[[#This Row],[Total Coverage]]&gt;=70%,Scenario[[#This Row],[Frontier]]=1),1,0)</f>
        <v>0</v>
      </c>
    </row>
    <row r="374" spans="1:14" x14ac:dyDescent="0.25">
      <c r="A374">
        <v>366</v>
      </c>
      <c r="B374">
        <v>0.5</v>
      </c>
      <c r="C374">
        <v>0.5</v>
      </c>
      <c r="D374">
        <v>0</v>
      </c>
      <c r="E374">
        <v>1</v>
      </c>
      <c r="F374">
        <v>0.25</v>
      </c>
      <c r="G374">
        <v>0.75</v>
      </c>
      <c r="H374">
        <v>1</v>
      </c>
      <c r="I374">
        <v>0</v>
      </c>
      <c r="J374" s="272">
        <f>$C$3*($C$4*$E$4*B373*$B$7)*$G$4+$C$3*($C$4*$E$5*D374*$D$7)*$G$4+$C$3*($C$4*$E$4*C374*$C$7)*$G$5+$C$3*($C$4*$E$5*E374*$E$7)*$G$5+$C$3*($C$5*$E$4*F374*$F$7)*$H$4+$C$3*($C$5*$E$5*H374*$H$7)*$H$4+$C$3*($C$5*$E$5*I374*$I$7)*$H$5+$C$3*($C$5*$E$4*G374*$G$7)*$H$5</f>
        <v>5123809.989852922</v>
      </c>
      <c r="K374" s="277">
        <f>ROUND(($C$4*$E$4*B374*$B$7+$C$4*$E$4*C374*$C$7+$C$4*$E$5*D374*$D$7+$C$4*$E$5*E374*$E$7+($C$5*$E$4*F374*$F$7+$C$5*$E$4*G374*$G$7+$C$5*$E$5*H374*$H$7+$C$5*$E$5*I374*$I$7)),2)</f>
        <v>0.62</v>
      </c>
      <c r="L374" s="276">
        <f>Scenario[[#This Row],[Total Cost]]/(Scenario[[#This Row],[Total Coverage]]*100)</f>
        <v>82642.096610531007</v>
      </c>
      <c r="M374" s="295" cm="1">
        <f t="array" ref="M374">IF(AND(K374=MAX(K$10:K374), L374=MIN(IF(K$10:K374=K374, L$10:L374))), 1, 0)</f>
        <v>0</v>
      </c>
      <c r="N374" s="295">
        <f>IF(AND(Scenario[[#This Row],[Total Coverage]]&gt;=70%,Scenario[[#This Row],[Frontier]]=1),1,0)</f>
        <v>0</v>
      </c>
    </row>
    <row r="375" spans="1:14" x14ac:dyDescent="0.25">
      <c r="A375">
        <v>314</v>
      </c>
      <c r="B375">
        <v>0.5</v>
      </c>
      <c r="C375">
        <v>0.5</v>
      </c>
      <c r="D375">
        <v>0.5</v>
      </c>
      <c r="E375">
        <v>0.5</v>
      </c>
      <c r="F375">
        <v>0.5</v>
      </c>
      <c r="G375">
        <v>0.5</v>
      </c>
      <c r="H375">
        <v>0.25</v>
      </c>
      <c r="I375">
        <v>0.75</v>
      </c>
      <c r="J375" s="272">
        <f>$C$3*($C$4*$E$4*B374*$B$7)*$G$4+$C$3*($C$4*$E$5*D375*$D$7)*$G$4+$C$3*($C$4*$E$4*C375*$C$7)*$G$5+$C$3*($C$4*$E$5*E375*$E$7)*$G$5+$C$3*($C$5*$E$4*F375*$F$7)*$H$4+$C$3*($C$5*$E$5*H375*$H$7)*$H$4+$C$3*($C$5*$E$5*I375*$I$7)*$H$5+$C$3*($C$5*$E$4*G375*$G$7)*$H$5</f>
        <v>4954057.1296029314</v>
      </c>
      <c r="K375" s="277">
        <f>ROUND(($C$4*$E$4*B375*$B$7+$C$4*$E$4*C375*$C$7+$C$4*$E$5*D375*$D$7+$C$4*$E$5*E375*$E$7+($C$5*$E$4*F375*$F$7+$C$5*$E$4*G375*$G$7+$C$5*$E$5*H375*$H$7+$C$5*$E$5*I375*$I$7)),2)</f>
        <v>0.62</v>
      </c>
      <c r="L375" s="276">
        <f>Scenario[[#This Row],[Total Cost]]/(Scenario[[#This Row],[Total Coverage]]*100)</f>
        <v>79904.147251660179</v>
      </c>
      <c r="M375" s="295" cm="1">
        <f t="array" ref="M375">IF(AND(K375=MAX(K$10:K375), L375=MIN(IF(K$10:K375=K375, L$10:L375))), 1, 0)</f>
        <v>0</v>
      </c>
      <c r="N375" s="295">
        <f>IF(AND(Scenario[[#This Row],[Total Coverage]]&gt;=70%,Scenario[[#This Row],[Frontier]]=1),1,0)</f>
        <v>0</v>
      </c>
    </row>
    <row r="376" spans="1:14" x14ac:dyDescent="0.25">
      <c r="A376">
        <v>165</v>
      </c>
      <c r="B376">
        <v>0.75</v>
      </c>
      <c r="C376">
        <v>0.25</v>
      </c>
      <c r="D376">
        <v>0.75</v>
      </c>
      <c r="E376">
        <v>0.25</v>
      </c>
      <c r="F376">
        <v>0.5</v>
      </c>
      <c r="G376">
        <v>0.5</v>
      </c>
      <c r="H376">
        <v>0</v>
      </c>
      <c r="I376">
        <v>1</v>
      </c>
      <c r="J376" s="272">
        <f>$C$3*($C$4*$E$4*B375*$B$7)*$G$4+$C$3*($C$4*$E$5*D376*$D$7)*$G$4+$C$3*($C$4*$E$4*C376*$C$7)*$G$5+$C$3*($C$4*$E$5*E376*$E$7)*$G$5+$C$3*($C$5*$E$4*F376*$F$7)*$H$4+$C$3*($C$5*$E$5*H376*$H$7)*$H$4+$C$3*($C$5*$E$5*I376*$I$7)*$H$5+$C$3*($C$5*$E$4*G376*$G$7)*$H$5</f>
        <v>4656711.9862475265</v>
      </c>
      <c r="K376" s="277">
        <f>ROUND(($C$4*$E$4*B376*$B$7+$C$4*$E$4*C376*$C$7+$C$4*$E$5*D376*$D$7+$C$4*$E$5*E376*$E$7+($C$5*$E$4*F376*$F$7+$C$5*$E$4*G376*$G$7+$C$5*$E$5*H376*$H$7+$C$5*$E$5*I376*$I$7)),2)</f>
        <v>0.62</v>
      </c>
      <c r="L376" s="276">
        <f>Scenario[[#This Row],[Total Cost]]/(Scenario[[#This Row],[Total Coverage]]*100)</f>
        <v>75108.257842702034</v>
      </c>
      <c r="M376" s="295" cm="1">
        <f t="array" ref="M376">IF(AND(K376=MAX(K$10:K376), L376=MIN(IF(K$10:K376=K376, L$10:L376))), 1, 0)</f>
        <v>0</v>
      </c>
      <c r="N376" s="295">
        <f>IF(AND(Scenario[[#This Row],[Total Coverage]]&gt;=70%,Scenario[[#This Row],[Frontier]]=1),1,0)</f>
        <v>0</v>
      </c>
    </row>
    <row r="377" spans="1:14" x14ac:dyDescent="0.25">
      <c r="A377">
        <v>389</v>
      </c>
      <c r="B377">
        <v>0.25</v>
      </c>
      <c r="C377">
        <v>0.75</v>
      </c>
      <c r="D377">
        <v>1</v>
      </c>
      <c r="E377">
        <v>0</v>
      </c>
      <c r="F377">
        <v>0.5</v>
      </c>
      <c r="G377">
        <v>0.5</v>
      </c>
      <c r="H377">
        <v>0.25</v>
      </c>
      <c r="I377">
        <v>0.75</v>
      </c>
      <c r="J377" s="272">
        <f>$C$3*($C$4*$E$4*B376*$B$7)*$G$4+$C$3*($C$4*$E$5*D377*$D$7)*$G$4+$C$3*($C$4*$E$4*C377*$C$7)*$G$5+$C$3*($C$4*$E$5*E377*$E$7)*$G$5+$C$3*($C$5*$E$4*F377*$F$7)*$H$4+$C$3*($C$5*$E$5*H377*$H$7)*$H$4+$C$3*($C$5*$E$5*I377*$I$7)*$H$5+$C$3*($C$5*$E$4*G377*$G$7)*$H$5</f>
        <v>5184935.8230190203</v>
      </c>
      <c r="K377" s="277">
        <f>ROUND(($C$4*$E$4*B377*$B$7+$C$4*$E$4*C377*$C$7+$C$4*$E$5*D377*$D$7+$C$4*$E$5*E377*$E$7+($C$5*$E$4*F377*$F$7+$C$5*$E$4*G377*$G$7+$C$5*$E$5*H377*$H$7+$C$5*$E$5*I377*$I$7)),2)</f>
        <v>0.62</v>
      </c>
      <c r="L377" s="276">
        <f>Scenario[[#This Row],[Total Cost]]/(Scenario[[#This Row],[Total Coverage]]*100)</f>
        <v>83627.997145468064</v>
      </c>
      <c r="M377" s="295" cm="1">
        <f t="array" ref="M377">IF(AND(K377=MAX(K$10:K377), L377=MIN(IF(K$10:K377=K377, L$10:L377))), 1, 0)</f>
        <v>0</v>
      </c>
      <c r="N377" s="295">
        <f>IF(AND(Scenario[[#This Row],[Total Coverage]]&gt;=70%,Scenario[[#This Row],[Frontier]]=1),1,0)</f>
        <v>0</v>
      </c>
    </row>
    <row r="378" spans="1:14" x14ac:dyDescent="0.25">
      <c r="A378">
        <v>463</v>
      </c>
      <c r="B378">
        <v>0.25</v>
      </c>
      <c r="C378">
        <v>0.75</v>
      </c>
      <c r="D378">
        <v>0.25</v>
      </c>
      <c r="E378">
        <v>0.75</v>
      </c>
      <c r="F378">
        <v>0.5</v>
      </c>
      <c r="G378">
        <v>0.5</v>
      </c>
      <c r="H378">
        <v>0.5</v>
      </c>
      <c r="I378">
        <v>0.5</v>
      </c>
      <c r="J378" s="272">
        <f>$C$3*($C$4*$E$4*B377*$B$7)*$G$4+$C$3*($C$4*$E$5*D378*$D$7)*$G$4+$C$3*($C$4*$E$4*C378*$C$7)*$G$5+$C$3*($C$4*$E$5*E378*$E$7)*$G$5+$C$3*($C$5*$E$4*F378*$F$7)*$H$4+$C$3*($C$5*$E$5*H378*$H$7)*$H$4+$C$3*($C$5*$E$5*I378*$I$7)*$H$5+$C$3*($C$5*$E$4*G378*$G$7)*$H$5</f>
        <v>5144992.6440600874</v>
      </c>
      <c r="K378" s="277">
        <f>ROUND(($C$4*$E$4*B378*$B$7+$C$4*$E$4*C378*$C$7+$C$4*$E$5*D378*$D$7+$C$4*$E$5*E378*$E$7+($C$5*$E$4*F378*$F$7+$C$5*$E$4*G378*$G$7+$C$5*$E$5*H378*$H$7+$C$5*$E$5*I378*$I$7)),2)</f>
        <v>0.62</v>
      </c>
      <c r="L378" s="276">
        <f>Scenario[[#This Row],[Total Cost]]/(Scenario[[#This Row],[Total Coverage]]*100)</f>
        <v>82983.752323549794</v>
      </c>
      <c r="M378" s="295" cm="1">
        <f t="array" ref="M378">IF(AND(K378=MAX(K$10:K378), L378=MIN(IF(K$10:K378=K378, L$10:L378))), 1, 0)</f>
        <v>0</v>
      </c>
      <c r="N378" s="295">
        <f>IF(AND(Scenario[[#This Row],[Total Coverage]]&gt;=70%,Scenario[[#This Row],[Frontier]]=1),1,0)</f>
        <v>0</v>
      </c>
    </row>
    <row r="379" spans="1:14" x14ac:dyDescent="0.25">
      <c r="A379">
        <v>392</v>
      </c>
      <c r="B379">
        <v>0.25</v>
      </c>
      <c r="C379">
        <v>0.75</v>
      </c>
      <c r="D379">
        <v>1</v>
      </c>
      <c r="E379">
        <v>0</v>
      </c>
      <c r="F379">
        <v>0.25</v>
      </c>
      <c r="G379">
        <v>0.75</v>
      </c>
      <c r="H379">
        <v>0.75</v>
      </c>
      <c r="I379">
        <v>0.25</v>
      </c>
      <c r="J379" s="272">
        <f>$C$3*($C$4*$E$4*B378*$B$7)*$G$4+$C$3*($C$4*$E$5*D379*$D$7)*$G$4+$C$3*($C$4*$E$4*C379*$C$7)*$G$5+$C$3*($C$4*$E$5*E379*$E$7)*$G$5+$C$3*($C$5*$E$4*F379*$F$7)*$H$4+$C$3*($C$5*$E$5*H379*$H$7)*$H$4+$C$3*($C$5*$E$5*I379*$I$7)*$H$5+$C$3*($C$5*$E$4*G379*$G$7)*$H$5</f>
        <v>5046860.0374276051</v>
      </c>
      <c r="K379" s="277">
        <f>ROUND(($C$4*$E$4*B379*$B$7+$C$4*$E$4*C379*$C$7+$C$4*$E$5*D379*$D$7+$C$4*$E$5*E379*$E$7+($C$5*$E$4*F379*$F$7+$C$5*$E$4*G379*$G$7+$C$5*$E$5*H379*$H$7+$C$5*$E$5*I379*$I$7)),2)</f>
        <v>0.62</v>
      </c>
      <c r="L379" s="276">
        <f>Scenario[[#This Row],[Total Cost]]/(Scenario[[#This Row],[Total Coverage]]*100)</f>
        <v>81400.96834560654</v>
      </c>
      <c r="M379" s="295" cm="1">
        <f t="array" ref="M379">IF(AND(K379=MAX(K$10:K379), L379=MIN(IF(K$10:K379=K379, L$10:L379))), 1, 0)</f>
        <v>0</v>
      </c>
      <c r="N379" s="295">
        <f>IF(AND(Scenario[[#This Row],[Total Coverage]]&gt;=70%,Scenario[[#This Row],[Frontier]]=1),1,0)</f>
        <v>0</v>
      </c>
    </row>
    <row r="380" spans="1:14" x14ac:dyDescent="0.25">
      <c r="A380">
        <v>538</v>
      </c>
      <c r="B380">
        <v>0</v>
      </c>
      <c r="C380">
        <v>1</v>
      </c>
      <c r="D380">
        <v>0.75</v>
      </c>
      <c r="E380">
        <v>0.25</v>
      </c>
      <c r="F380">
        <v>0.5</v>
      </c>
      <c r="G380">
        <v>0.5</v>
      </c>
      <c r="H380">
        <v>0.5</v>
      </c>
      <c r="I380">
        <v>0.5</v>
      </c>
      <c r="J380" s="272">
        <f>$C$3*($C$4*$E$4*B379*$B$7)*$G$4+$C$3*($C$4*$E$5*D380*$D$7)*$G$4+$C$3*($C$4*$E$4*C380*$C$7)*$G$5+$C$3*($C$4*$E$5*E380*$E$7)*$G$5+$C$3*($C$5*$E$4*F380*$F$7)*$H$4+$C$3*($C$5*$E$5*H380*$H$7)*$H$4+$C$3*($C$5*$E$5*I380*$I$7)*$H$5+$C$3*($C$5*$E$4*G380*$G$7)*$H$5</f>
        <v>5269461.7085779263</v>
      </c>
      <c r="K380" s="277">
        <f>ROUND(($C$4*$E$4*B380*$B$7+$C$4*$E$4*C380*$C$7+$C$4*$E$5*D380*$D$7+$C$4*$E$5*E380*$E$7+($C$5*$E$4*F380*$F$7+$C$5*$E$4*G380*$G$7+$C$5*$E$5*H380*$H$7+$C$5*$E$5*I380*$I$7)),2)</f>
        <v>0.62</v>
      </c>
      <c r="L380" s="276">
        <f>Scenario[[#This Row],[Total Cost]]/(Scenario[[#This Row],[Total Coverage]]*100)</f>
        <v>84991.317880289134</v>
      </c>
      <c r="M380" s="295" cm="1">
        <f t="array" ref="M380">IF(AND(K380=MAX(K$10:K380), L380=MIN(IF(K$10:K380=K380, L$10:L380))), 1, 0)</f>
        <v>0</v>
      </c>
      <c r="N380" s="295">
        <f>IF(AND(Scenario[[#This Row],[Total Coverage]]&gt;=70%,Scenario[[#This Row],[Frontier]]=1),1,0)</f>
        <v>0</v>
      </c>
    </row>
    <row r="381" spans="1:14" x14ac:dyDescent="0.25">
      <c r="A381">
        <v>460</v>
      </c>
      <c r="B381">
        <v>0.25</v>
      </c>
      <c r="C381">
        <v>0.75</v>
      </c>
      <c r="D381">
        <v>0.25</v>
      </c>
      <c r="E381">
        <v>0.75</v>
      </c>
      <c r="F381">
        <v>0.75</v>
      </c>
      <c r="G381">
        <v>0.25</v>
      </c>
      <c r="H381">
        <v>0</v>
      </c>
      <c r="I381">
        <v>1</v>
      </c>
      <c r="J381" s="272">
        <f>$C$3*($C$4*$E$4*B380*$B$7)*$G$4+$C$3*($C$4*$E$5*D381*$D$7)*$G$4+$C$3*($C$4*$E$4*C381*$C$7)*$G$5+$C$3*($C$4*$E$5*E381*$E$7)*$G$5+$C$3*($C$5*$E$4*F381*$F$7)*$H$4+$C$3*($C$5*$E$5*H381*$H$7)*$H$4+$C$3*($C$5*$E$5*I381*$I$7)*$H$5+$C$3*($C$5*$E$4*G381*$G$7)*$H$5</f>
        <v>4963839.5429567546</v>
      </c>
      <c r="K381" s="277">
        <f>ROUND(($C$4*$E$4*B381*$B$7+$C$4*$E$4*C381*$C$7+$C$4*$E$5*D381*$D$7+$C$4*$E$5*E381*$E$7+($C$5*$E$4*F381*$F$7+$C$5*$E$4*G381*$G$7+$C$5*$E$5*H381*$H$7+$C$5*$E$5*I381*$I$7)),2)</f>
        <v>0.62</v>
      </c>
      <c r="L381" s="276">
        <f>Scenario[[#This Row],[Total Cost]]/(Scenario[[#This Row],[Total Coverage]]*100)</f>
        <v>80061.928112205715</v>
      </c>
      <c r="M381" s="295" cm="1">
        <f t="array" ref="M381">IF(AND(K381=MAX(K$10:K381), L381=MIN(IF(K$10:K381=K381, L$10:L381))), 1, 0)</f>
        <v>0</v>
      </c>
      <c r="N381" s="295">
        <f>IF(AND(Scenario[[#This Row],[Total Coverage]]&gt;=70%,Scenario[[#This Row],[Frontier]]=1),1,0)</f>
        <v>0</v>
      </c>
    </row>
    <row r="382" spans="1:14" x14ac:dyDescent="0.25">
      <c r="A382">
        <v>541</v>
      </c>
      <c r="B382">
        <v>0</v>
      </c>
      <c r="C382">
        <v>1</v>
      </c>
      <c r="D382">
        <v>0.75</v>
      </c>
      <c r="E382">
        <v>0.25</v>
      </c>
      <c r="F382">
        <v>0.25</v>
      </c>
      <c r="G382">
        <v>0.75</v>
      </c>
      <c r="H382">
        <v>1</v>
      </c>
      <c r="I382">
        <v>0</v>
      </c>
      <c r="J382" s="272">
        <f>$C$3*($C$4*$E$4*B381*$B$7)*$G$4+$C$3*($C$4*$E$5*D382*$D$7)*$G$4+$C$3*($C$4*$E$4*C382*$C$7)*$G$5+$C$3*($C$4*$E$5*E382*$E$7)*$G$5+$C$3*($C$5*$E$4*F382*$F$7)*$H$4+$C$3*($C$5*$E$5*H382*$H$7)*$H$4+$C$3*($C$5*$E$5*I382*$I$7)*$H$5+$C$3*($C$5*$E$4*G382*$G$7)*$H$5</f>
        <v>5344205.1807830092</v>
      </c>
      <c r="K382" s="277">
        <f>ROUND(($C$4*$E$4*B382*$B$7+$C$4*$E$4*C382*$C$7+$C$4*$E$5*D382*$D$7+$C$4*$E$5*E382*$E$7+($C$5*$E$4*F382*$F$7+$C$5*$E$4*G382*$G$7+$C$5*$E$5*H382*$H$7+$C$5*$E$5*I382*$I$7)),2)</f>
        <v>0.62</v>
      </c>
      <c r="L382" s="276">
        <f>Scenario[[#This Row],[Total Cost]]/(Scenario[[#This Row],[Total Coverage]]*100)</f>
        <v>86196.857754564669</v>
      </c>
      <c r="M382" s="295" cm="1">
        <f t="array" ref="M382">IF(AND(K382=MAX(K$10:K382), L382=MIN(IF(K$10:K382=K382, L$10:L382))), 1, 0)</f>
        <v>0</v>
      </c>
      <c r="N382" s="295">
        <f>IF(AND(Scenario[[#This Row],[Total Coverage]]&gt;=70%,Scenario[[#This Row],[Frontier]]=1),1,0)</f>
        <v>0</v>
      </c>
    </row>
    <row r="383" spans="1:14" x14ac:dyDescent="0.25">
      <c r="A383">
        <v>609</v>
      </c>
      <c r="B383">
        <v>0</v>
      </c>
      <c r="C383">
        <v>1</v>
      </c>
      <c r="D383">
        <v>0</v>
      </c>
      <c r="E383">
        <v>1</v>
      </c>
      <c r="F383">
        <v>0.75</v>
      </c>
      <c r="G383">
        <v>0.25</v>
      </c>
      <c r="H383">
        <v>0.25</v>
      </c>
      <c r="I383">
        <v>0.75</v>
      </c>
      <c r="J383" s="272">
        <f>$C$3*($C$4*$E$4*B382*$B$7)*$G$4+$C$3*($C$4*$E$5*D383*$D$7)*$G$4+$C$3*($C$4*$E$4*C383*$C$7)*$G$5+$C$3*($C$4*$E$5*E383*$E$7)*$G$5+$C$3*($C$5*$E$4*F383*$F$7)*$H$4+$C$3*($C$5*$E$5*H383*$H$7)*$H$4+$C$3*($C$5*$E$5*I383*$I$7)*$H$5+$C$3*($C$5*$E$4*G383*$G$7)*$H$5</f>
        <v>5261184.6863121586</v>
      </c>
      <c r="K383" s="277">
        <f>ROUND(($C$4*$E$4*B383*$B$7+$C$4*$E$4*C383*$C$7+$C$4*$E$5*D383*$D$7+$C$4*$E$5*E383*$E$7+($C$5*$E$4*F383*$F$7+$C$5*$E$4*G383*$G$7+$C$5*$E$5*H383*$H$7+$C$5*$E$5*I383*$I$7)),2)</f>
        <v>0.62</v>
      </c>
      <c r="L383" s="276">
        <f>Scenario[[#This Row],[Total Cost]]/(Scenario[[#This Row],[Total Coverage]]*100)</f>
        <v>84857.817521163845</v>
      </c>
      <c r="M383" s="295" cm="1">
        <f t="array" ref="M383">IF(AND(K383=MAX(K$10:K383), L383=MIN(IF(K$10:K383=K383, L$10:L383))), 1, 0)</f>
        <v>0</v>
      </c>
      <c r="N383" s="295">
        <f>IF(AND(Scenario[[#This Row],[Total Coverage]]&gt;=70%,Scenario[[#This Row],[Frontier]]=1),1,0)</f>
        <v>0</v>
      </c>
    </row>
    <row r="384" spans="1:14" x14ac:dyDescent="0.25">
      <c r="A384">
        <v>612</v>
      </c>
      <c r="B384">
        <v>0</v>
      </c>
      <c r="C384">
        <v>1</v>
      </c>
      <c r="D384">
        <v>0</v>
      </c>
      <c r="E384">
        <v>1</v>
      </c>
      <c r="F384">
        <v>0.5</v>
      </c>
      <c r="G384">
        <v>0.5</v>
      </c>
      <c r="H384">
        <v>0.75</v>
      </c>
      <c r="I384">
        <v>0.25</v>
      </c>
      <c r="J384" s="272">
        <f>$C$3*($C$4*$E$4*B383*$B$7)*$G$4+$C$3*($C$4*$E$5*D384*$D$7)*$G$4+$C$3*($C$4*$E$4*C384*$C$7)*$G$5+$C$3*($C$4*$E$5*E384*$E$7)*$G$5+$C$3*($C$5*$E$4*F384*$F$7)*$H$4+$C$3*($C$5*$E$5*H384*$H$7)*$H$4+$C$3*($C$5*$E$5*I384*$I$7)*$H$5+$C$3*($C$5*$E$4*G384*$G$7)*$H$5</f>
        <v>5335928.1585172415</v>
      </c>
      <c r="K384" s="277">
        <f>ROUND(($C$4*$E$4*B384*$B$7+$C$4*$E$4*C384*$C$7+$C$4*$E$5*D384*$D$7+$C$4*$E$5*E384*$E$7+($C$5*$E$4*F384*$F$7+$C$5*$E$4*G384*$G$7+$C$5*$E$5*H384*$H$7+$C$5*$E$5*I384*$I$7)),2)</f>
        <v>0.62</v>
      </c>
      <c r="L384" s="276">
        <f>Scenario[[#This Row],[Total Cost]]/(Scenario[[#This Row],[Total Coverage]]*100)</f>
        <v>86063.35739543938</v>
      </c>
      <c r="M384" s="295" cm="1">
        <f t="array" ref="M384">IF(AND(K384=MAX(K$10:K384), L384=MIN(IF(K$10:K384=K384, L$10:L384))), 1, 0)</f>
        <v>0</v>
      </c>
      <c r="N384" s="295">
        <f>IF(AND(Scenario[[#This Row],[Total Coverage]]&gt;=70%,Scenario[[#This Row],[Frontier]]=1),1,0)</f>
        <v>0</v>
      </c>
    </row>
    <row r="385" spans="1:14" x14ac:dyDescent="0.25">
      <c r="A385">
        <v>93</v>
      </c>
      <c r="B385">
        <v>1</v>
      </c>
      <c r="C385">
        <v>0</v>
      </c>
      <c r="D385">
        <v>0.25</v>
      </c>
      <c r="E385">
        <v>0.75</v>
      </c>
      <c r="F385">
        <v>0.25</v>
      </c>
      <c r="G385">
        <v>0.75</v>
      </c>
      <c r="H385">
        <v>0.5</v>
      </c>
      <c r="I385">
        <v>0.5</v>
      </c>
      <c r="J385" s="272">
        <f>$C$3*($C$4*$E$4*B384*$B$7)*$G$4+$C$3*($C$4*$E$5*D385*$D$7)*$G$4+$C$3*($C$4*$E$4*C385*$C$7)*$G$5+$C$3*($C$4*$E$5*E385*$E$7)*$G$5+$C$3*($C$5*$E$4*F385*$F$7)*$H$4+$C$3*($C$5*$E$5*H385*$H$7)*$H$4+$C$3*($C$5*$E$5*I385*$I$7)*$H$5+$C$3*($C$5*$E$4*G385*$G$7)*$H$5</f>
        <v>4394167.1361382715</v>
      </c>
      <c r="K385" s="277">
        <f>ROUND(($C$4*$E$4*B385*$B$7+$C$4*$E$4*C385*$C$7+$C$4*$E$5*D385*$D$7+$C$4*$E$5*E385*$E$7+($C$5*$E$4*F385*$F$7+$C$5*$E$4*G385*$G$7+$C$5*$E$5*H385*$H$7+$C$5*$E$5*I385*$I$7)),2)</f>
        <v>0.63</v>
      </c>
      <c r="L385" s="276">
        <f>Scenario[[#This Row],[Total Cost]]/(Scenario[[#This Row],[Total Coverage]]*100)</f>
        <v>69748.684700607482</v>
      </c>
      <c r="M385" s="295" cm="1">
        <f t="array" ref="M385">IF(AND(K385=MAX(K$10:K385), L385=MIN(IF(K$10:K385=K385, L$10:L385))), 1, 0)</f>
        <v>1</v>
      </c>
      <c r="N385" s="295">
        <f>IF(AND(Scenario[[#This Row],[Total Coverage]]&gt;=70%,Scenario[[#This Row],[Frontier]]=1),1,0)</f>
        <v>0</v>
      </c>
    </row>
    <row r="386" spans="1:14" x14ac:dyDescent="0.25">
      <c r="A386">
        <v>90</v>
      </c>
      <c r="B386">
        <v>1</v>
      </c>
      <c r="C386">
        <v>0</v>
      </c>
      <c r="D386">
        <v>0.25</v>
      </c>
      <c r="E386">
        <v>0.75</v>
      </c>
      <c r="F386">
        <v>0.5</v>
      </c>
      <c r="G386">
        <v>0.5</v>
      </c>
      <c r="H386">
        <v>0</v>
      </c>
      <c r="I386">
        <v>1</v>
      </c>
      <c r="J386" s="272">
        <f>$C$3*($C$4*$E$4*B385*$B$7)*$G$4+$C$3*($C$4*$E$5*D386*$D$7)*$G$4+$C$3*($C$4*$E$4*C386*$C$7)*$G$5+$C$3*($C$4*$E$5*E386*$E$7)*$G$5+$C$3*($C$5*$E$4*F386*$F$7)*$H$4+$C$3*($C$5*$E$5*H386*$H$7)*$H$4+$C$3*($C$5*$E$5*I386*$I$7)*$H$5+$C$3*($C$5*$E$4*G386*$G$7)*$H$5</f>
        <v>4745062.1795261865</v>
      </c>
      <c r="K386" s="277">
        <f>ROUND(($C$4*$E$4*B386*$B$7+$C$4*$E$4*C386*$C$7+$C$4*$E$5*D386*$D$7+$C$4*$E$5*E386*$E$7+($C$5*$E$4*F386*$F$7+$C$5*$E$4*G386*$G$7+$C$5*$E$5*H386*$H$7+$C$5*$E$5*I386*$I$7)),2)</f>
        <v>0.63</v>
      </c>
      <c r="L386" s="276">
        <f>Scenario[[#This Row],[Total Cost]]/(Scenario[[#This Row],[Total Coverage]]*100)</f>
        <v>75318.447294066456</v>
      </c>
      <c r="M386" s="295" cm="1">
        <f t="array" ref="M386">IF(AND(K386=MAX(K$10:K386), L386=MIN(IF(K$10:K386=K386, L$10:L386))), 1, 0)</f>
        <v>0</v>
      </c>
      <c r="N386" s="295">
        <f>IF(AND(Scenario[[#This Row],[Total Coverage]]&gt;=70%,Scenario[[#This Row],[Frontier]]=1),1,0)</f>
        <v>0</v>
      </c>
    </row>
    <row r="387" spans="1:14" x14ac:dyDescent="0.25">
      <c r="A387">
        <v>19</v>
      </c>
      <c r="B387">
        <v>1</v>
      </c>
      <c r="C387">
        <v>0</v>
      </c>
      <c r="D387">
        <v>1</v>
      </c>
      <c r="E387">
        <v>0</v>
      </c>
      <c r="F387">
        <v>0.25</v>
      </c>
      <c r="G387">
        <v>0.75</v>
      </c>
      <c r="H387">
        <v>0.25</v>
      </c>
      <c r="I387">
        <v>0.75</v>
      </c>
      <c r="J387" s="272">
        <f>$C$3*($C$4*$E$4*B386*$B$7)*$G$4+$C$3*($C$4*$E$5*D387*$D$7)*$G$4+$C$3*($C$4*$E$4*C387*$C$7)*$G$5+$C$3*($C$4*$E$5*E387*$E$7)*$G$5+$C$3*($C$5*$E$4*F387*$F$7)*$H$4+$C$3*($C$5*$E$5*H387*$H$7)*$H$4+$C$3*($C$5*$E$5*I387*$I$7)*$H$5+$C$3*($C$5*$E$4*G387*$G$7)*$H$5</f>
        <v>4646929.5728937043</v>
      </c>
      <c r="K387" s="277">
        <f>ROUND(($C$4*$E$4*B387*$B$7+$C$4*$E$4*C387*$C$7+$C$4*$E$5*D387*$D$7+$C$4*$E$5*E387*$E$7+($C$5*$E$4*F387*$F$7+$C$5*$E$4*G387*$G$7+$C$5*$E$5*H387*$H$7+$C$5*$E$5*I387*$I$7)),2)</f>
        <v>0.63</v>
      </c>
      <c r="L387" s="276">
        <f>Scenario[[#This Row],[Total Cost]]/(Scenario[[#This Row],[Total Coverage]]*100)</f>
        <v>73760.786871328644</v>
      </c>
      <c r="M387" s="295" cm="1">
        <f t="array" ref="M387">IF(AND(K387=MAX(K$10:K387), L387=MIN(IF(K$10:K387=K387, L$10:L387))), 1, 0)</f>
        <v>0</v>
      </c>
      <c r="N387" s="295">
        <f>IF(AND(Scenario[[#This Row],[Total Coverage]]&gt;=70%,Scenario[[#This Row],[Frontier]]=1),1,0)</f>
        <v>0</v>
      </c>
    </row>
    <row r="388" spans="1:14" x14ac:dyDescent="0.25">
      <c r="A388">
        <v>22</v>
      </c>
      <c r="B388">
        <v>1</v>
      </c>
      <c r="C388">
        <v>0</v>
      </c>
      <c r="D388">
        <v>1</v>
      </c>
      <c r="E388">
        <v>0</v>
      </c>
      <c r="F388">
        <v>0</v>
      </c>
      <c r="G388">
        <v>1</v>
      </c>
      <c r="H388">
        <v>0.75</v>
      </c>
      <c r="I388">
        <v>0.25</v>
      </c>
      <c r="J388" s="272">
        <f>$C$3*($C$4*$E$4*B387*$B$7)*$G$4+$C$3*($C$4*$E$5*D388*$D$7)*$G$4+$C$3*($C$4*$E$4*C388*$C$7)*$G$5+$C$3*($C$4*$E$5*E388*$E$7)*$G$5+$C$3*($C$5*$E$4*F388*$F$7)*$H$4+$C$3*($C$5*$E$5*H388*$H$7)*$H$4+$C$3*($C$5*$E$5*I388*$I$7)*$H$5+$C$3*($C$5*$E$4*G388*$G$7)*$H$5</f>
        <v>4721673.0450987862</v>
      </c>
      <c r="K388" s="277">
        <f>ROUND(($C$4*$E$4*B388*$B$7+$C$4*$E$4*C388*$C$7+$C$4*$E$5*D388*$D$7+$C$4*$E$5*E388*$E$7+($C$5*$E$4*F388*$F$7+$C$5*$E$4*G388*$G$7+$C$5*$E$5*H388*$H$7+$C$5*$E$5*I388*$I$7)),2)</f>
        <v>0.63</v>
      </c>
      <c r="L388" s="276">
        <f>Scenario[[#This Row],[Total Cost]]/(Scenario[[#This Row],[Total Coverage]]*100)</f>
        <v>74947.191192044222</v>
      </c>
      <c r="M388" s="295" cm="1">
        <f t="array" ref="M388">IF(AND(K388=MAX(K$10:K388), L388=MIN(IF(K$10:K388=K388, L$10:L388))), 1, 0)</f>
        <v>0</v>
      </c>
      <c r="N388" s="295">
        <f>IF(AND(Scenario[[#This Row],[Total Coverage]]&gt;=70%,Scenario[[#This Row],[Frontier]]=1),1,0)</f>
        <v>0</v>
      </c>
    </row>
    <row r="389" spans="1:14" x14ac:dyDescent="0.25">
      <c r="A389">
        <v>242</v>
      </c>
      <c r="B389">
        <v>0.75</v>
      </c>
      <c r="C389">
        <v>0.25</v>
      </c>
      <c r="D389">
        <v>0</v>
      </c>
      <c r="E389">
        <v>1</v>
      </c>
      <c r="F389">
        <v>0.25</v>
      </c>
      <c r="G389">
        <v>0.75</v>
      </c>
      <c r="H389">
        <v>0.75</v>
      </c>
      <c r="I389">
        <v>0.25</v>
      </c>
      <c r="J389" s="272">
        <f>$C$3*($C$4*$E$4*B388*$B$7)*$G$4+$C$3*($C$4*$E$5*D389*$D$7)*$G$4+$C$3*($C$4*$E$4*C389*$C$7)*$G$5+$C$3*($C$4*$E$5*E389*$E$7)*$G$5+$C$3*($C$5*$E$4*F389*$F$7)*$H$4+$C$3*($C$5*$E$5*H389*$H$7)*$H$4+$C$3*($C$5*$E$5*I389*$I$7)*$H$5+$C$3*($C$5*$E$4*G389*$G$7)*$H$5</f>
        <v>5117150.7950866744</v>
      </c>
      <c r="K389" s="277">
        <f>ROUND(($C$4*$E$4*B389*$B$7+$C$4*$E$4*C389*$C$7+$C$4*$E$5*D389*$D$7+$C$4*$E$5*E389*$E$7+($C$5*$E$4*F389*$F$7+$C$5*$E$4*G389*$G$7+$C$5*$E$5*H389*$H$7+$C$5*$E$5*I389*$I$7)),2)</f>
        <v>0.63</v>
      </c>
      <c r="L389" s="276">
        <f>Scenario[[#This Row],[Total Cost]]/(Scenario[[#This Row],[Total Coverage]]*100)</f>
        <v>81224.615795026577</v>
      </c>
      <c r="M389" s="295" cm="1">
        <f t="array" ref="M389">IF(AND(K389=MAX(K$10:K389), L389=MIN(IF(K$10:K389=K389, L$10:L389))), 1, 0)</f>
        <v>0</v>
      </c>
      <c r="N389" s="295">
        <f>IF(AND(Scenario[[#This Row],[Total Coverage]]&gt;=70%,Scenario[[#This Row],[Frontier]]=1),1,0)</f>
        <v>0</v>
      </c>
    </row>
    <row r="390" spans="1:14" x14ac:dyDescent="0.25">
      <c r="A390">
        <v>317</v>
      </c>
      <c r="B390">
        <v>0.5</v>
      </c>
      <c r="C390">
        <v>0.5</v>
      </c>
      <c r="D390">
        <v>0.5</v>
      </c>
      <c r="E390">
        <v>0.5</v>
      </c>
      <c r="F390">
        <v>0.25</v>
      </c>
      <c r="G390">
        <v>0.75</v>
      </c>
      <c r="H390">
        <v>0.75</v>
      </c>
      <c r="I390">
        <v>0.25</v>
      </c>
      <c r="J390" s="272">
        <f>$C$3*($C$4*$E$4*B389*$B$7)*$G$4+$C$3*($C$4*$E$5*D390*$D$7)*$G$4+$C$3*($C$4*$E$4*C390*$C$7)*$G$5+$C$3*($C$4*$E$5*E390*$E$7)*$G$5+$C$3*($C$5*$E$4*F390*$F$7)*$H$4+$C$3*($C$5*$E$5*H390*$H$7)*$H$4+$C$3*($C$5*$E$5*I390*$I$7)*$H$5+$C$3*($C$5*$E$4*G390*$G$7)*$H$5</f>
        <v>5135210.2307062643</v>
      </c>
      <c r="K390" s="277">
        <f>ROUND(($C$4*$E$4*B390*$B$7+$C$4*$E$4*C390*$C$7+$C$4*$E$5*D390*$D$7+$C$4*$E$5*E390*$E$7+($C$5*$E$4*F390*$F$7+$C$5*$E$4*G390*$G$7+$C$5*$E$5*H390*$H$7+$C$5*$E$5*I390*$I$7)),2)</f>
        <v>0.63</v>
      </c>
      <c r="L390" s="276">
        <f>Scenario[[#This Row],[Total Cost]]/(Scenario[[#This Row],[Total Coverage]]*100)</f>
        <v>81511.273503274031</v>
      </c>
      <c r="M390" s="295" cm="1">
        <f t="array" ref="M390">IF(AND(K390=MAX(K$10:K390), L390=MIN(IF(K$10:K390=K390, L$10:L390))), 1, 0)</f>
        <v>0</v>
      </c>
      <c r="N390" s="295">
        <f>IF(AND(Scenario[[#This Row],[Total Coverage]]&gt;=70%,Scenario[[#This Row],[Frontier]]=1),1,0)</f>
        <v>0</v>
      </c>
    </row>
    <row r="391" spans="1:14" x14ac:dyDescent="0.25">
      <c r="A391">
        <v>239</v>
      </c>
      <c r="B391">
        <v>0.75</v>
      </c>
      <c r="C391">
        <v>0.25</v>
      </c>
      <c r="D391">
        <v>0</v>
      </c>
      <c r="E391">
        <v>1</v>
      </c>
      <c r="F391">
        <v>0.5</v>
      </c>
      <c r="G391">
        <v>0.5</v>
      </c>
      <c r="H391">
        <v>0.25</v>
      </c>
      <c r="I391">
        <v>0.75</v>
      </c>
      <c r="J391" s="272">
        <f>$C$3*($C$4*$E$4*B390*$B$7)*$G$4+$C$3*($C$4*$E$5*D391*$D$7)*$G$4+$C$3*($C$4*$E$4*C391*$C$7)*$G$5+$C$3*($C$4*$E$5*E391*$E$7)*$G$5+$C$3*($C$5*$E$4*F391*$F$7)*$H$4+$C$3*($C$5*$E$5*H391*$H$7)*$H$4+$C$3*($C$5*$E$5*I391*$I$7)*$H$5+$C$3*($C$5*$E$4*G391*$G$7)*$H$5</f>
        <v>4829588.0650850916</v>
      </c>
      <c r="K391" s="277">
        <f>ROUND(($C$4*$E$4*B391*$B$7+$C$4*$E$4*C391*$C$7+$C$4*$E$5*D391*$D$7+$C$4*$E$5*E391*$E$7+($C$5*$E$4*F391*$F$7+$C$5*$E$4*G391*$G$7+$C$5*$E$5*H391*$H$7+$C$5*$E$5*I391*$I$7)),2)</f>
        <v>0.63</v>
      </c>
      <c r="L391" s="276">
        <f>Scenario[[#This Row],[Total Cost]]/(Scenario[[#This Row],[Total Coverage]]*100)</f>
        <v>76660.128017223673</v>
      </c>
      <c r="M391" s="295" cm="1">
        <f t="array" ref="M391">IF(AND(K391=MAX(K$10:K391), L391=MIN(IF(K$10:K391=K391, L$10:L391))), 1, 0)</f>
        <v>0</v>
      </c>
      <c r="N391" s="295">
        <f>IF(AND(Scenario[[#This Row],[Total Coverage]]&gt;=70%,Scenario[[#This Row],[Frontier]]=1),1,0)</f>
        <v>0</v>
      </c>
    </row>
    <row r="392" spans="1:14" x14ac:dyDescent="0.25">
      <c r="A392">
        <v>168</v>
      </c>
      <c r="B392">
        <v>0.75</v>
      </c>
      <c r="C392">
        <v>0.25</v>
      </c>
      <c r="D392">
        <v>0.75</v>
      </c>
      <c r="E392">
        <v>0.25</v>
      </c>
      <c r="F392">
        <v>0.25</v>
      </c>
      <c r="G392">
        <v>0.75</v>
      </c>
      <c r="H392">
        <v>0.5</v>
      </c>
      <c r="I392">
        <v>0.5</v>
      </c>
      <c r="J392" s="272">
        <f>$C$3*($C$4*$E$4*B391*$B$7)*$G$4+$C$3*($C$4*$E$5*D392*$D$7)*$G$4+$C$3*($C$4*$E$4*C392*$C$7)*$G$5+$C$3*($C$4*$E$5*E392*$E$7)*$G$5+$C$3*($C$5*$E$4*F392*$F$7)*$H$4+$C$3*($C$5*$E$5*H392*$H$7)*$H$4+$C$3*($C$5*$E$5*I392*$I$7)*$H$5+$C$3*($C$5*$E$4*G392*$G$7)*$H$5</f>
        <v>4837865.0873508602</v>
      </c>
      <c r="K392" s="277">
        <f>ROUND(($C$4*$E$4*B392*$B$7+$C$4*$E$4*C392*$C$7+$C$4*$E$5*D392*$D$7+$C$4*$E$5*E392*$E$7+($C$5*$E$4*F392*$F$7+$C$5*$E$4*G392*$G$7+$C$5*$E$5*H392*$H$7+$C$5*$E$5*I392*$I$7)),2)</f>
        <v>0.63</v>
      </c>
      <c r="L392" s="276">
        <f>Scenario[[#This Row],[Total Cost]]/(Scenario[[#This Row],[Total Coverage]]*100)</f>
        <v>76791.509323029532</v>
      </c>
      <c r="M392" s="295" cm="1">
        <f t="array" ref="M392">IF(AND(K392=MAX(K$10:K392), L392=MIN(IF(K$10:K392=K392, L$10:L392))), 1, 0)</f>
        <v>0</v>
      </c>
      <c r="N392" s="295">
        <f>IF(AND(Scenario[[#This Row],[Total Coverage]]&gt;=70%,Scenario[[#This Row],[Frontier]]=1),1,0)</f>
        <v>0</v>
      </c>
    </row>
    <row r="393" spans="1:14" x14ac:dyDescent="0.25">
      <c r="A393">
        <v>171</v>
      </c>
      <c r="B393">
        <v>0.75</v>
      </c>
      <c r="C393">
        <v>0.25</v>
      </c>
      <c r="D393">
        <v>0.75</v>
      </c>
      <c r="E393">
        <v>0.25</v>
      </c>
      <c r="F393">
        <v>0</v>
      </c>
      <c r="G393">
        <v>1</v>
      </c>
      <c r="H393">
        <v>1</v>
      </c>
      <c r="I393">
        <v>0</v>
      </c>
      <c r="J393" s="272">
        <f>$C$3*($C$4*$E$4*B392*$B$7)*$G$4+$C$3*($C$4*$E$5*D393*$D$7)*$G$4+$C$3*($C$4*$E$4*C393*$C$7)*$G$5+$C$3*($C$4*$E$5*E393*$E$7)*$G$5+$C$3*($C$5*$E$4*F393*$F$7)*$H$4+$C$3*($C$5*$E$5*H393*$H$7)*$H$4+$C$3*($C$5*$E$5*I393*$I$7)*$H$5+$C$3*($C$5*$E$4*G393*$G$7)*$H$5</f>
        <v>4912608.5595559422</v>
      </c>
      <c r="K393" s="277">
        <f>ROUND(($C$4*$E$4*B393*$B$7+$C$4*$E$4*C393*$C$7+$C$4*$E$5*D393*$D$7+$C$4*$E$5*E393*$E$7+($C$5*$E$4*F393*$F$7+$C$5*$E$4*G393*$G$7+$C$5*$E$5*H393*$H$7+$C$5*$E$5*I393*$I$7)),2)</f>
        <v>0.63</v>
      </c>
      <c r="L393" s="276">
        <f>Scenario[[#This Row],[Total Cost]]/(Scenario[[#This Row],[Total Coverage]]*100)</f>
        <v>77977.913643745109</v>
      </c>
      <c r="M393" s="295" cm="1">
        <f t="array" ref="M393">IF(AND(K393=MAX(K$10:K393), L393=MIN(IF(K$10:K393=K393, L$10:L393))), 1, 0)</f>
        <v>0</v>
      </c>
      <c r="N393" s="295">
        <f>IF(AND(Scenario[[#This Row],[Total Coverage]]&gt;=70%,Scenario[[#This Row],[Frontier]]=1),1,0)</f>
        <v>0</v>
      </c>
    </row>
    <row r="394" spans="1:14" x14ac:dyDescent="0.25">
      <c r="A394">
        <v>265</v>
      </c>
      <c r="B394">
        <v>0.5</v>
      </c>
      <c r="C394">
        <v>0.5</v>
      </c>
      <c r="D394">
        <v>1</v>
      </c>
      <c r="E394">
        <v>0</v>
      </c>
      <c r="F394">
        <v>0.5</v>
      </c>
      <c r="G394">
        <v>0.5</v>
      </c>
      <c r="H394">
        <v>0</v>
      </c>
      <c r="I394">
        <v>1</v>
      </c>
      <c r="J394" s="272">
        <f>$C$3*($C$4*$E$4*B393*$B$7)*$G$4+$C$3*($C$4*$E$5*D394*$D$7)*$G$4+$C$3*($C$4*$E$4*C394*$C$7)*$G$5+$C$3*($C$4*$E$5*E394*$E$7)*$G$5+$C$3*($C$5*$E$4*F394*$F$7)*$H$4+$C$3*($C$5*$E$5*H394*$H$7)*$H$4+$C$3*($C$5*$E$5*I394*$I$7)*$H$5+$C$3*($C$5*$E$4*G394*$G$7)*$H$5</f>
        <v>5071866.9993545236</v>
      </c>
      <c r="K394" s="277">
        <f>ROUND(($C$4*$E$4*B394*$B$7+$C$4*$E$4*C394*$C$7+$C$4*$E$5*D394*$D$7+$C$4*$E$5*E394*$E$7+($C$5*$E$4*F394*$F$7+$C$5*$E$4*G394*$G$7+$C$5*$E$5*H394*$H$7+$C$5*$E$5*I394*$I$7)),2)</f>
        <v>0.63</v>
      </c>
      <c r="L394" s="276">
        <f>Scenario[[#This Row],[Total Cost]]/(Scenario[[#This Row],[Total Coverage]]*100)</f>
        <v>80505.825386579745</v>
      </c>
      <c r="M394" s="295" cm="1">
        <f t="array" ref="M394">IF(AND(K394=MAX(K$10:K394), L394=MIN(IF(K$10:K394=K394, L$10:L394))), 1, 0)</f>
        <v>0</v>
      </c>
      <c r="N394" s="295">
        <f>IF(AND(Scenario[[#This Row],[Total Coverage]]&gt;=70%,Scenario[[#This Row],[Frontier]]=1),1,0)</f>
        <v>0</v>
      </c>
    </row>
    <row r="395" spans="1:14" x14ac:dyDescent="0.25">
      <c r="A395">
        <v>485</v>
      </c>
      <c r="B395">
        <v>0.25</v>
      </c>
      <c r="C395">
        <v>0.75</v>
      </c>
      <c r="D395">
        <v>0</v>
      </c>
      <c r="E395">
        <v>1</v>
      </c>
      <c r="F395">
        <v>0.75</v>
      </c>
      <c r="G395">
        <v>0.25</v>
      </c>
      <c r="H395">
        <v>0</v>
      </c>
      <c r="I395">
        <v>1</v>
      </c>
      <c r="J395" s="272">
        <f>$C$3*($C$4*$E$4*B394*$B$7)*$G$4+$C$3*($C$4*$E$5*D395*$D$7)*$G$4+$C$3*($C$4*$E$4*C395*$C$7)*$G$5+$C$3*($C$4*$E$5*E395*$E$7)*$G$5+$C$3*($C$5*$E$4*F395*$F$7)*$H$4+$C$3*($C$5*$E$5*H395*$H$7)*$H$4+$C$3*($C$5*$E$5*I395*$I$7)*$H$5+$C$3*($C$5*$E$4*G395*$G$7)*$H$5</f>
        <v>5360935.1204441618</v>
      </c>
      <c r="K395" s="277">
        <f>ROUND(($C$4*$E$4*B395*$B$7+$C$4*$E$4*C395*$C$7+$C$4*$E$5*D395*$D$7+$C$4*$E$5*E395*$E$7+($C$5*$E$4*F395*$F$7+$C$5*$E$4*G395*$G$7+$C$5*$E$5*H395*$H$7+$C$5*$E$5*I395*$I$7)),2)</f>
        <v>0.63</v>
      </c>
      <c r="L395" s="276">
        <f>Scenario[[#This Row],[Total Cost]]/(Scenario[[#This Row],[Total Coverage]]*100)</f>
        <v>85094.208261018444</v>
      </c>
      <c r="M395" s="295" cm="1">
        <f t="array" ref="M395">IF(AND(K395=MAX(K$10:K395), L395=MIN(IF(K$10:K395=K395, L$10:L395))), 1, 0)</f>
        <v>0</v>
      </c>
      <c r="N395" s="295">
        <f>IF(AND(Scenario[[#This Row],[Total Coverage]]&gt;=70%,Scenario[[#This Row],[Frontier]]=1),1,0)</f>
        <v>0</v>
      </c>
    </row>
    <row r="396" spans="1:14" x14ac:dyDescent="0.25">
      <c r="A396">
        <v>414</v>
      </c>
      <c r="B396">
        <v>0.25</v>
      </c>
      <c r="C396">
        <v>0.75</v>
      </c>
      <c r="D396">
        <v>0.75</v>
      </c>
      <c r="E396">
        <v>0.25</v>
      </c>
      <c r="F396">
        <v>0.5</v>
      </c>
      <c r="G396">
        <v>0.5</v>
      </c>
      <c r="H396">
        <v>0.25</v>
      </c>
      <c r="I396">
        <v>0.75</v>
      </c>
      <c r="J396" s="272">
        <f>$C$3*($C$4*$E$4*B395*$B$7)*$G$4+$C$3*($C$4*$E$5*D396*$D$7)*$G$4+$C$3*($C$4*$E$4*C396*$C$7)*$G$5+$C$3*($C$4*$E$5*E396*$E$7)*$G$5+$C$3*($C$5*$E$4*F396*$F$7)*$H$4+$C$3*($C$5*$E$5*H396*$H$7)*$H$4+$C$3*($C$5*$E$5*I396*$I$7)*$H$5+$C$3*($C$5*$E$4*G396*$G$7)*$H$5</f>
        <v>5156392.8849134296</v>
      </c>
      <c r="K396" s="277">
        <f>ROUND(($C$4*$E$4*B396*$B$7+$C$4*$E$4*C396*$C$7+$C$4*$E$5*D396*$D$7+$C$4*$E$5*E396*$E$7+($C$5*$E$4*F396*$F$7+$C$5*$E$4*G396*$G$7+$C$5*$E$5*H396*$H$7+$C$5*$E$5*I396*$I$7)),2)</f>
        <v>0.63</v>
      </c>
      <c r="L396" s="276">
        <f>Scenario[[#This Row],[Total Cost]]/(Scenario[[#This Row],[Total Coverage]]*100)</f>
        <v>81847.506109736976</v>
      </c>
      <c r="M396" s="295" cm="1">
        <f t="array" ref="M396">IF(AND(K396=MAX(K$10:K396), L396=MIN(IF(K$10:K396=K396, L$10:L396))), 1, 0)</f>
        <v>0</v>
      </c>
      <c r="N396" s="295">
        <f>IF(AND(Scenario[[#This Row],[Total Coverage]]&gt;=70%,Scenario[[#This Row],[Frontier]]=1),1,0)</f>
        <v>0</v>
      </c>
    </row>
    <row r="397" spans="1:14" x14ac:dyDescent="0.25">
      <c r="A397">
        <v>560</v>
      </c>
      <c r="B397">
        <v>0</v>
      </c>
      <c r="C397">
        <v>1</v>
      </c>
      <c r="D397">
        <v>0.5</v>
      </c>
      <c r="E397">
        <v>0.5</v>
      </c>
      <c r="F397">
        <v>0.75</v>
      </c>
      <c r="G397">
        <v>0.25</v>
      </c>
      <c r="H397">
        <v>0</v>
      </c>
      <c r="I397">
        <v>1</v>
      </c>
      <c r="J397" s="272">
        <f>$C$3*($C$4*$E$4*B396*$B$7)*$G$4+$C$3*($C$4*$E$5*D397*$D$7)*$G$4+$C$3*($C$4*$E$4*C397*$C$7)*$G$5+$C$3*($C$4*$E$5*E397*$E$7)*$G$5+$C$3*($C$5*$E$4*F397*$F$7)*$H$4+$C$3*($C$5*$E$5*H397*$H$7)*$H$4+$C$3*($C$5*$E$5*I397*$I$7)*$H$5+$C$3*($C$5*$E$4*G397*$G$7)*$H$5</f>
        <v>5378994.5560637517</v>
      </c>
      <c r="K397" s="277">
        <f>ROUND(($C$4*$E$4*B397*$B$7+$C$4*$E$4*C397*$C$7+$C$4*$E$5*D397*$D$7+$C$4*$E$5*E397*$E$7+($C$5*$E$4*F397*$F$7+$C$5*$E$4*G397*$G$7+$C$5*$E$5*H397*$H$7+$C$5*$E$5*I397*$I$7)),2)</f>
        <v>0.63</v>
      </c>
      <c r="L397" s="276">
        <f>Scenario[[#This Row],[Total Cost]]/(Scenario[[#This Row],[Total Coverage]]*100)</f>
        <v>85380.865969265898</v>
      </c>
      <c r="M397" s="295" cm="1">
        <f t="array" ref="M397">IF(AND(K397=MAX(K$10:K397), L397=MIN(IF(K$10:K397=K397, L$10:L397))), 1, 0)</f>
        <v>0</v>
      </c>
      <c r="N397" s="295">
        <f>IF(AND(Scenario[[#This Row],[Total Coverage]]&gt;=70%,Scenario[[#This Row],[Frontier]]=1),1,0)</f>
        <v>0</v>
      </c>
    </row>
    <row r="398" spans="1:14" x14ac:dyDescent="0.25">
      <c r="A398">
        <v>466</v>
      </c>
      <c r="B398">
        <v>0.25</v>
      </c>
      <c r="C398">
        <v>0.75</v>
      </c>
      <c r="D398">
        <v>0.25</v>
      </c>
      <c r="E398">
        <v>0.75</v>
      </c>
      <c r="F398">
        <v>0.25</v>
      </c>
      <c r="G398">
        <v>0.75</v>
      </c>
      <c r="H398">
        <v>1</v>
      </c>
      <c r="I398">
        <v>0</v>
      </c>
      <c r="J398" s="272">
        <f>$C$3*($C$4*$E$4*B397*$B$7)*$G$4+$C$3*($C$4*$E$5*D398*$D$7)*$G$4+$C$3*($C$4*$E$4*C398*$C$7)*$G$5+$C$3*($C$4*$E$5*E398*$E$7)*$G$5+$C$3*($C$5*$E$4*F398*$F$7)*$H$4+$C$3*($C$5*$E$5*H398*$H$7)*$H$4+$C$3*($C$5*$E$5*I398*$I$7)*$H$5+$C$3*($C$5*$E$4*G398*$G$7)*$H$5</f>
        <v>5113326.4873669203</v>
      </c>
      <c r="K398" s="277">
        <f>ROUND(($C$4*$E$4*B398*$B$7+$C$4*$E$4*C398*$C$7+$C$4*$E$5*D398*$D$7+$C$4*$E$5*E398*$E$7+($C$5*$E$4*F398*$F$7+$C$5*$E$4*G398*$G$7+$C$5*$E$5*H398*$H$7+$C$5*$E$5*I398*$I$7)),2)</f>
        <v>0.63</v>
      </c>
      <c r="L398" s="276">
        <f>Scenario[[#This Row],[Total Cost]]/(Scenario[[#This Row],[Total Coverage]]*100)</f>
        <v>81163.912497887621</v>
      </c>
      <c r="M398" s="295" cm="1">
        <f t="array" ref="M398">IF(AND(K398=MAX(K$10:K398), L398=MIN(IF(K$10:K398=K398, L$10:L398))), 1, 0)</f>
        <v>0</v>
      </c>
      <c r="N398" s="295">
        <f>IF(AND(Scenario[[#This Row],[Total Coverage]]&gt;=70%,Scenario[[#This Row],[Frontier]]=1),1,0)</f>
        <v>0</v>
      </c>
    </row>
    <row r="399" spans="1:14" x14ac:dyDescent="0.25">
      <c r="A399">
        <v>563</v>
      </c>
      <c r="B399">
        <v>0</v>
      </c>
      <c r="C399">
        <v>1</v>
      </c>
      <c r="D399">
        <v>0.5</v>
      </c>
      <c r="E399">
        <v>0.5</v>
      </c>
      <c r="F399">
        <v>0.5</v>
      </c>
      <c r="G399">
        <v>0.5</v>
      </c>
      <c r="H399">
        <v>0.5</v>
      </c>
      <c r="I399">
        <v>0.5</v>
      </c>
      <c r="J399" s="272">
        <f>$C$3*($C$4*$E$4*B398*$B$7)*$G$4+$C$3*($C$4*$E$5*D399*$D$7)*$G$4+$C$3*($C$4*$E$4*C399*$C$7)*$G$5+$C$3*($C$4*$E$5*E399*$E$7)*$G$5+$C$3*($C$5*$E$4*F399*$F$7)*$H$4+$C$3*($C$5*$E$5*H399*$H$7)*$H$4+$C$3*($C$5*$E$5*I399*$I$7)*$H$5+$C$3*($C$5*$E$4*G399*$G$7)*$H$5</f>
        <v>5453738.0282688346</v>
      </c>
      <c r="K399" s="277">
        <f>ROUND(($C$4*$E$4*B399*$B$7+$C$4*$E$4*C399*$C$7+$C$4*$E$5*D399*$D$7+$C$4*$E$5*E399*$E$7+($C$5*$E$4*F399*$F$7+$C$5*$E$4*G399*$G$7+$C$5*$E$5*H399*$H$7+$C$5*$E$5*I399*$I$7)),2)</f>
        <v>0.63</v>
      </c>
      <c r="L399" s="276">
        <f>Scenario[[#This Row],[Total Cost]]/(Scenario[[#This Row],[Total Coverage]]*100)</f>
        <v>86567.270289981505</v>
      </c>
      <c r="M399" s="295" cm="1">
        <f t="array" ref="M399">IF(AND(K399=MAX(K$10:K399), L399=MIN(IF(K$10:K399=K399, L$10:L399))), 1, 0)</f>
        <v>0</v>
      </c>
      <c r="N399" s="295">
        <f>IF(AND(Scenario[[#This Row],[Total Coverage]]&gt;=70%,Scenario[[#This Row],[Frontier]]=1),1,0)</f>
        <v>0</v>
      </c>
    </row>
    <row r="400" spans="1:14" x14ac:dyDescent="0.25">
      <c r="A400">
        <v>96</v>
      </c>
      <c r="B400">
        <v>1</v>
      </c>
      <c r="C400">
        <v>0</v>
      </c>
      <c r="D400">
        <v>0.25</v>
      </c>
      <c r="E400">
        <v>0.75</v>
      </c>
      <c r="F400">
        <v>0</v>
      </c>
      <c r="G400">
        <v>1</v>
      </c>
      <c r="H400">
        <v>1</v>
      </c>
      <c r="I400">
        <v>0</v>
      </c>
      <c r="J400" s="272">
        <f>$C$3*($C$4*$E$4*B399*$B$7)*$G$4+$C$3*($C$4*$E$5*D400*$D$7)*$G$4+$C$3*($C$4*$E$4*C400*$C$7)*$G$5+$C$3*($C$4*$E$5*E400*$E$7)*$G$5+$C$3*($C$5*$E$4*F400*$F$7)*$H$4+$C$3*($C$5*$E$5*H400*$H$7)*$H$4+$C$3*($C$5*$E$5*I400*$I$7)*$H$5+$C$3*($C$5*$E$4*G400*$G$7)*$H$5</f>
        <v>4468910.6083433535</v>
      </c>
      <c r="K400" s="277">
        <f>ROUND(($C$4*$E$4*B400*$B$7+$C$4*$E$4*C400*$C$7+$C$4*$E$5*D400*$D$7+$C$4*$E$5*E400*$E$7+($C$5*$E$4*F400*$F$7+$C$5*$E$4*G400*$G$7+$C$5*$E$5*H400*$H$7+$C$5*$E$5*I400*$I$7)),2)</f>
        <v>0.64</v>
      </c>
      <c r="L400" s="276">
        <f>Scenario[[#This Row],[Total Cost]]/(Scenario[[#This Row],[Total Coverage]]*100)</f>
        <v>69826.728255364898</v>
      </c>
      <c r="M400" s="295" cm="1">
        <f t="array" ref="M400">IF(AND(K400=MAX(K$10:K400), L400=MIN(IF(K$10:K400=K400, L$10:L400))), 1, 0)</f>
        <v>1</v>
      </c>
      <c r="N400" s="295">
        <f>IF(AND(Scenario[[#This Row],[Total Coverage]]&gt;=70%,Scenario[[#This Row],[Frontier]]=1),1,0)</f>
        <v>0</v>
      </c>
    </row>
    <row r="401" spans="1:14" x14ac:dyDescent="0.25">
      <c r="A401">
        <v>115</v>
      </c>
      <c r="B401">
        <v>1</v>
      </c>
      <c r="C401">
        <v>0</v>
      </c>
      <c r="D401">
        <v>0</v>
      </c>
      <c r="E401">
        <v>1</v>
      </c>
      <c r="F401">
        <v>0.5</v>
      </c>
      <c r="G401">
        <v>0.5</v>
      </c>
      <c r="H401">
        <v>0</v>
      </c>
      <c r="I401">
        <v>1</v>
      </c>
      <c r="J401" s="272">
        <f>$C$3*($C$4*$E$4*B400*$B$7)*$G$4+$C$3*($C$4*$E$5*D401*$D$7)*$G$4+$C$3*($C$4*$E$4*C401*$C$7)*$G$5+$C$3*($C$4*$E$5*E401*$E$7)*$G$5+$C$3*($C$5*$E$4*F401*$F$7)*$H$4+$C$3*($C$5*$E$5*H401*$H$7)*$H$4+$C$3*($C$5*$E$5*I401*$I$7)*$H$5+$C$3*($C$5*$E$4*G401*$G$7)*$H$5</f>
        <v>4929338.4992170949</v>
      </c>
      <c r="K401" s="277">
        <f>ROUND(($C$4*$E$4*B401*$B$7+$C$4*$E$4*C401*$C$7+$C$4*$E$5*D401*$D$7+$C$4*$E$5*E401*$E$7+($C$5*$E$4*F401*$F$7+$C$5*$E$4*G401*$G$7+$C$5*$E$5*H401*$H$7+$C$5*$E$5*I401*$I$7)),2)</f>
        <v>0.64</v>
      </c>
      <c r="L401" s="276">
        <f>Scenario[[#This Row],[Total Cost]]/(Scenario[[#This Row],[Total Coverage]]*100)</f>
        <v>77020.914050267107</v>
      </c>
      <c r="M401" s="295" cm="1">
        <f t="array" ref="M401">IF(AND(K401=MAX(K$10:K401), L401=MIN(IF(K$10:K401=K401, L$10:L401))), 1, 0)</f>
        <v>0</v>
      </c>
      <c r="N401" s="295">
        <f>IF(AND(Scenario[[#This Row],[Total Coverage]]&gt;=70%,Scenario[[#This Row],[Frontier]]=1),1,0)</f>
        <v>0</v>
      </c>
    </row>
    <row r="402" spans="1:14" x14ac:dyDescent="0.25">
      <c r="A402">
        <v>44</v>
      </c>
      <c r="B402">
        <v>1</v>
      </c>
      <c r="C402">
        <v>0</v>
      </c>
      <c r="D402">
        <v>0.75</v>
      </c>
      <c r="E402">
        <v>0.25</v>
      </c>
      <c r="F402">
        <v>0.25</v>
      </c>
      <c r="G402">
        <v>0.75</v>
      </c>
      <c r="H402">
        <v>0.25</v>
      </c>
      <c r="I402">
        <v>0.75</v>
      </c>
      <c r="J402" s="272">
        <f>$C$3*($C$4*$E$4*B401*$B$7)*$G$4+$C$3*($C$4*$E$5*D402*$D$7)*$G$4+$C$3*($C$4*$E$4*C402*$C$7)*$G$5+$C$3*($C$4*$E$5*E402*$E$7)*$G$5+$C$3*($C$5*$E$4*F402*$F$7)*$H$4+$C$3*($C$5*$E$5*H402*$H$7)*$H$4+$C$3*($C$5*$E$5*I402*$I$7)*$H$5+$C$3*($C$5*$E$4*G402*$G$7)*$H$5</f>
        <v>4831205.8925846126</v>
      </c>
      <c r="K402" s="277">
        <f>ROUND(($C$4*$E$4*B402*$B$7+$C$4*$E$4*C402*$C$7+$C$4*$E$5*D402*$D$7+$C$4*$E$5*E402*$E$7+($C$5*$E$4*F402*$F$7+$C$5*$E$4*G402*$G$7+$C$5*$E$5*H402*$H$7+$C$5*$E$5*I402*$I$7)),2)</f>
        <v>0.64</v>
      </c>
      <c r="L402" s="276">
        <f>Scenario[[#This Row],[Total Cost]]/(Scenario[[#This Row],[Total Coverage]]*100)</f>
        <v>75487.592071634572</v>
      </c>
      <c r="M402" s="295" cm="1">
        <f t="array" ref="M402">IF(AND(K402=MAX(K$10:K402), L402=MIN(IF(K$10:K402=K402, L$10:L402))), 1, 0)</f>
        <v>0</v>
      </c>
      <c r="N402" s="295">
        <f>IF(AND(Scenario[[#This Row],[Total Coverage]]&gt;=70%,Scenario[[#This Row],[Frontier]]=1),1,0)</f>
        <v>0</v>
      </c>
    </row>
    <row r="403" spans="1:14" x14ac:dyDescent="0.25">
      <c r="A403">
        <v>193</v>
      </c>
      <c r="B403">
        <v>0.75</v>
      </c>
      <c r="C403">
        <v>0.25</v>
      </c>
      <c r="D403">
        <v>0.5</v>
      </c>
      <c r="E403">
        <v>0.5</v>
      </c>
      <c r="F403">
        <v>0.25</v>
      </c>
      <c r="G403">
        <v>0.75</v>
      </c>
      <c r="H403">
        <v>0.5</v>
      </c>
      <c r="I403">
        <v>0.5</v>
      </c>
      <c r="J403" s="272">
        <f>$C$3*($C$4*$E$4*B402*$B$7)*$G$4+$C$3*($C$4*$E$5*D403*$D$7)*$G$4+$C$3*($C$4*$E$4*C403*$C$7)*$G$5+$C$3*($C$4*$E$5*E403*$E$7)*$G$5+$C$3*($C$5*$E$4*F403*$F$7)*$H$4+$C$3*($C$5*$E$5*H403*$H$7)*$H$4+$C$3*($C$5*$E$5*I403*$I$7)*$H$5+$C$3*($C$5*$E$4*G403*$G$7)*$H$5</f>
        <v>5128551.0359400176</v>
      </c>
      <c r="K403" s="277">
        <f>ROUND(($C$4*$E$4*B403*$B$7+$C$4*$E$4*C403*$C$7+$C$4*$E$5*D403*$D$7+$C$4*$E$5*E403*$E$7+($C$5*$E$4*F403*$F$7+$C$5*$E$4*G403*$G$7+$C$5*$E$5*H403*$H$7+$C$5*$E$5*I403*$I$7)),2)</f>
        <v>0.64</v>
      </c>
      <c r="L403" s="276">
        <f>Scenario[[#This Row],[Total Cost]]/(Scenario[[#This Row],[Total Coverage]]*100)</f>
        <v>80133.609936562774</v>
      </c>
      <c r="M403" s="295" cm="1">
        <f t="array" ref="M403">IF(AND(K403=MAX(K$10:K403), L403=MIN(IF(K$10:K403=K403, L$10:L403))), 1, 0)</f>
        <v>0</v>
      </c>
      <c r="N403" s="295">
        <f>IF(AND(Scenario[[#This Row],[Total Coverage]]&gt;=70%,Scenario[[#This Row],[Frontier]]=1),1,0)</f>
        <v>0</v>
      </c>
    </row>
    <row r="404" spans="1:14" x14ac:dyDescent="0.25">
      <c r="A404">
        <v>342</v>
      </c>
      <c r="B404">
        <v>0.5</v>
      </c>
      <c r="C404">
        <v>0.5</v>
      </c>
      <c r="D404">
        <v>0.25</v>
      </c>
      <c r="E404">
        <v>0.75</v>
      </c>
      <c r="F404">
        <v>0.25</v>
      </c>
      <c r="G404">
        <v>0.75</v>
      </c>
      <c r="H404">
        <v>0.75</v>
      </c>
      <c r="I404">
        <v>0.25</v>
      </c>
      <c r="J404" s="272">
        <f>$C$3*($C$4*$E$4*B403*$B$7)*$G$4+$C$3*($C$4*$E$5*D404*$D$7)*$G$4+$C$3*($C$4*$E$4*C404*$C$7)*$G$5+$C$3*($C$4*$E$5*E404*$E$7)*$G$5+$C$3*($C$5*$E$4*F404*$F$7)*$H$4+$C$3*($C$5*$E$5*H404*$H$7)*$H$4+$C$3*($C$5*$E$5*I404*$I$7)*$H$5+$C$3*($C$5*$E$4*G404*$G$7)*$H$5</f>
        <v>5319486.5503971726</v>
      </c>
      <c r="K404" s="277">
        <f>ROUND(($C$4*$E$4*B404*$B$7+$C$4*$E$4*C404*$C$7+$C$4*$E$5*D404*$D$7+$C$4*$E$5*E404*$E$7+($C$5*$E$4*F404*$F$7+$C$5*$E$4*G404*$G$7+$C$5*$E$5*H404*$H$7+$C$5*$E$5*I404*$I$7)),2)</f>
        <v>0.64</v>
      </c>
      <c r="L404" s="276">
        <f>Scenario[[#This Row],[Total Cost]]/(Scenario[[#This Row],[Total Coverage]]*100)</f>
        <v>83116.977349955821</v>
      </c>
      <c r="M404" s="295" cm="1">
        <f t="array" ref="M404">IF(AND(K404=MAX(K$10:K404), L404=MIN(IF(K$10:K404=K404, L$10:L404))), 1, 0)</f>
        <v>0</v>
      </c>
      <c r="N404" s="295">
        <f>IF(AND(Scenario[[#This Row],[Total Coverage]]&gt;=70%,Scenario[[#This Row],[Frontier]]=1),1,0)</f>
        <v>0</v>
      </c>
    </row>
    <row r="405" spans="1:14" x14ac:dyDescent="0.25">
      <c r="A405">
        <v>339</v>
      </c>
      <c r="B405">
        <v>0.5</v>
      </c>
      <c r="C405">
        <v>0.5</v>
      </c>
      <c r="D405">
        <v>0.25</v>
      </c>
      <c r="E405">
        <v>0.75</v>
      </c>
      <c r="F405">
        <v>0.5</v>
      </c>
      <c r="G405">
        <v>0.5</v>
      </c>
      <c r="H405">
        <v>0.25</v>
      </c>
      <c r="I405">
        <v>0.75</v>
      </c>
      <c r="J405" s="272">
        <f>$C$3*($C$4*$E$4*B404*$B$7)*$G$4+$C$3*($C$4*$E$5*D405*$D$7)*$G$4+$C$3*($C$4*$E$4*C405*$C$7)*$G$5+$C$3*($C$4*$E$5*E405*$E$7)*$G$5+$C$3*($C$5*$E$4*F405*$F$7)*$H$4+$C$3*($C$5*$E$5*H405*$H$7)*$H$4+$C$3*($C$5*$E$5*I405*$I$7)*$H$5+$C$3*($C$5*$E$4*G405*$G$7)*$H$5</f>
        <v>5138333.4492938397</v>
      </c>
      <c r="K405" s="277">
        <f>ROUND(($C$4*$E$4*B405*$B$7+$C$4*$E$4*C405*$C$7+$C$4*$E$5*D405*$D$7+$C$4*$E$5*E405*$E$7+($C$5*$E$4*F405*$F$7+$C$5*$E$4*G405*$G$7+$C$5*$E$5*H405*$H$7+$C$5*$E$5*I405*$I$7)),2)</f>
        <v>0.64</v>
      </c>
      <c r="L405" s="276">
        <f>Scenario[[#This Row],[Total Cost]]/(Scenario[[#This Row],[Total Coverage]]*100)</f>
        <v>80286.460145216246</v>
      </c>
      <c r="M405" s="295" cm="1">
        <f t="array" ref="M405">IF(AND(K405=MAX(K$10:K405), L405=MIN(IF(K$10:K405=K405, L$10:L405))), 1, 0)</f>
        <v>0</v>
      </c>
      <c r="N405" s="295">
        <f>IF(AND(Scenario[[#This Row],[Total Coverage]]&gt;=70%,Scenario[[#This Row],[Frontier]]=1),1,0)</f>
        <v>0</v>
      </c>
    </row>
    <row r="406" spans="1:14" x14ac:dyDescent="0.25">
      <c r="A406">
        <v>268</v>
      </c>
      <c r="B406">
        <v>0.5</v>
      </c>
      <c r="C406">
        <v>0.5</v>
      </c>
      <c r="D406">
        <v>1</v>
      </c>
      <c r="E406">
        <v>0</v>
      </c>
      <c r="F406">
        <v>0.25</v>
      </c>
      <c r="G406">
        <v>0.75</v>
      </c>
      <c r="H406">
        <v>0.5</v>
      </c>
      <c r="I406">
        <v>0.5</v>
      </c>
      <c r="J406" s="272">
        <f>$C$3*($C$4*$E$4*B405*$B$7)*$G$4+$C$3*($C$4*$E$5*D406*$D$7)*$G$4+$C$3*($C$4*$E$4*C406*$C$7)*$G$5+$C$3*($C$4*$E$5*E406*$E$7)*$G$5+$C$3*($C$5*$E$4*F406*$F$7)*$H$4+$C$3*($C$5*$E$5*H406*$H$7)*$H$4+$C$3*($C$5*$E$5*I406*$I$7)*$H$5+$C$3*($C$5*$E$4*G406*$G$7)*$H$5</f>
        <v>5040200.8426613584</v>
      </c>
      <c r="K406" s="277">
        <f>ROUND(($C$4*$E$4*B406*$B$7+$C$4*$E$4*C406*$C$7+$C$4*$E$5*D406*$D$7+$C$4*$E$5*E406*$E$7+($C$5*$E$4*F406*$F$7+$C$5*$E$4*G406*$G$7+$C$5*$E$5*H406*$H$7+$C$5*$E$5*I406*$I$7)),2)</f>
        <v>0.64</v>
      </c>
      <c r="L406" s="276">
        <f>Scenario[[#This Row],[Total Cost]]/(Scenario[[#This Row],[Total Coverage]]*100)</f>
        <v>78753.138166583725</v>
      </c>
      <c r="M406" s="295" cm="1">
        <f t="array" ref="M406">IF(AND(K406=MAX(K$10:K406), L406=MIN(IF(K$10:K406=K406, L$10:L406))), 1, 0)</f>
        <v>0</v>
      </c>
      <c r="N406" s="295">
        <f>IF(AND(Scenario[[#This Row],[Total Coverage]]&gt;=70%,Scenario[[#This Row],[Frontier]]=1),1,0)</f>
        <v>0</v>
      </c>
    </row>
    <row r="407" spans="1:14" x14ac:dyDescent="0.25">
      <c r="A407">
        <v>190</v>
      </c>
      <c r="B407">
        <v>0.75</v>
      </c>
      <c r="C407">
        <v>0.25</v>
      </c>
      <c r="D407">
        <v>0.5</v>
      </c>
      <c r="E407">
        <v>0.5</v>
      </c>
      <c r="F407">
        <v>0.5</v>
      </c>
      <c r="G407">
        <v>0.5</v>
      </c>
      <c r="H407">
        <v>0</v>
      </c>
      <c r="I407">
        <v>1</v>
      </c>
      <c r="J407" s="272">
        <f>$C$3*($C$4*$E$4*B406*$B$7)*$G$4+$C$3*($C$4*$E$5*D407*$D$7)*$G$4+$C$3*($C$4*$E$4*C407*$C$7)*$G$5+$C$3*($C$4*$E$5*E407*$E$7)*$G$5+$C$3*($C$5*$E$4*F407*$F$7)*$H$4+$C$3*($C$5*$E$5*H407*$H$7)*$H$4+$C$3*($C$5*$E$5*I407*$I$7)*$H$5+$C$3*($C$5*$E$4*G407*$G$7)*$H$5</f>
        <v>4840988.3059384348</v>
      </c>
      <c r="K407" s="277">
        <f>ROUND(($C$4*$E$4*B407*$B$7+$C$4*$E$4*C407*$C$7+$C$4*$E$5*D407*$D$7+$C$4*$E$5*E407*$E$7+($C$5*$E$4*F407*$F$7+$C$5*$E$4*G407*$G$7+$C$5*$E$5*H407*$H$7+$C$5*$E$5*I407*$I$7)),2)</f>
        <v>0.64</v>
      </c>
      <c r="L407" s="276">
        <f>Scenario[[#This Row],[Total Cost]]/(Scenario[[#This Row],[Total Coverage]]*100)</f>
        <v>75640.442280288044</v>
      </c>
      <c r="M407" s="295" cm="1">
        <f t="array" ref="M407">IF(AND(K407=MAX(K$10:K407), L407=MIN(IF(K$10:K407=K407, L$10:L407))), 1, 0)</f>
        <v>0</v>
      </c>
      <c r="N407" s="295">
        <f>IF(AND(Scenario[[#This Row],[Total Coverage]]&gt;=70%,Scenario[[#This Row],[Frontier]]=1),1,0)</f>
        <v>0</v>
      </c>
    </row>
    <row r="408" spans="1:14" x14ac:dyDescent="0.25">
      <c r="A408">
        <v>271</v>
      </c>
      <c r="B408">
        <v>0.5</v>
      </c>
      <c r="C408">
        <v>0.5</v>
      </c>
      <c r="D408">
        <v>1</v>
      </c>
      <c r="E408">
        <v>0</v>
      </c>
      <c r="F408">
        <v>0</v>
      </c>
      <c r="G408">
        <v>1</v>
      </c>
      <c r="H408">
        <v>1</v>
      </c>
      <c r="I408">
        <v>0</v>
      </c>
      <c r="J408" s="272">
        <f>$C$3*($C$4*$E$4*B407*$B$7)*$G$4+$C$3*($C$4*$E$5*D408*$D$7)*$G$4+$C$3*($C$4*$E$4*C408*$C$7)*$G$5+$C$3*($C$4*$E$5*E408*$E$7)*$G$5+$C$3*($C$5*$E$4*F408*$F$7)*$H$4+$C$3*($C$5*$E$5*H408*$H$7)*$H$4+$C$3*($C$5*$E$5*I408*$I$7)*$H$5+$C$3*($C$5*$E$4*G408*$G$7)*$H$5</f>
        <v>5221353.9437646894</v>
      </c>
      <c r="K408" s="277">
        <f>ROUND(($C$4*$E$4*B408*$B$7+$C$4*$E$4*C408*$C$7+$C$4*$E$5*D408*$D$7+$C$4*$E$5*E408*$E$7+($C$5*$E$4*F408*$F$7+$C$5*$E$4*G408*$G$7+$C$5*$E$5*H408*$H$7+$C$5*$E$5*I408*$I$7)),2)</f>
        <v>0.64</v>
      </c>
      <c r="L408" s="276">
        <f>Scenario[[#This Row],[Total Cost]]/(Scenario[[#This Row],[Total Coverage]]*100)</f>
        <v>81583.655371323272</v>
      </c>
      <c r="M408" s="295" cm="1">
        <f t="array" ref="M408">IF(AND(K408=MAX(K$10:K408), L408=MIN(IF(K$10:K408=K408, L$10:L408))), 1, 0)</f>
        <v>0</v>
      </c>
      <c r="N408" s="295">
        <f>IF(AND(Scenario[[#This Row],[Total Coverage]]&gt;=70%,Scenario[[#This Row],[Frontier]]=1),1,0)</f>
        <v>0</v>
      </c>
    </row>
    <row r="409" spans="1:14" x14ac:dyDescent="0.25">
      <c r="A409">
        <v>488</v>
      </c>
      <c r="B409">
        <v>0.25</v>
      </c>
      <c r="C409">
        <v>0.75</v>
      </c>
      <c r="D409">
        <v>0</v>
      </c>
      <c r="E409">
        <v>1</v>
      </c>
      <c r="F409">
        <v>0.5</v>
      </c>
      <c r="G409">
        <v>0.5</v>
      </c>
      <c r="H409">
        <v>0.5</v>
      </c>
      <c r="I409">
        <v>0.5</v>
      </c>
      <c r="J409" s="272">
        <f>$C$3*($C$4*$E$4*B408*$B$7)*$G$4+$C$3*($C$4*$E$5*D409*$D$7)*$G$4+$C$3*($C$4*$E$4*C409*$C$7)*$G$5+$C$3*($C$4*$E$5*E409*$E$7)*$G$5+$C$3*($C$5*$E$4*F409*$F$7)*$H$4+$C$3*($C$5*$E$5*H409*$H$7)*$H$4+$C$3*($C$5*$E$5*I409*$I$7)*$H$5+$C$3*($C$5*$E$4*G409*$G$7)*$H$5</f>
        <v>5435678.5926492447</v>
      </c>
      <c r="K409" s="277">
        <f>ROUND(($C$4*$E$4*B409*$B$7+$C$4*$E$4*C409*$C$7+$C$4*$E$5*D409*$D$7+$C$4*$E$5*E409*$E$7+($C$5*$E$4*F409*$F$7+$C$5*$E$4*G409*$G$7+$C$5*$E$5*H409*$H$7+$C$5*$E$5*I409*$I$7)),2)</f>
        <v>0.64</v>
      </c>
      <c r="L409" s="276">
        <f>Scenario[[#This Row],[Total Cost]]/(Scenario[[#This Row],[Total Coverage]]*100)</f>
        <v>84932.478010144448</v>
      </c>
      <c r="M409" s="295" cm="1">
        <f t="array" ref="M409">IF(AND(K409=MAX(K$10:K409), L409=MIN(IF(K$10:K409=K409, L$10:L409))), 1, 0)</f>
        <v>0</v>
      </c>
      <c r="N409" s="295">
        <f>IF(AND(Scenario[[#This Row],[Total Coverage]]&gt;=70%,Scenario[[#This Row],[Frontier]]=1),1,0)</f>
        <v>0</v>
      </c>
    </row>
    <row r="410" spans="1:14" x14ac:dyDescent="0.25">
      <c r="A410">
        <v>417</v>
      </c>
      <c r="B410">
        <v>0.25</v>
      </c>
      <c r="C410">
        <v>0.75</v>
      </c>
      <c r="D410">
        <v>0.75</v>
      </c>
      <c r="E410">
        <v>0.25</v>
      </c>
      <c r="F410">
        <v>0.25</v>
      </c>
      <c r="G410">
        <v>0.75</v>
      </c>
      <c r="H410">
        <v>0.75</v>
      </c>
      <c r="I410">
        <v>0.25</v>
      </c>
      <c r="J410" s="272">
        <f>$C$3*($C$4*$E$4*B409*$B$7)*$G$4+$C$3*($C$4*$E$5*D410*$D$7)*$G$4+$C$3*($C$4*$E$4*C410*$C$7)*$G$5+$C$3*($C$4*$E$5*E410*$E$7)*$G$5+$C$3*($C$5*$E$4*F410*$F$7)*$H$4+$C$3*($C$5*$E$5*H410*$H$7)*$H$4+$C$3*($C$5*$E$5*I410*$I$7)*$H$5+$C$3*($C$5*$E$4*G410*$G$7)*$H$5</f>
        <v>5231136.3571185134</v>
      </c>
      <c r="K410" s="277">
        <f>ROUND(($C$4*$E$4*B410*$B$7+$C$4*$E$4*C410*$C$7+$C$4*$E$5*D410*$D$7+$C$4*$E$5*E410*$E$7+($C$5*$E$4*F410*$F$7+$C$5*$E$4*G410*$G$7+$C$5*$E$5*H410*$H$7+$C$5*$E$5*I410*$I$7)),2)</f>
        <v>0.64</v>
      </c>
      <c r="L410" s="276">
        <f>Scenario[[#This Row],[Total Cost]]/(Scenario[[#This Row],[Total Coverage]]*100)</f>
        <v>81736.505579976772</v>
      </c>
      <c r="M410" s="295" cm="1">
        <f t="array" ref="M410">IF(AND(K410=MAX(K$10:K410), L410=MIN(IF(K$10:K410=K410, L$10:L410))), 1, 0)</f>
        <v>0</v>
      </c>
      <c r="N410" s="295">
        <f>IF(AND(Scenario[[#This Row],[Total Coverage]]&gt;=70%,Scenario[[#This Row],[Frontier]]=1),1,0)</f>
        <v>0</v>
      </c>
    </row>
    <row r="411" spans="1:14" x14ac:dyDescent="0.25">
      <c r="A411">
        <v>514</v>
      </c>
      <c r="B411">
        <v>0</v>
      </c>
      <c r="C411">
        <v>1</v>
      </c>
      <c r="D411">
        <v>1</v>
      </c>
      <c r="E411">
        <v>0</v>
      </c>
      <c r="F411">
        <v>0.5</v>
      </c>
      <c r="G411">
        <v>0.5</v>
      </c>
      <c r="H411">
        <v>0.25</v>
      </c>
      <c r="I411">
        <v>0.75</v>
      </c>
      <c r="J411" s="272">
        <f>$C$3*($C$4*$E$4*B410*$B$7)*$G$4+$C$3*($C$4*$E$5*D411*$D$7)*$G$4+$C$3*($C$4*$E$4*C411*$C$7)*$G$5+$C$3*($C$4*$E$5*E411*$E$7)*$G$5+$C$3*($C$5*$E$4*F411*$F$7)*$H$4+$C$3*($C$5*$E$5*H411*$H$7)*$H$4+$C$3*($C$5*$E$5*I411*$I$7)*$H$5+$C$3*($C$5*$E$4*G411*$G$7)*$H$5</f>
        <v>5465138.2691221768</v>
      </c>
      <c r="K411" s="277">
        <f>ROUND(($C$4*$E$4*B411*$B$7+$C$4*$E$4*C411*$C$7+$C$4*$E$5*D411*$D$7+$C$4*$E$5*E411*$E$7+($C$5*$E$4*F411*$F$7+$C$5*$E$4*G411*$G$7+$C$5*$E$5*H411*$H$7+$C$5*$E$5*I411*$I$7)),2)</f>
        <v>0.64</v>
      </c>
      <c r="L411" s="276">
        <f>Scenario[[#This Row],[Total Cost]]/(Scenario[[#This Row],[Total Coverage]]*100)</f>
        <v>85392.785455034013</v>
      </c>
      <c r="M411" s="295" cm="1">
        <f t="array" ref="M411">IF(AND(K411=MAX(K$10:K411), L411=MIN(IF(K$10:K411=K411, L$10:L411))), 1, 0)</f>
        <v>0</v>
      </c>
      <c r="N411" s="295">
        <f>IF(AND(Scenario[[#This Row],[Total Coverage]]&gt;=70%,Scenario[[#This Row],[Frontier]]=1),1,0)</f>
        <v>0</v>
      </c>
    </row>
    <row r="412" spans="1:14" x14ac:dyDescent="0.25">
      <c r="A412">
        <v>585</v>
      </c>
      <c r="B412">
        <v>0</v>
      </c>
      <c r="C412">
        <v>1</v>
      </c>
      <c r="D412">
        <v>0.25</v>
      </c>
      <c r="E412">
        <v>0.75</v>
      </c>
      <c r="F412">
        <v>0.75</v>
      </c>
      <c r="G412">
        <v>0.25</v>
      </c>
      <c r="H412">
        <v>0</v>
      </c>
      <c r="I412">
        <v>1</v>
      </c>
      <c r="J412" s="272">
        <f>$C$3*($C$4*$E$4*B411*$B$7)*$G$4+$C$3*($C$4*$E$5*D412*$D$7)*$G$4+$C$3*($C$4*$E$4*C412*$C$7)*$G$5+$C$3*($C$4*$E$5*E412*$E$7)*$G$5+$C$3*($C$5*$E$4*F412*$F$7)*$H$4+$C$3*($C$5*$E$5*H412*$H$7)*$H$4+$C$3*($C$5*$E$5*I412*$I$7)*$H$5+$C$3*($C$5*$E$4*G412*$G$7)*$H$5</f>
        <v>5456861.246856411</v>
      </c>
      <c r="K412" s="277">
        <f>ROUND(($C$4*$E$4*B412*$B$7+$C$4*$E$4*C412*$C$7+$C$4*$E$5*D412*$D$7+$C$4*$E$5*E412*$E$7+($C$5*$E$4*F412*$F$7+$C$5*$E$4*G412*$G$7+$C$5*$E$5*H412*$H$7+$C$5*$E$5*I412*$I$7)),2)</f>
        <v>0.64</v>
      </c>
      <c r="L412" s="276">
        <f>Scenario[[#This Row],[Total Cost]]/(Scenario[[#This Row],[Total Coverage]]*100)</f>
        <v>85263.456982131422</v>
      </c>
      <c r="M412" s="295" cm="1">
        <f t="array" ref="M412">IF(AND(K412=MAX(K$10:K412), L412=MIN(IF(K$10:K412=K412, L$10:L412))), 1, 0)</f>
        <v>0</v>
      </c>
      <c r="N412" s="295">
        <f>IF(AND(Scenario[[#This Row],[Total Coverage]]&gt;=70%,Scenario[[#This Row],[Frontier]]=1),1,0)</f>
        <v>0</v>
      </c>
    </row>
    <row r="413" spans="1:14" x14ac:dyDescent="0.25">
      <c r="A413">
        <v>491</v>
      </c>
      <c r="B413">
        <v>0.25</v>
      </c>
      <c r="C413">
        <v>0.75</v>
      </c>
      <c r="D413">
        <v>0</v>
      </c>
      <c r="E413">
        <v>1</v>
      </c>
      <c r="F413">
        <v>0.25</v>
      </c>
      <c r="G413">
        <v>0.75</v>
      </c>
      <c r="H413">
        <v>1</v>
      </c>
      <c r="I413">
        <v>0</v>
      </c>
      <c r="J413" s="272">
        <f>$C$3*($C$4*$E$4*B412*$B$7)*$G$4+$C$3*($C$4*$E$5*D413*$D$7)*$G$4+$C$3*($C$4*$E$4*C413*$C$7)*$G$5+$C$3*($C$4*$E$5*E413*$E$7)*$G$5+$C$3*($C$5*$E$4*F413*$F$7)*$H$4+$C$3*($C$5*$E$5*H413*$H$7)*$H$4+$C$3*($C$5*$E$5*I413*$I$7)*$H$5+$C$3*($C$5*$E$4*G413*$G$7)*$H$5</f>
        <v>5297602.8070578296</v>
      </c>
      <c r="K413" s="277">
        <f>ROUND(($C$4*$E$4*B413*$B$7+$C$4*$E$4*C413*$C$7+$C$4*$E$5*D413*$D$7+$C$4*$E$5*E413*$E$7+($C$5*$E$4*F413*$F$7+$C$5*$E$4*G413*$G$7+$C$5*$E$5*H413*$H$7+$C$5*$E$5*I413*$I$7)),2)</f>
        <v>0.64</v>
      </c>
      <c r="L413" s="276">
        <f>Scenario[[#This Row],[Total Cost]]/(Scenario[[#This Row],[Total Coverage]]*100)</f>
        <v>82775.043860278587</v>
      </c>
      <c r="M413" s="295" cm="1">
        <f t="array" ref="M413">IF(AND(K413=MAX(K$10:K413), L413=MIN(IF(K$10:K413=K413, L$10:L413))), 1, 0)</f>
        <v>0</v>
      </c>
      <c r="N413" s="295">
        <f>IF(AND(Scenario[[#This Row],[Total Coverage]]&gt;=70%,Scenario[[#This Row],[Frontier]]=1),1,0)</f>
        <v>0</v>
      </c>
    </row>
    <row r="414" spans="1:14" x14ac:dyDescent="0.25">
      <c r="A414">
        <v>566</v>
      </c>
      <c r="B414">
        <v>0</v>
      </c>
      <c r="C414">
        <v>1</v>
      </c>
      <c r="D414">
        <v>0.5</v>
      </c>
      <c r="E414">
        <v>0.5</v>
      </c>
      <c r="F414">
        <v>0.25</v>
      </c>
      <c r="G414">
        <v>0.75</v>
      </c>
      <c r="H414">
        <v>1</v>
      </c>
      <c r="I414">
        <v>0</v>
      </c>
      <c r="J414" s="272">
        <f>$C$3*($C$4*$E$4*B413*$B$7)*$G$4+$C$3*($C$4*$E$5*D414*$D$7)*$G$4+$C$3*($C$4*$E$4*C414*$C$7)*$G$5+$C$3*($C$4*$E$5*E414*$E$7)*$G$5+$C$3*($C$5*$E$4*F414*$F$7)*$H$4+$C$3*($C$5*$E$5*H414*$H$7)*$H$4+$C$3*($C$5*$E$5*I414*$I$7)*$H$5+$C$3*($C$5*$E$4*G414*$G$7)*$H$5</f>
        <v>5528481.5004739184</v>
      </c>
      <c r="K414" s="277">
        <f>ROUND(($C$4*$E$4*B414*$B$7+$C$4*$E$4*C414*$C$7+$C$4*$E$5*D414*$D$7+$C$4*$E$5*E414*$E$7+($C$5*$E$4*F414*$F$7+$C$5*$E$4*G414*$G$7+$C$5*$E$5*H414*$H$7+$C$5*$E$5*I414*$I$7)),2)</f>
        <v>0.64</v>
      </c>
      <c r="L414" s="276">
        <f>Scenario[[#This Row],[Total Cost]]/(Scenario[[#This Row],[Total Coverage]]*100)</f>
        <v>86382.523444904975</v>
      </c>
      <c r="M414" s="295" cm="1">
        <f t="array" ref="M414">IF(AND(K414=MAX(K$10:K414), L414=MIN(IF(K$10:K414=K414, L$10:L414))), 1, 0)</f>
        <v>0</v>
      </c>
      <c r="N414" s="295">
        <f>IF(AND(Scenario[[#This Row],[Total Coverage]]&gt;=70%,Scenario[[#This Row],[Frontier]]=1),1,0)</f>
        <v>0</v>
      </c>
    </row>
    <row r="415" spans="1:14" x14ac:dyDescent="0.25">
      <c r="A415">
        <v>118</v>
      </c>
      <c r="B415">
        <v>1</v>
      </c>
      <c r="C415">
        <v>0</v>
      </c>
      <c r="D415">
        <v>0</v>
      </c>
      <c r="E415">
        <v>1</v>
      </c>
      <c r="F415">
        <v>0.25</v>
      </c>
      <c r="G415">
        <v>0.75</v>
      </c>
      <c r="H415">
        <v>0.5</v>
      </c>
      <c r="I415">
        <v>0.5</v>
      </c>
      <c r="J415" s="272">
        <f>$C$3*($C$4*$E$4*B414*$B$7)*$G$4+$C$3*($C$4*$E$5*D415*$D$7)*$G$4+$C$3*($C$4*$E$4*C415*$C$7)*$G$5+$C$3*($C$4*$E$5*E415*$E$7)*$G$5+$C$3*($C$5*$E$4*F415*$F$7)*$H$4+$C$3*($C$5*$E$5*H415*$H$7)*$H$4+$C$3*($C$5*$E$5*I415*$I$7)*$H$5+$C$3*($C$5*$E$4*G415*$G$7)*$H$5</f>
        <v>4578443.4558291808</v>
      </c>
      <c r="K415" s="277">
        <f>ROUND(($C$4*$E$4*B415*$B$7+$C$4*$E$4*C415*$C$7+$C$4*$E$5*D415*$D$7+$C$4*$E$5*E415*$E$7+($C$5*$E$4*F415*$F$7+$C$5*$E$4*G415*$G$7+$C$5*$E$5*H415*$H$7+$C$5*$E$5*I415*$I$7)),2)</f>
        <v>0.65</v>
      </c>
      <c r="L415" s="276">
        <f>Scenario[[#This Row],[Total Cost]]/(Scenario[[#This Row],[Total Coverage]]*100)</f>
        <v>70437.591628141236</v>
      </c>
      <c r="M415" s="295" cm="1">
        <f t="array" ref="M415">IF(AND(K415=MAX(K$10:K415), L415=MIN(IF(K$10:K415=K415, L$10:L415))), 1, 0)</f>
        <v>1</v>
      </c>
      <c r="N415" s="295">
        <f>IF(AND(Scenario[[#This Row],[Total Coverage]]&gt;=70%,Scenario[[#This Row],[Frontier]]=1),1,0)</f>
        <v>0</v>
      </c>
    </row>
    <row r="416" spans="1:14" x14ac:dyDescent="0.25">
      <c r="A416">
        <v>121</v>
      </c>
      <c r="B416">
        <v>1</v>
      </c>
      <c r="C416">
        <v>0</v>
      </c>
      <c r="D416">
        <v>0</v>
      </c>
      <c r="E416">
        <v>1</v>
      </c>
      <c r="F416">
        <v>0</v>
      </c>
      <c r="G416">
        <v>1</v>
      </c>
      <c r="H416">
        <v>1</v>
      </c>
      <c r="I416">
        <v>0</v>
      </c>
      <c r="J416" s="272">
        <f>$C$3*($C$4*$E$4*B415*$B$7)*$G$4+$C$3*($C$4*$E$5*D416*$D$7)*$G$4+$C$3*($C$4*$E$4*C416*$C$7)*$G$5+$C$3*($C$4*$E$5*E416*$E$7)*$G$5+$C$3*($C$5*$E$4*F416*$F$7)*$H$4+$C$3*($C$5*$E$5*H416*$H$7)*$H$4+$C$3*($C$5*$E$5*I416*$I$7)*$H$5+$C$3*($C$5*$E$4*G416*$G$7)*$H$5</f>
        <v>5078825.4436272597</v>
      </c>
      <c r="K416" s="277">
        <f>ROUND(($C$4*$E$4*B416*$B$7+$C$4*$E$4*C416*$C$7+$C$4*$E$5*D416*$D$7+$C$4*$E$5*E416*$E$7+($C$5*$E$4*F416*$F$7+$C$5*$E$4*G416*$G$7+$C$5*$E$5*H416*$H$7+$C$5*$E$5*I416*$I$7)),2)</f>
        <v>0.65</v>
      </c>
      <c r="L416" s="276">
        <f>Scenario[[#This Row],[Total Cost]]/(Scenario[[#This Row],[Total Coverage]]*100)</f>
        <v>78135.776055803988</v>
      </c>
      <c r="M416" s="295" cm="1">
        <f t="array" ref="M416">IF(AND(K416=MAX(K$10:K416), L416=MIN(IF(K$10:K416=K416, L$10:L416))), 1, 0)</f>
        <v>0</v>
      </c>
      <c r="N416" s="295">
        <f>IF(AND(Scenario[[#This Row],[Total Coverage]]&gt;=70%,Scenario[[#This Row],[Frontier]]=1),1,0)</f>
        <v>0</v>
      </c>
    </row>
    <row r="417" spans="1:14" x14ac:dyDescent="0.25">
      <c r="A417">
        <v>196</v>
      </c>
      <c r="B417">
        <v>0.75</v>
      </c>
      <c r="C417">
        <v>0.25</v>
      </c>
      <c r="D417">
        <v>0.5</v>
      </c>
      <c r="E417">
        <v>0.5</v>
      </c>
      <c r="F417">
        <v>0</v>
      </c>
      <c r="G417">
        <v>1</v>
      </c>
      <c r="H417">
        <v>1</v>
      </c>
      <c r="I417">
        <v>0</v>
      </c>
      <c r="J417" s="272">
        <f>$C$3*($C$4*$E$4*B416*$B$7)*$G$4+$C$3*($C$4*$E$5*D417*$D$7)*$G$4+$C$3*($C$4*$E$4*C417*$C$7)*$G$5+$C$3*($C$4*$E$5*E417*$E$7)*$G$5+$C$3*($C$5*$E$4*F417*$F$7)*$H$4+$C$3*($C$5*$E$5*H417*$H$7)*$H$4+$C$3*($C$5*$E$5*I417*$I$7)*$H$5+$C$3*($C$5*$E$4*G417*$G$7)*$H$5</f>
        <v>5203294.5081450995</v>
      </c>
      <c r="K417" s="277">
        <f>ROUND(($C$4*$E$4*B417*$B$7+$C$4*$E$4*C417*$C$7+$C$4*$E$5*D417*$D$7+$C$4*$E$5*E417*$E$7+($C$5*$E$4*F417*$F$7+$C$5*$E$4*G417*$G$7+$C$5*$E$5*H417*$H$7+$C$5*$E$5*I417*$I$7)),2)</f>
        <v>0.65</v>
      </c>
      <c r="L417" s="276">
        <f>Scenario[[#This Row],[Total Cost]]/(Scenario[[#This Row],[Total Coverage]]*100)</f>
        <v>80050.684740693832</v>
      </c>
      <c r="M417" s="295" cm="1">
        <f t="array" ref="M417">IF(AND(K417=MAX(K$10:K417), L417=MIN(IF(K$10:K417=K417, L$10:L417))), 1, 0)</f>
        <v>0</v>
      </c>
      <c r="N417" s="295">
        <f>IF(AND(Scenario[[#This Row],[Total Coverage]]&gt;=70%,Scenario[[#This Row],[Frontier]]=1),1,0)</f>
        <v>0</v>
      </c>
    </row>
    <row r="418" spans="1:14" x14ac:dyDescent="0.25">
      <c r="A418">
        <v>47</v>
      </c>
      <c r="B418">
        <v>1</v>
      </c>
      <c r="C418">
        <v>0</v>
      </c>
      <c r="D418">
        <v>0.75</v>
      </c>
      <c r="E418">
        <v>0.25</v>
      </c>
      <c r="F418">
        <v>0</v>
      </c>
      <c r="G418">
        <v>1</v>
      </c>
      <c r="H418">
        <v>0.75</v>
      </c>
      <c r="I418">
        <v>0.25</v>
      </c>
      <c r="J418" s="272">
        <f>$C$3*($C$4*$E$4*B417*$B$7)*$G$4+$C$3*($C$4*$E$5*D418*$D$7)*$G$4+$C$3*($C$4*$E$4*C418*$C$7)*$G$5+$C$3*($C$4*$E$5*E418*$E$7)*$G$5+$C$3*($C$5*$E$4*F418*$F$7)*$H$4+$C$3*($C$5*$E$5*H418*$H$7)*$H$4+$C$3*($C$5*$E$5*I418*$I$7)*$H$5+$C$3*($C$5*$E$4*G418*$G$7)*$H$5</f>
        <v>4799539.7358914455</v>
      </c>
      <c r="K418" s="277">
        <f>ROUND(($C$4*$E$4*B418*$B$7+$C$4*$E$4*C418*$C$7+$C$4*$E$5*D418*$D$7+$C$4*$E$5*E418*$E$7+($C$5*$E$4*F418*$F$7+$C$5*$E$4*G418*$G$7+$C$5*$E$5*H418*$H$7+$C$5*$E$5*I418*$I$7)),2)</f>
        <v>0.65</v>
      </c>
      <c r="L418" s="276">
        <f>Scenario[[#This Row],[Total Cost]]/(Scenario[[#This Row],[Total Coverage]]*100)</f>
        <v>73839.072859868393</v>
      </c>
      <c r="M418" s="295" cm="1">
        <f t="array" ref="M418">IF(AND(K418=MAX(K$10:K418), L418=MIN(IF(K$10:K418=K418, L$10:L418))), 1, 0)</f>
        <v>0</v>
      </c>
      <c r="N418" s="295">
        <f>IF(AND(Scenario[[#This Row],[Total Coverage]]&gt;=70%,Scenario[[#This Row],[Frontier]]=1),1,0)</f>
        <v>0</v>
      </c>
    </row>
    <row r="419" spans="1:14" x14ac:dyDescent="0.25">
      <c r="A419">
        <v>144</v>
      </c>
      <c r="B419">
        <v>0.75</v>
      </c>
      <c r="C419">
        <v>0.25</v>
      </c>
      <c r="D419">
        <v>1</v>
      </c>
      <c r="E419">
        <v>0</v>
      </c>
      <c r="F419">
        <v>0.25</v>
      </c>
      <c r="G419">
        <v>0.75</v>
      </c>
      <c r="H419">
        <v>0.25</v>
      </c>
      <c r="I419">
        <v>0.75</v>
      </c>
      <c r="J419" s="272">
        <f>$C$3*($C$4*$E$4*B418*$B$7)*$G$4+$C$3*($C$4*$E$5*D419*$D$7)*$G$4+$C$3*($C$4*$E$4*C419*$C$7)*$G$5+$C$3*($C$4*$E$5*E419*$E$7)*$G$5+$C$3*($C$5*$E$4*F419*$F$7)*$H$4+$C$3*($C$5*$E$5*H419*$H$7)*$H$4+$C$3*($C$5*$E$5*I419*$I$7)*$H$5+$C$3*($C$5*$E$4*G419*$G$7)*$H$5</f>
        <v>5139951.2767933607</v>
      </c>
      <c r="K419" s="277">
        <f>ROUND(($C$4*$E$4*B419*$B$7+$C$4*$E$4*C419*$C$7+$C$4*$E$5*D419*$D$7+$C$4*$E$5*E419*$E$7+($C$5*$E$4*F419*$F$7+$C$5*$E$4*G419*$G$7+$C$5*$E$5*H419*$H$7+$C$5*$E$5*I419*$I$7)),2)</f>
        <v>0.65</v>
      </c>
      <c r="L419" s="276">
        <f>Scenario[[#This Row],[Total Cost]]/(Scenario[[#This Row],[Total Coverage]]*100)</f>
        <v>79076.173489128632</v>
      </c>
      <c r="M419" s="295" cm="1">
        <f t="array" ref="M419">IF(AND(K419=MAX(K$10:K419), L419=MIN(IF(K$10:K419=K419, L$10:L419))), 1, 0)</f>
        <v>0</v>
      </c>
      <c r="N419" s="295">
        <f>IF(AND(Scenario[[#This Row],[Total Coverage]]&gt;=70%,Scenario[[#This Row],[Frontier]]=1),1,0)</f>
        <v>0</v>
      </c>
    </row>
    <row r="420" spans="1:14" x14ac:dyDescent="0.25">
      <c r="A420">
        <v>364</v>
      </c>
      <c r="B420">
        <v>0.5</v>
      </c>
      <c r="C420">
        <v>0.5</v>
      </c>
      <c r="D420">
        <v>0</v>
      </c>
      <c r="E420">
        <v>1</v>
      </c>
      <c r="F420">
        <v>0.5</v>
      </c>
      <c r="G420">
        <v>0.5</v>
      </c>
      <c r="H420">
        <v>0.25</v>
      </c>
      <c r="I420">
        <v>0.75</v>
      </c>
      <c r="J420" s="272">
        <f>$C$3*($C$4*$E$4*B419*$B$7)*$G$4+$C$3*($C$4*$E$5*D420*$D$7)*$G$4+$C$3*($C$4*$E$4*C420*$C$7)*$G$5+$C$3*($C$4*$E$5*E420*$E$7)*$G$5+$C$3*($C$5*$E$4*F420*$F$7)*$H$4+$C$3*($C$5*$E$5*H420*$H$7)*$H$4+$C$3*($C$5*$E$5*I420*$I$7)*$H$5+$C$3*($C$5*$E$4*G420*$G$7)*$H$5</f>
        <v>5429019.3978829971</v>
      </c>
      <c r="K420" s="277">
        <f>ROUND(($C$4*$E$4*B420*$B$7+$C$4*$E$4*C420*$C$7+$C$4*$E$5*D420*$D$7+$C$4*$E$5*E420*$E$7+($C$5*$E$4*F420*$F$7+$C$5*$E$4*G420*$G$7+$C$5*$E$5*H420*$H$7+$C$5*$E$5*I420*$I$7)),2)</f>
        <v>0.65</v>
      </c>
      <c r="L420" s="276">
        <f>Scenario[[#This Row],[Total Cost]]/(Scenario[[#This Row],[Total Coverage]]*100)</f>
        <v>83523.375352046103</v>
      </c>
      <c r="M420" s="295" cm="1">
        <f t="array" ref="M420">IF(AND(K420=MAX(K$10:K420), L420=MIN(IF(K$10:K420=K420, L$10:L420))), 1, 0)</f>
        <v>0</v>
      </c>
      <c r="N420" s="295">
        <f>IF(AND(Scenario[[#This Row],[Total Coverage]]&gt;=70%,Scenario[[#This Row],[Frontier]]=1),1,0)</f>
        <v>0</v>
      </c>
    </row>
    <row r="421" spans="1:14" x14ac:dyDescent="0.25">
      <c r="A421">
        <v>293</v>
      </c>
      <c r="B421">
        <v>0.5</v>
      </c>
      <c r="C421">
        <v>0.5</v>
      </c>
      <c r="D421">
        <v>0.75</v>
      </c>
      <c r="E421">
        <v>0.25</v>
      </c>
      <c r="F421">
        <v>0.25</v>
      </c>
      <c r="G421">
        <v>0.75</v>
      </c>
      <c r="H421">
        <v>0.5</v>
      </c>
      <c r="I421">
        <v>0.5</v>
      </c>
      <c r="J421" s="272">
        <f>$C$3*($C$4*$E$4*B420*$B$7)*$G$4+$C$3*($C$4*$E$5*D421*$D$7)*$G$4+$C$3*($C$4*$E$4*C421*$C$7)*$G$5+$C$3*($C$4*$E$5*E421*$E$7)*$G$5+$C$3*($C$5*$E$4*F421*$F$7)*$H$4+$C$3*($C$5*$E$5*H421*$H$7)*$H$4+$C$3*($C$5*$E$5*I421*$I$7)*$H$5+$C$3*($C$5*$E$4*G421*$G$7)*$H$5</f>
        <v>5224477.1623522658</v>
      </c>
      <c r="K421" s="277">
        <f>ROUND(($C$4*$E$4*B421*$B$7+$C$4*$E$4*C421*$C$7+$C$4*$E$5*D421*$D$7+$C$4*$E$5*E421*$E$7+($C$5*$E$4*F421*$F$7+$C$5*$E$4*G421*$G$7+$C$5*$E$5*H421*$H$7+$C$5*$E$5*I421*$I$7)),2)</f>
        <v>0.65</v>
      </c>
      <c r="L421" s="276">
        <f>Scenario[[#This Row],[Total Cost]]/(Scenario[[#This Row],[Total Coverage]]*100)</f>
        <v>80376.57172849639</v>
      </c>
      <c r="M421" s="295" cm="1">
        <f t="array" ref="M421">IF(AND(K421=MAX(K$10:K421), L421=MIN(IF(K$10:K421=K421, L$10:L421))), 1, 0)</f>
        <v>0</v>
      </c>
      <c r="N421" s="295">
        <f>IF(AND(Scenario[[#This Row],[Total Coverage]]&gt;=70%,Scenario[[#This Row],[Frontier]]=1),1,0)</f>
        <v>0</v>
      </c>
    </row>
    <row r="422" spans="1:14" x14ac:dyDescent="0.25">
      <c r="A422">
        <v>439</v>
      </c>
      <c r="B422">
        <v>0.25</v>
      </c>
      <c r="C422">
        <v>0.75</v>
      </c>
      <c r="D422">
        <v>0.5</v>
      </c>
      <c r="E422">
        <v>0.5</v>
      </c>
      <c r="F422">
        <v>0.5</v>
      </c>
      <c r="G422">
        <v>0.5</v>
      </c>
      <c r="H422">
        <v>0.25</v>
      </c>
      <c r="I422">
        <v>0.75</v>
      </c>
      <c r="J422" s="272">
        <f>$C$3*($C$4*$E$4*B421*$B$7)*$G$4+$C$3*($C$4*$E$5*D422*$D$7)*$G$4+$C$3*($C$4*$E$4*C422*$C$7)*$G$5+$C$3*($C$4*$E$5*E422*$E$7)*$G$5+$C$3*($C$5*$E$4*F422*$F$7)*$H$4+$C$3*($C$5*$E$5*H422*$H$7)*$H$4+$C$3*($C$5*$E$5*I422*$I$7)*$H$5+$C$3*($C$5*$E$4*G422*$G$7)*$H$5</f>
        <v>5447078.8335025869</v>
      </c>
      <c r="K422" s="277">
        <f>ROUND(($C$4*$E$4*B422*$B$7+$C$4*$E$4*C422*$C$7+$C$4*$E$5*D422*$D$7+$C$4*$E$5*E422*$E$7+($C$5*$E$4*F422*$F$7+$C$5*$E$4*G422*$G$7+$C$5*$E$5*H422*$H$7+$C$5*$E$5*I422*$I$7)),2)</f>
        <v>0.65</v>
      </c>
      <c r="L422" s="276">
        <f>Scenario[[#This Row],[Total Cost]]/(Scenario[[#This Row],[Total Coverage]]*100)</f>
        <v>83801.212823116715</v>
      </c>
      <c r="M422" s="295" cm="1">
        <f t="array" ref="M422">IF(AND(K422=MAX(K$10:K422), L422=MIN(IF(K$10:K422=K422, L$10:L422))), 1, 0)</f>
        <v>0</v>
      </c>
      <c r="N422" s="295">
        <f>IF(AND(Scenario[[#This Row],[Total Coverage]]&gt;=70%,Scenario[[#This Row],[Frontier]]=1),1,0)</f>
        <v>0</v>
      </c>
    </row>
    <row r="423" spans="1:14" x14ac:dyDescent="0.25">
      <c r="A423">
        <v>215</v>
      </c>
      <c r="B423">
        <v>0.75</v>
      </c>
      <c r="C423">
        <v>0.25</v>
      </c>
      <c r="D423">
        <v>0.25</v>
      </c>
      <c r="E423">
        <v>0.75</v>
      </c>
      <c r="F423">
        <v>0.5</v>
      </c>
      <c r="G423">
        <v>0.5</v>
      </c>
      <c r="H423">
        <v>0</v>
      </c>
      <c r="I423">
        <v>1</v>
      </c>
      <c r="J423" s="272">
        <f>$C$3*($C$4*$E$4*B422*$B$7)*$G$4+$C$3*($C$4*$E$5*D423*$D$7)*$G$4+$C$3*($C$4*$E$4*C423*$C$7)*$G$5+$C$3*($C$4*$E$5*E423*$E$7)*$G$5+$C$3*($C$5*$E$4*F423*$F$7)*$H$4+$C$3*($C$5*$E$5*H423*$H$7)*$H$4+$C$3*($C$5*$E$5*I423*$I$7)*$H$5+$C$3*($C$5*$E$4*G423*$G$7)*$H$5</f>
        <v>4918854.9967310941</v>
      </c>
      <c r="K423" s="277">
        <f>ROUND(($C$4*$E$4*B423*$B$7+$C$4*$E$4*C423*$C$7+$C$4*$E$5*D423*$D$7+$C$4*$E$5*E423*$E$7+($C$5*$E$4*F423*$F$7+$C$5*$E$4*G423*$G$7+$C$5*$E$5*H423*$H$7+$C$5*$E$5*I423*$I$7)),2)</f>
        <v>0.65</v>
      </c>
      <c r="L423" s="276">
        <f>Scenario[[#This Row],[Total Cost]]/(Scenario[[#This Row],[Total Coverage]]*100)</f>
        <v>75674.692257401446</v>
      </c>
      <c r="M423" s="295" cm="1">
        <f t="array" ref="M423">IF(AND(K423=MAX(K$10:K423), L423=MIN(IF(K$10:K423=K423, L$10:L423))), 1, 0)</f>
        <v>0</v>
      </c>
      <c r="N423" s="295">
        <f>IF(AND(Scenario[[#This Row],[Total Coverage]]&gt;=70%,Scenario[[#This Row],[Frontier]]=1),1,0)</f>
        <v>0</v>
      </c>
    </row>
    <row r="424" spans="1:14" x14ac:dyDescent="0.25">
      <c r="A424">
        <v>290</v>
      </c>
      <c r="B424">
        <v>0.5</v>
      </c>
      <c r="C424">
        <v>0.5</v>
      </c>
      <c r="D424">
        <v>0.75</v>
      </c>
      <c r="E424">
        <v>0.25</v>
      </c>
      <c r="F424">
        <v>0.5</v>
      </c>
      <c r="G424">
        <v>0.5</v>
      </c>
      <c r="H424">
        <v>0</v>
      </c>
      <c r="I424">
        <v>1</v>
      </c>
      <c r="J424" s="272">
        <f>$C$3*($C$4*$E$4*B423*$B$7)*$G$4+$C$3*($C$4*$E$5*D424*$D$7)*$G$4+$C$3*($C$4*$E$4*C424*$C$7)*$G$5+$C$3*($C$4*$E$5*E424*$E$7)*$G$5+$C$3*($C$5*$E$4*F424*$F$7)*$H$4+$C$3*($C$5*$E$5*H424*$H$7)*$H$4+$C$3*($C$5*$E$5*I424*$I$7)*$H$5+$C$3*($C$5*$E$4*G424*$G$7)*$H$5</f>
        <v>5256143.3190454319</v>
      </c>
      <c r="K424" s="277">
        <f>ROUND(($C$4*$E$4*B424*$B$7+$C$4*$E$4*C424*$C$7+$C$4*$E$5*D424*$D$7+$C$4*$E$5*E424*$E$7+($C$5*$E$4*F424*$F$7+$C$5*$E$4*G424*$G$7+$C$5*$E$5*H424*$H$7+$C$5*$E$5*I424*$I$7)),2)</f>
        <v>0.65</v>
      </c>
      <c r="L424" s="276">
        <f>Scenario[[#This Row],[Total Cost]]/(Scenario[[#This Row],[Total Coverage]]*100)</f>
        <v>80863.743369929725</v>
      </c>
      <c r="M424" s="295" cm="1">
        <f t="array" ref="M424">IF(AND(K424=MAX(K$10:K424), L424=MIN(IF(K$10:K424=K424, L$10:L424))), 1, 0)</f>
        <v>0</v>
      </c>
      <c r="N424" s="295">
        <f>IF(AND(Scenario[[#This Row],[Total Coverage]]&gt;=70%,Scenario[[#This Row],[Frontier]]=1),1,0)</f>
        <v>0</v>
      </c>
    </row>
    <row r="425" spans="1:14" x14ac:dyDescent="0.25">
      <c r="A425">
        <v>442</v>
      </c>
      <c r="B425">
        <v>0.25</v>
      </c>
      <c r="C425">
        <v>0.75</v>
      </c>
      <c r="D425">
        <v>0.5</v>
      </c>
      <c r="E425">
        <v>0.5</v>
      </c>
      <c r="F425">
        <v>0.25</v>
      </c>
      <c r="G425">
        <v>0.75</v>
      </c>
      <c r="H425">
        <v>0.75</v>
      </c>
      <c r="I425">
        <v>0.25</v>
      </c>
      <c r="J425" s="272">
        <f>$C$3*($C$4*$E$4*B424*$B$7)*$G$4+$C$3*($C$4*$E$5*D425*$D$7)*$G$4+$C$3*($C$4*$E$4*C425*$C$7)*$G$5+$C$3*($C$4*$E$5*E425*$E$7)*$G$5+$C$3*($C$5*$E$4*F425*$F$7)*$H$4+$C$3*($C$5*$E$5*H425*$H$7)*$H$4+$C$3*($C$5*$E$5*I425*$I$7)*$H$5+$C$3*($C$5*$E$4*G425*$G$7)*$H$5</f>
        <v>5521822.3057076707</v>
      </c>
      <c r="K425" s="277">
        <f>ROUND(($C$4*$E$4*B425*$B$7+$C$4*$E$4*C425*$C$7+$C$4*$E$5*D425*$D$7+$C$4*$E$5*E425*$E$7+($C$5*$E$4*F425*$F$7+$C$5*$E$4*G425*$G$7+$C$5*$E$5*H425*$H$7+$C$5*$E$5*I425*$I$7)),2)</f>
        <v>0.65</v>
      </c>
      <c r="L425" s="276">
        <f>Scenario[[#This Row],[Total Cost]]/(Scenario[[#This Row],[Total Coverage]]*100)</f>
        <v>84951.112395502627</v>
      </c>
      <c r="M425" s="295" cm="1">
        <f t="array" ref="M425">IF(AND(K425=MAX(K$10:K425), L425=MIN(IF(K$10:K425=K425, L$10:L425))), 1, 0)</f>
        <v>0</v>
      </c>
      <c r="N425" s="295">
        <f>IF(AND(Scenario[[#This Row],[Total Coverage]]&gt;=70%,Scenario[[#This Row],[Frontier]]=1),1,0)</f>
        <v>0</v>
      </c>
    </row>
    <row r="426" spans="1:14" x14ac:dyDescent="0.25">
      <c r="A426">
        <v>517</v>
      </c>
      <c r="B426">
        <v>0</v>
      </c>
      <c r="C426">
        <v>1</v>
      </c>
      <c r="D426">
        <v>1</v>
      </c>
      <c r="E426">
        <v>0</v>
      </c>
      <c r="F426">
        <v>0.25</v>
      </c>
      <c r="G426">
        <v>0.75</v>
      </c>
      <c r="H426">
        <v>0.75</v>
      </c>
      <c r="I426">
        <v>0.25</v>
      </c>
      <c r="J426" s="272">
        <f>$C$3*($C$4*$E$4*B425*$B$7)*$G$4+$C$3*($C$4*$E$5*D426*$D$7)*$G$4+$C$3*($C$4*$E$4*C426*$C$7)*$G$5+$C$3*($C$4*$E$5*E426*$E$7)*$G$5+$C$3*($C$5*$E$4*F426*$F$7)*$H$4+$C$3*($C$5*$E$5*H426*$H$7)*$H$4+$C$3*($C$5*$E$5*I426*$I$7)*$H$5+$C$3*($C$5*$E$4*G426*$G$7)*$H$5</f>
        <v>5539881.7413272616</v>
      </c>
      <c r="K426" s="277">
        <f>ROUND(($C$4*$E$4*B426*$B$7+$C$4*$E$4*C426*$C$7+$C$4*$E$5*D426*$D$7+$C$4*$E$5*E426*$E$7+($C$5*$E$4*F426*$F$7+$C$5*$E$4*G426*$G$7+$C$5*$E$5*H426*$H$7+$C$5*$E$5*I426*$I$7)),2)</f>
        <v>0.65</v>
      </c>
      <c r="L426" s="276">
        <f>Scenario[[#This Row],[Total Cost]]/(Scenario[[#This Row],[Total Coverage]]*100)</f>
        <v>85228.949866573254</v>
      </c>
      <c r="M426" s="295" cm="1">
        <f t="array" ref="M426">IF(AND(K426=MAX(K$10:K426), L426=MIN(IF(K$10:K426=K426, L$10:L426))), 1, 0)</f>
        <v>0</v>
      </c>
      <c r="N426" s="295">
        <f>IF(AND(Scenario[[#This Row],[Total Coverage]]&gt;=70%,Scenario[[#This Row],[Frontier]]=1),1,0)</f>
        <v>0</v>
      </c>
    </row>
    <row r="427" spans="1:14" x14ac:dyDescent="0.25">
      <c r="A427">
        <v>588</v>
      </c>
      <c r="B427">
        <v>0</v>
      </c>
      <c r="C427">
        <v>1</v>
      </c>
      <c r="D427">
        <v>0.25</v>
      </c>
      <c r="E427">
        <v>0.75</v>
      </c>
      <c r="F427">
        <v>0.5</v>
      </c>
      <c r="G427">
        <v>0.5</v>
      </c>
      <c r="H427">
        <v>0.5</v>
      </c>
      <c r="I427">
        <v>0.5</v>
      </c>
      <c r="J427" s="272">
        <f>$C$3*($C$4*$E$4*B426*$B$7)*$G$4+$C$3*($C$4*$E$5*D427*$D$7)*$G$4+$C$3*($C$4*$E$4*C427*$C$7)*$G$5+$C$3*($C$4*$E$5*E427*$E$7)*$G$5+$C$3*($C$5*$E$4*F427*$F$7)*$H$4+$C$3*($C$5*$E$5*H427*$H$7)*$H$4+$C$3*($C$5*$E$5*I427*$I$7)*$H$5+$C$3*($C$5*$E$4*G427*$G$7)*$H$5</f>
        <v>5531604.7190614939</v>
      </c>
      <c r="K427" s="277">
        <f>ROUND(($C$4*$E$4*B427*$B$7+$C$4*$E$4*C427*$C$7+$C$4*$E$5*D427*$D$7+$C$4*$E$5*E427*$E$7+($C$5*$E$4*F427*$F$7+$C$5*$E$4*G427*$G$7+$C$5*$E$5*H427*$H$7+$C$5*$E$5*I427*$I$7)),2)</f>
        <v>0.65</v>
      </c>
      <c r="L427" s="276">
        <f>Scenario[[#This Row],[Total Cost]]/(Scenario[[#This Row],[Total Coverage]]*100)</f>
        <v>85101.611062484517</v>
      </c>
      <c r="M427" s="295" cm="1">
        <f t="array" ref="M427">IF(AND(K427=MAX(K$10:K427), L427=MIN(IF(K$10:K427=K427, L$10:L427))), 1, 0)</f>
        <v>0</v>
      </c>
      <c r="N427" s="295">
        <f>IF(AND(Scenario[[#This Row],[Total Coverage]]&gt;=70%,Scenario[[#This Row],[Frontier]]=1),1,0)</f>
        <v>0</v>
      </c>
    </row>
    <row r="428" spans="1:14" x14ac:dyDescent="0.25">
      <c r="A428">
        <v>591</v>
      </c>
      <c r="B428">
        <v>0</v>
      </c>
      <c r="C428">
        <v>1</v>
      </c>
      <c r="D428">
        <v>0.25</v>
      </c>
      <c r="E428">
        <v>0.75</v>
      </c>
      <c r="F428">
        <v>0.25</v>
      </c>
      <c r="G428">
        <v>0.75</v>
      </c>
      <c r="H428">
        <v>1</v>
      </c>
      <c r="I428">
        <v>0</v>
      </c>
      <c r="J428" s="272">
        <f>$C$3*($C$4*$E$4*B427*$B$7)*$G$4+$C$3*($C$4*$E$5*D428*$D$7)*$G$4+$C$3*($C$4*$E$4*C428*$C$7)*$G$5+$C$3*($C$4*$E$5*E428*$E$7)*$G$5+$C$3*($C$5*$E$4*F428*$F$7)*$H$4+$C$3*($C$5*$E$5*H428*$H$7)*$H$4+$C$3*($C$5*$E$5*I428*$I$7)*$H$5+$C$3*($C$5*$E$4*G428*$G$7)*$H$5</f>
        <v>5606348.1912665777</v>
      </c>
      <c r="K428" s="277">
        <f>ROUND(($C$4*$E$4*B428*$B$7+$C$4*$E$4*C428*$C$7+$C$4*$E$5*D428*$D$7+$C$4*$E$5*E428*$E$7+($C$5*$E$4*F428*$F$7+$C$5*$E$4*G428*$G$7+$C$5*$E$5*H428*$H$7+$C$5*$E$5*I428*$I$7)),2)</f>
        <v>0.65</v>
      </c>
      <c r="L428" s="276">
        <f>Scenario[[#This Row],[Total Cost]]/(Scenario[[#This Row],[Total Coverage]]*100)</f>
        <v>86251.510634870428</v>
      </c>
      <c r="M428" s="295" cm="1">
        <f t="array" ref="M428">IF(AND(K428=MAX(K$10:K428), L428=MIN(IF(K$10:K428=K428, L$10:L428))), 1, 0)</f>
        <v>0</v>
      </c>
      <c r="N428" s="295">
        <f>IF(AND(Scenario[[#This Row],[Total Coverage]]&gt;=70%,Scenario[[#This Row],[Frontier]]=1),1,0)</f>
        <v>0</v>
      </c>
    </row>
    <row r="429" spans="1:14" x14ac:dyDescent="0.25">
      <c r="A429">
        <v>72</v>
      </c>
      <c r="B429">
        <v>1</v>
      </c>
      <c r="C429">
        <v>0</v>
      </c>
      <c r="D429">
        <v>0.5</v>
      </c>
      <c r="E429">
        <v>0.5</v>
      </c>
      <c r="F429">
        <v>0</v>
      </c>
      <c r="G429">
        <v>1</v>
      </c>
      <c r="H429">
        <v>0.75</v>
      </c>
      <c r="I429">
        <v>0.25</v>
      </c>
      <c r="J429" s="272">
        <f>$C$3*($C$4*$E$4*B428*$B$7)*$G$4+$C$3*($C$4*$E$5*D429*$D$7)*$G$4+$C$3*($C$4*$E$4*C429*$C$7)*$G$5+$C$3*($C$4*$E$5*E429*$E$7)*$G$5+$C$3*($C$5*$E$4*F429*$F$7)*$H$4+$C$3*($C$5*$E$5*H429*$H$7)*$H$4+$C$3*($C$5*$E$5*I429*$I$7)*$H$5+$C$3*($C$5*$E$4*G429*$G$7)*$H$5</f>
        <v>4664587.168887605</v>
      </c>
      <c r="K429" s="277">
        <f>ROUND(($C$4*$E$4*B429*$B$7+$C$4*$E$4*C429*$C$7+$C$4*$E$5*D429*$D$7+$C$4*$E$5*E429*$E$7+($C$5*$E$4*F429*$F$7+$C$5*$E$4*G429*$G$7+$C$5*$E$5*H429*$H$7+$C$5*$E$5*I429*$I$7)),2)</f>
        <v>0.66</v>
      </c>
      <c r="L429" s="276">
        <f>Scenario[[#This Row],[Total Cost]]/(Scenario[[#This Row],[Total Coverage]]*100)</f>
        <v>70675.563164963707</v>
      </c>
      <c r="M429" s="295" cm="1">
        <f t="array" ref="M429">IF(AND(K429=MAX(K$10:K429), L429=MIN(IF(K$10:K429=K429, L$10:L429))), 1, 0)</f>
        <v>1</v>
      </c>
      <c r="N429" s="295">
        <f>IF(AND(Scenario[[#This Row],[Total Coverage]]&gt;=70%,Scenario[[#This Row],[Frontier]]=1),1,0)</f>
        <v>0</v>
      </c>
    </row>
    <row r="430" spans="1:14" x14ac:dyDescent="0.25">
      <c r="A430">
        <v>69</v>
      </c>
      <c r="B430">
        <v>1</v>
      </c>
      <c r="C430">
        <v>0</v>
      </c>
      <c r="D430">
        <v>0.5</v>
      </c>
      <c r="E430">
        <v>0.5</v>
      </c>
      <c r="F430">
        <v>0.25</v>
      </c>
      <c r="G430">
        <v>0.75</v>
      </c>
      <c r="H430">
        <v>0.25</v>
      </c>
      <c r="I430">
        <v>0.75</v>
      </c>
      <c r="J430" s="272">
        <f>$C$3*($C$4*$E$4*B429*$B$7)*$G$4+$C$3*($C$4*$E$5*D430*$D$7)*$G$4+$C$3*($C$4*$E$4*C430*$C$7)*$G$5+$C$3*($C$4*$E$5*E430*$E$7)*$G$5+$C$3*($C$5*$E$4*F430*$F$7)*$H$4+$C$3*($C$5*$E$5*H430*$H$7)*$H$4+$C$3*($C$5*$E$5*I430*$I$7)*$H$5+$C$3*($C$5*$E$4*G430*$G$7)*$H$5</f>
        <v>5015482.2122755209</v>
      </c>
      <c r="K430" s="277">
        <f>ROUND(($C$4*$E$4*B430*$B$7+$C$4*$E$4*C430*$C$7+$C$4*$E$5*D430*$D$7+$C$4*$E$5*E430*$E$7+($C$5*$E$4*F430*$F$7+$C$5*$E$4*G430*$G$7+$C$5*$E$5*H430*$H$7+$C$5*$E$5*I430*$I$7)),2)</f>
        <v>0.66</v>
      </c>
      <c r="L430" s="276">
        <f>Scenario[[#This Row],[Total Cost]]/(Scenario[[#This Row],[Total Coverage]]*100)</f>
        <v>75992.154731447285</v>
      </c>
      <c r="M430" s="295" cm="1">
        <f t="array" ref="M430">IF(AND(K430=MAX(K$10:K430), L430=MIN(IF(K$10:K430=K430, L$10:L430))), 1, 0)</f>
        <v>0</v>
      </c>
      <c r="N430" s="295">
        <f>IF(AND(Scenario[[#This Row],[Total Coverage]]&gt;=70%,Scenario[[#This Row],[Frontier]]=1),1,0)</f>
        <v>0</v>
      </c>
    </row>
    <row r="431" spans="1:14" x14ac:dyDescent="0.25">
      <c r="A431">
        <v>218</v>
      </c>
      <c r="B431">
        <v>0.75</v>
      </c>
      <c r="C431">
        <v>0.25</v>
      </c>
      <c r="D431">
        <v>0.25</v>
      </c>
      <c r="E431">
        <v>0.75</v>
      </c>
      <c r="F431">
        <v>0.25</v>
      </c>
      <c r="G431">
        <v>0.75</v>
      </c>
      <c r="H431">
        <v>0.5</v>
      </c>
      <c r="I431">
        <v>0.5</v>
      </c>
      <c r="J431" s="272">
        <f>$C$3*($C$4*$E$4*B430*$B$7)*$G$4+$C$3*($C$4*$E$5*D431*$D$7)*$G$4+$C$3*($C$4*$E$4*C431*$C$7)*$G$5+$C$3*($C$4*$E$5*E431*$E$7)*$G$5+$C$3*($C$5*$E$4*F431*$F$7)*$H$4+$C$3*($C$5*$E$5*H431*$H$7)*$H$4+$C$3*($C$5*$E$5*I431*$I$7)*$H$5+$C$3*($C$5*$E$4*G431*$G$7)*$H$5</f>
        <v>5312827.3556309259</v>
      </c>
      <c r="K431" s="277">
        <f>ROUND(($C$4*$E$4*B431*$B$7+$C$4*$E$4*C431*$C$7+$C$4*$E$5*D431*$D$7+$C$4*$E$5*E431*$E$7+($C$5*$E$4*F431*$F$7+$C$5*$E$4*G431*$G$7+$C$5*$E$5*H431*$H$7+$C$5*$E$5*I431*$I$7)),2)</f>
        <v>0.66</v>
      </c>
      <c r="L431" s="276">
        <f>Scenario[[#This Row],[Total Cost]]/(Scenario[[#This Row],[Total Coverage]]*100)</f>
        <v>80497.384176226144</v>
      </c>
      <c r="M431" s="295" cm="1">
        <f t="array" ref="M431">IF(AND(K431=MAX(K$10:K431), L431=MIN(IF(K$10:K431=K431, L$10:L431))), 1, 0)</f>
        <v>0</v>
      </c>
      <c r="N431" s="295">
        <f>IF(AND(Scenario[[#This Row],[Total Coverage]]&gt;=70%,Scenario[[#This Row],[Frontier]]=1),1,0)</f>
        <v>0</v>
      </c>
    </row>
    <row r="432" spans="1:14" x14ac:dyDescent="0.25">
      <c r="A432">
        <v>221</v>
      </c>
      <c r="B432">
        <v>0.75</v>
      </c>
      <c r="C432">
        <v>0.25</v>
      </c>
      <c r="D432">
        <v>0.25</v>
      </c>
      <c r="E432">
        <v>0.75</v>
      </c>
      <c r="F432">
        <v>0</v>
      </c>
      <c r="G432">
        <v>1</v>
      </c>
      <c r="H432">
        <v>1</v>
      </c>
      <c r="I432">
        <v>0</v>
      </c>
      <c r="J432" s="272">
        <f>$C$3*($C$4*$E$4*B431*$B$7)*$G$4+$C$3*($C$4*$E$5*D432*$D$7)*$G$4+$C$3*($C$4*$E$4*C432*$C$7)*$G$5+$C$3*($C$4*$E$5*E432*$E$7)*$G$5+$C$3*($C$5*$E$4*F432*$F$7)*$H$4+$C$3*($C$5*$E$5*H432*$H$7)*$H$4+$C$3*($C$5*$E$5*I432*$I$7)*$H$5+$C$3*($C$5*$E$4*G432*$G$7)*$H$5</f>
        <v>5281161.1989377588</v>
      </c>
      <c r="K432" s="277">
        <f>ROUND(($C$4*$E$4*B432*$B$7+$C$4*$E$4*C432*$C$7+$C$4*$E$5*D432*$D$7+$C$4*$E$5*E432*$E$7+($C$5*$E$4*F432*$F$7+$C$5*$E$4*G432*$G$7+$C$5*$E$5*H432*$H$7+$C$5*$E$5*I432*$I$7)),2)</f>
        <v>0.66</v>
      </c>
      <c r="L432" s="276">
        <f>Scenario[[#This Row],[Total Cost]]/(Scenario[[#This Row],[Total Coverage]]*100)</f>
        <v>80017.59392329937</v>
      </c>
      <c r="M432" s="295" cm="1">
        <f t="array" ref="M432">IF(AND(K432=MAX(K$10:K432), L432=MIN(IF(K$10:K432=K432, L$10:L432))), 1, 0)</f>
        <v>0</v>
      </c>
      <c r="N432" s="295">
        <f>IF(AND(Scenario[[#This Row],[Total Coverage]]&gt;=70%,Scenario[[#This Row],[Frontier]]=1),1,0)</f>
        <v>0</v>
      </c>
    </row>
    <row r="433" spans="1:14" x14ac:dyDescent="0.25">
      <c r="A433">
        <v>147</v>
      </c>
      <c r="B433">
        <v>0.75</v>
      </c>
      <c r="C433">
        <v>0.25</v>
      </c>
      <c r="D433">
        <v>1</v>
      </c>
      <c r="E433">
        <v>0</v>
      </c>
      <c r="F433">
        <v>0</v>
      </c>
      <c r="G433">
        <v>1</v>
      </c>
      <c r="H433">
        <v>0.75</v>
      </c>
      <c r="I433">
        <v>0.25</v>
      </c>
      <c r="J433" s="272">
        <f>$C$3*($C$4*$E$4*B432*$B$7)*$G$4+$C$3*($C$4*$E$5*D433*$D$7)*$G$4+$C$3*($C$4*$E$4*C433*$C$7)*$G$5+$C$3*($C$4*$E$5*E433*$E$7)*$G$5+$C$3*($C$5*$E$4*F433*$F$7)*$H$4+$C$3*($C$5*$E$5*H433*$H$7)*$H$4+$C$3*($C$5*$E$5*I433*$I$7)*$H$5+$C$3*($C$5*$E$4*G433*$G$7)*$H$5</f>
        <v>5108285.1201001927</v>
      </c>
      <c r="K433" s="277">
        <f>ROUND(($C$4*$E$4*B433*$B$7+$C$4*$E$4*C433*$C$7+$C$4*$E$5*D433*$D$7+$C$4*$E$5*E433*$E$7+($C$5*$E$4*F433*$F$7+$C$5*$E$4*G433*$G$7+$C$5*$E$5*H433*$H$7+$C$5*$E$5*I433*$I$7)),2)</f>
        <v>0.66</v>
      </c>
      <c r="L433" s="276">
        <f>Scenario[[#This Row],[Total Cost]]/(Scenario[[#This Row],[Total Coverage]]*100)</f>
        <v>77398.25939545747</v>
      </c>
      <c r="M433" s="295" cm="1">
        <f t="array" ref="M433">IF(AND(K433=MAX(K$10:K433), L433=MIN(IF(K$10:K433=K433, L$10:L433))), 1, 0)</f>
        <v>0</v>
      </c>
      <c r="N433" s="295">
        <f>IF(AND(Scenario[[#This Row],[Total Coverage]]&gt;=70%,Scenario[[#This Row],[Frontier]]=1),1,0)</f>
        <v>0</v>
      </c>
    </row>
    <row r="434" spans="1:14" x14ac:dyDescent="0.25">
      <c r="A434">
        <v>367</v>
      </c>
      <c r="B434">
        <v>0.5</v>
      </c>
      <c r="C434">
        <v>0.5</v>
      </c>
      <c r="D434">
        <v>0</v>
      </c>
      <c r="E434">
        <v>1</v>
      </c>
      <c r="F434">
        <v>0.25</v>
      </c>
      <c r="G434">
        <v>0.75</v>
      </c>
      <c r="H434">
        <v>0.75</v>
      </c>
      <c r="I434">
        <v>0.25</v>
      </c>
      <c r="J434" s="272">
        <f>$C$3*($C$4*$E$4*B433*$B$7)*$G$4+$C$3*($C$4*$E$5*D434*$D$7)*$G$4+$C$3*($C$4*$E$4*C434*$C$7)*$G$5+$C$3*($C$4*$E$5*E434*$E$7)*$G$5+$C$3*($C$5*$E$4*F434*$F$7)*$H$4+$C$3*($C$5*$E$5*H434*$H$7)*$H$4+$C$3*($C$5*$E$5*I434*$I$7)*$H$5+$C$3*($C$5*$E$4*G434*$G$7)*$H$5</f>
        <v>5503762.8700880818</v>
      </c>
      <c r="K434" s="277">
        <f>ROUND(($C$4*$E$4*B434*$B$7+$C$4*$E$4*C434*$C$7+$C$4*$E$5*D434*$D$7+$C$4*$E$5*E434*$E$7+($C$5*$E$4*F434*$F$7+$C$5*$E$4*G434*$G$7+$C$5*$E$5*H434*$H$7+$C$5*$E$5*I434*$I$7)),2)</f>
        <v>0.66</v>
      </c>
      <c r="L434" s="276">
        <f>Scenario[[#This Row],[Total Cost]]/(Scenario[[#This Row],[Total Coverage]]*100)</f>
        <v>83390.346516486083</v>
      </c>
      <c r="M434" s="295" cm="1">
        <f t="array" ref="M434">IF(AND(K434=MAX(K$10:K434), L434=MIN(IF(K$10:K434=K434, L$10:L434))), 1, 0)</f>
        <v>0</v>
      </c>
      <c r="N434" s="295">
        <f>IF(AND(Scenario[[#This Row],[Total Coverage]]&gt;=70%,Scenario[[#This Row],[Frontier]]=1),1,0)</f>
        <v>0</v>
      </c>
    </row>
    <row r="435" spans="1:14" x14ac:dyDescent="0.25">
      <c r="A435">
        <v>296</v>
      </c>
      <c r="B435">
        <v>0.5</v>
      </c>
      <c r="C435">
        <v>0.5</v>
      </c>
      <c r="D435">
        <v>0.75</v>
      </c>
      <c r="E435">
        <v>0.25</v>
      </c>
      <c r="F435">
        <v>0</v>
      </c>
      <c r="G435">
        <v>1</v>
      </c>
      <c r="H435">
        <v>1</v>
      </c>
      <c r="I435">
        <v>0</v>
      </c>
      <c r="J435" s="272">
        <f>$C$3*($C$4*$E$4*B434*$B$7)*$G$4+$C$3*($C$4*$E$5*D435*$D$7)*$G$4+$C$3*($C$4*$E$4*C435*$C$7)*$G$5+$C$3*($C$4*$E$5*E435*$E$7)*$G$5+$C$3*($C$5*$E$4*F435*$F$7)*$H$4+$C$3*($C$5*$E$5*H435*$H$7)*$H$4+$C$3*($C$5*$E$5*I435*$I$7)*$H$5+$C$3*($C$5*$E$4*G435*$G$7)*$H$5</f>
        <v>5299220.6345573477</v>
      </c>
      <c r="K435" s="277">
        <f>ROUND(($C$4*$E$4*B435*$B$7+$C$4*$E$4*C435*$C$7+$C$4*$E$5*D435*$D$7+$C$4*$E$5*E435*$E$7+($C$5*$E$4*F435*$F$7+$C$5*$E$4*G435*$G$7+$C$5*$E$5*H435*$H$7+$C$5*$E$5*I435*$I$7)),2)</f>
        <v>0.66</v>
      </c>
      <c r="L435" s="276">
        <f>Scenario[[#This Row],[Total Cost]]/(Scenario[[#This Row],[Total Coverage]]*100)</f>
        <v>80291.221735717394</v>
      </c>
      <c r="M435" s="295" cm="1">
        <f t="array" ref="M435">IF(AND(K435=MAX(K$10:K435), L435=MIN(IF(K$10:K435=K435, L$10:L435))), 1, 0)</f>
        <v>0</v>
      </c>
      <c r="N435" s="295">
        <f>IF(AND(Scenario[[#This Row],[Total Coverage]]&gt;=70%,Scenario[[#This Row],[Frontier]]=1),1,0)</f>
        <v>0</v>
      </c>
    </row>
    <row r="436" spans="1:14" x14ac:dyDescent="0.25">
      <c r="A436">
        <v>464</v>
      </c>
      <c r="B436">
        <v>0.25</v>
      </c>
      <c r="C436">
        <v>0.75</v>
      </c>
      <c r="D436">
        <v>0.25</v>
      </c>
      <c r="E436">
        <v>0.75</v>
      </c>
      <c r="F436">
        <v>0.5</v>
      </c>
      <c r="G436">
        <v>0.5</v>
      </c>
      <c r="H436">
        <v>0.25</v>
      </c>
      <c r="I436">
        <v>0.75</v>
      </c>
      <c r="J436" s="272">
        <f>$C$3*($C$4*$E$4*B435*$B$7)*$G$4+$C$3*($C$4*$E$5*D436*$D$7)*$G$4+$C$3*($C$4*$E$4*C436*$C$7)*$G$5+$C$3*($C$4*$E$5*E436*$E$7)*$G$5+$C$3*($C$5*$E$4*F436*$F$7)*$H$4+$C$3*($C$5*$E$5*H436*$H$7)*$H$4+$C$3*($C$5*$E$5*I436*$I$7)*$H$5+$C$3*($C$5*$E$4*G436*$G$7)*$H$5</f>
        <v>5631355.1531934952</v>
      </c>
      <c r="K436" s="277">
        <f>ROUND(($C$4*$E$4*B436*$B$7+$C$4*$E$4*C436*$C$7+$C$4*$E$5*D436*$D$7+$C$4*$E$5*E436*$E$7+($C$5*$E$4*F436*$F$7+$C$5*$E$4*G436*$G$7+$C$5*$E$5*H436*$H$7+$C$5*$E$5*I436*$I$7)),2)</f>
        <v>0.66</v>
      </c>
      <c r="L436" s="276">
        <f>Scenario[[#This Row],[Total Cost]]/(Scenario[[#This Row],[Total Coverage]]*100)</f>
        <v>85323.562927174164</v>
      </c>
      <c r="M436" s="295" cm="1">
        <f t="array" ref="M436">IF(AND(K436=MAX(K$10:K436), L436=MIN(IF(K$10:K436=K436, L$10:L436))), 1, 0)</f>
        <v>0</v>
      </c>
      <c r="N436" s="295">
        <f>IF(AND(Scenario[[#This Row],[Total Coverage]]&gt;=70%,Scenario[[#This Row],[Frontier]]=1),1,0)</f>
        <v>0</v>
      </c>
    </row>
    <row r="437" spans="1:14" x14ac:dyDescent="0.25">
      <c r="A437">
        <v>393</v>
      </c>
      <c r="B437">
        <v>0.25</v>
      </c>
      <c r="C437">
        <v>0.75</v>
      </c>
      <c r="D437">
        <v>1</v>
      </c>
      <c r="E437">
        <v>0</v>
      </c>
      <c r="F437">
        <v>0.25</v>
      </c>
      <c r="G437">
        <v>0.75</v>
      </c>
      <c r="H437">
        <v>0.5</v>
      </c>
      <c r="I437">
        <v>0.5</v>
      </c>
      <c r="J437" s="272">
        <f>$C$3*($C$4*$E$4*B436*$B$7)*$G$4+$C$3*($C$4*$E$5*D437*$D$7)*$G$4+$C$3*($C$4*$E$4*C437*$C$7)*$G$5+$C$3*($C$4*$E$5*E437*$E$7)*$G$5+$C$3*($C$5*$E$4*F437*$F$7)*$H$4+$C$3*($C$5*$E$5*H437*$H$7)*$H$4+$C$3*($C$5*$E$5*I437*$I$7)*$H$5+$C$3*($C$5*$E$4*G437*$G$7)*$H$5</f>
        <v>5426812.9176627649</v>
      </c>
      <c r="K437" s="277">
        <f>ROUND(($C$4*$E$4*B437*$B$7+$C$4*$E$4*C437*$C$7+$C$4*$E$5*D437*$D$7+$C$4*$E$5*E437*$E$7+($C$5*$E$4*F437*$F$7+$C$5*$E$4*G437*$G$7+$C$5*$E$5*H437*$H$7+$C$5*$E$5*I437*$I$7)),2)</f>
        <v>0.66</v>
      </c>
      <c r="L437" s="276">
        <f>Scenario[[#This Row],[Total Cost]]/(Scenario[[#This Row],[Total Coverage]]*100)</f>
        <v>82224.438146405533</v>
      </c>
      <c r="M437" s="295" cm="1">
        <f t="array" ref="M437">IF(AND(K437=MAX(K$10:K437), L437=MIN(IF(K$10:K437=K437, L$10:L437))), 1, 0)</f>
        <v>0</v>
      </c>
      <c r="N437" s="295">
        <f>IF(AND(Scenario[[#This Row],[Total Coverage]]&gt;=70%,Scenario[[#This Row],[Frontier]]=1),1,0)</f>
        <v>0</v>
      </c>
    </row>
    <row r="438" spans="1:14" x14ac:dyDescent="0.25">
      <c r="A438">
        <v>315</v>
      </c>
      <c r="B438">
        <v>0.5</v>
      </c>
      <c r="C438">
        <v>0.5</v>
      </c>
      <c r="D438">
        <v>0.5</v>
      </c>
      <c r="E438">
        <v>0.5</v>
      </c>
      <c r="F438">
        <v>0.5</v>
      </c>
      <c r="G438">
        <v>0.5</v>
      </c>
      <c r="H438">
        <v>0</v>
      </c>
      <c r="I438">
        <v>1</v>
      </c>
      <c r="J438" s="272">
        <f>$C$3*($C$4*$E$4*B437*$B$7)*$G$4+$C$3*($C$4*$E$5*D438*$D$7)*$G$4+$C$3*($C$4*$E$4*C438*$C$7)*$G$5+$C$3*($C$4*$E$5*E438*$E$7)*$G$5+$C$3*($C$5*$E$4*F438*$F$7)*$H$4+$C$3*($C$5*$E$5*H438*$H$7)*$H$4+$C$3*($C$5*$E$5*I438*$I$7)*$H$5+$C$3*($C$5*$E$4*G438*$G$7)*$H$5</f>
        <v>5227600.3809398422</v>
      </c>
      <c r="K438" s="277">
        <f>ROUND(($C$4*$E$4*B438*$B$7+$C$4*$E$4*C438*$C$7+$C$4*$E$5*D438*$D$7+$C$4*$E$5*E438*$E$7+($C$5*$E$4*F438*$F$7+$C$5*$E$4*G438*$G$7+$C$5*$E$5*H438*$H$7+$C$5*$E$5*I438*$I$7)),2)</f>
        <v>0.66</v>
      </c>
      <c r="L438" s="276">
        <f>Scenario[[#This Row],[Total Cost]]/(Scenario[[#This Row],[Total Coverage]]*100)</f>
        <v>79206.066377876399</v>
      </c>
      <c r="M438" s="295" cm="1">
        <f t="array" ref="M438">IF(AND(K438=MAX(K$10:K438), L438=MIN(IF(K$10:K438=K438, L$10:L438))), 1, 0)</f>
        <v>0</v>
      </c>
      <c r="N438" s="295">
        <f>IF(AND(Scenario[[#This Row],[Total Coverage]]&gt;=70%,Scenario[[#This Row],[Frontier]]=1),1,0)</f>
        <v>0</v>
      </c>
    </row>
    <row r="439" spans="1:14" x14ac:dyDescent="0.25">
      <c r="A439">
        <v>390</v>
      </c>
      <c r="B439">
        <v>0.25</v>
      </c>
      <c r="C439">
        <v>0.75</v>
      </c>
      <c r="D439">
        <v>1</v>
      </c>
      <c r="E439">
        <v>0</v>
      </c>
      <c r="F439">
        <v>0.5</v>
      </c>
      <c r="G439">
        <v>0.5</v>
      </c>
      <c r="H439">
        <v>0</v>
      </c>
      <c r="I439">
        <v>1</v>
      </c>
      <c r="J439" s="272">
        <f>$C$3*($C$4*$E$4*B438*$B$7)*$G$4+$C$3*($C$4*$E$5*D439*$D$7)*$G$4+$C$3*($C$4*$E$4*C439*$C$7)*$G$5+$C$3*($C$4*$E$5*E439*$E$7)*$G$5+$C$3*($C$5*$E$4*F439*$F$7)*$H$4+$C$3*($C$5*$E$5*H439*$H$7)*$H$4+$C$3*($C$5*$E$5*I439*$I$7)*$H$5+$C$3*($C$5*$E$4*G439*$G$7)*$H$5</f>
        <v>5458479.074355931</v>
      </c>
      <c r="K439" s="277">
        <f>ROUND(($C$4*$E$4*B439*$B$7+$C$4*$E$4*C439*$C$7+$C$4*$E$5*D439*$D$7+$C$4*$E$5*E439*$E$7+($C$5*$E$4*F439*$F$7+$C$5*$E$4*G439*$G$7+$C$5*$E$5*H439*$H$7+$C$5*$E$5*I439*$I$7)),2)</f>
        <v>0.66</v>
      </c>
      <c r="L439" s="276">
        <f>Scenario[[#This Row],[Total Cost]]/(Scenario[[#This Row],[Total Coverage]]*100)</f>
        <v>82704.228399332293</v>
      </c>
      <c r="M439" s="295" cm="1">
        <f t="array" ref="M439">IF(AND(K439=MAX(K$10:K439), L439=MIN(IF(K$10:K439=K439, L$10:L439))), 1, 0)</f>
        <v>0</v>
      </c>
      <c r="N439" s="295">
        <f>IF(AND(Scenario[[#This Row],[Total Coverage]]&gt;=70%,Scenario[[#This Row],[Frontier]]=1),1,0)</f>
        <v>0</v>
      </c>
    </row>
    <row r="440" spans="1:14" x14ac:dyDescent="0.25">
      <c r="A440">
        <v>539</v>
      </c>
      <c r="B440">
        <v>0</v>
      </c>
      <c r="C440">
        <v>1</v>
      </c>
      <c r="D440">
        <v>0.75</v>
      </c>
      <c r="E440">
        <v>0.25</v>
      </c>
      <c r="F440">
        <v>0.5</v>
      </c>
      <c r="G440">
        <v>0.5</v>
      </c>
      <c r="H440">
        <v>0.25</v>
      </c>
      <c r="I440">
        <v>0.75</v>
      </c>
      <c r="J440" s="272">
        <f>$C$3*($C$4*$E$4*B439*$B$7)*$G$4+$C$3*($C$4*$E$5*D440*$D$7)*$G$4+$C$3*($C$4*$E$4*C440*$C$7)*$G$5+$C$3*($C$4*$E$5*E440*$E$7)*$G$5+$C$3*($C$5*$E$4*F440*$F$7)*$H$4+$C$3*($C$5*$E$5*H440*$H$7)*$H$4+$C$3*($C$5*$E$5*I440*$I$7)*$H$5+$C$3*($C$5*$E$4*G440*$G$7)*$H$5</f>
        <v>5649414.5888130851</v>
      </c>
      <c r="K440" s="277">
        <f>ROUND(($C$4*$E$4*B440*$B$7+$C$4*$E$4*C440*$C$7+$C$4*$E$5*D440*$D$7+$C$4*$E$5*E440*$E$7+($C$5*$E$4*F440*$F$7+$C$5*$E$4*G440*$G$7+$C$5*$E$5*H440*$H$7+$C$5*$E$5*I440*$I$7)),2)</f>
        <v>0.66</v>
      </c>
      <c r="L440" s="276">
        <f>Scenario[[#This Row],[Total Cost]]/(Scenario[[#This Row],[Total Coverage]]*100)</f>
        <v>85597.190739592203</v>
      </c>
      <c r="M440" s="295" cm="1">
        <f t="array" ref="M440">IF(AND(K440=MAX(K$10:K440), L440=MIN(IF(K$10:K440=K440, L$10:L440))), 1, 0)</f>
        <v>0</v>
      </c>
      <c r="N440" s="295">
        <f>IF(AND(Scenario[[#This Row],[Total Coverage]]&gt;=70%,Scenario[[#This Row],[Frontier]]=1),1,0)</f>
        <v>0</v>
      </c>
    </row>
    <row r="441" spans="1:14" x14ac:dyDescent="0.25">
      <c r="A441">
        <v>542</v>
      </c>
      <c r="B441">
        <v>0</v>
      </c>
      <c r="C441">
        <v>1</v>
      </c>
      <c r="D441">
        <v>0.75</v>
      </c>
      <c r="E441">
        <v>0.25</v>
      </c>
      <c r="F441">
        <v>0.25</v>
      </c>
      <c r="G441">
        <v>0.75</v>
      </c>
      <c r="H441">
        <v>0.75</v>
      </c>
      <c r="I441">
        <v>0.25</v>
      </c>
      <c r="J441" s="272">
        <f>$C$3*($C$4*$E$4*B440*$B$7)*$G$4+$C$3*($C$4*$E$5*D441*$D$7)*$G$4+$C$3*($C$4*$E$4*C441*$C$7)*$G$5+$C$3*($C$4*$E$5*E441*$E$7)*$G$5+$C$3*($C$5*$E$4*F441*$F$7)*$H$4+$C$3*($C$5*$E$5*H441*$H$7)*$H$4+$C$3*($C$5*$E$5*I441*$I$7)*$H$5+$C$3*($C$5*$E$4*G441*$G$7)*$H$5</f>
        <v>5617748.4321199199</v>
      </c>
      <c r="K441" s="277">
        <f>ROUND(($C$4*$E$4*B441*$B$7+$C$4*$E$4*C441*$C$7+$C$4*$E$5*D441*$D$7+$C$4*$E$5*E441*$E$7+($C$5*$E$4*F441*$F$7+$C$5*$E$4*G441*$G$7+$C$5*$E$5*H441*$H$7+$C$5*$E$5*I441*$I$7)),2)</f>
        <v>0.66</v>
      </c>
      <c r="L441" s="276">
        <f>Scenario[[#This Row],[Total Cost]]/(Scenario[[#This Row],[Total Coverage]]*100)</f>
        <v>85117.400486665458</v>
      </c>
      <c r="M441" s="295" cm="1">
        <f t="array" ref="M441">IF(AND(K441=MAX(K$10:K441), L441=MIN(IF(K$10:K441=K441, L$10:L441))), 1, 0)</f>
        <v>0</v>
      </c>
      <c r="N441" s="295">
        <f>IF(AND(Scenario[[#This Row],[Total Coverage]]&gt;=70%,Scenario[[#This Row],[Frontier]]=1),1,0)</f>
        <v>0</v>
      </c>
    </row>
    <row r="442" spans="1:14" x14ac:dyDescent="0.25">
      <c r="A442">
        <v>610</v>
      </c>
      <c r="B442">
        <v>0</v>
      </c>
      <c r="C442">
        <v>1</v>
      </c>
      <c r="D442">
        <v>0</v>
      </c>
      <c r="E442">
        <v>1</v>
      </c>
      <c r="F442">
        <v>0.75</v>
      </c>
      <c r="G442">
        <v>0.25</v>
      </c>
      <c r="H442">
        <v>0</v>
      </c>
      <c r="I442">
        <v>1</v>
      </c>
      <c r="J442" s="272">
        <f>$C$3*($C$4*$E$4*B441*$B$7)*$G$4+$C$3*($C$4*$E$5*D442*$D$7)*$G$4+$C$3*($C$4*$E$4*C442*$C$7)*$G$5+$C$3*($C$4*$E$5*E442*$E$7)*$G$5+$C$3*($C$5*$E$4*F442*$F$7)*$H$4+$C$3*($C$5*$E$5*H442*$H$7)*$H$4+$C$3*($C$5*$E$5*I442*$I$7)*$H$5+$C$3*($C$5*$E$4*G442*$G$7)*$H$5</f>
        <v>5641137.5665473193</v>
      </c>
      <c r="K442" s="277">
        <f>ROUND(($C$4*$E$4*B442*$B$7+$C$4*$E$4*C442*$C$7+$C$4*$E$5*D442*$D$7+$C$4*$E$5*E442*$E$7+($C$5*$E$4*F442*$F$7+$C$5*$E$4*G442*$G$7+$C$5*$E$5*H442*$H$7+$C$5*$E$5*I442*$I$7)),2)</f>
        <v>0.66</v>
      </c>
      <c r="L442" s="276">
        <f>Scenario[[#This Row],[Total Cost]]/(Scenario[[#This Row],[Total Coverage]]*100)</f>
        <v>85471.781311323022</v>
      </c>
      <c r="M442" s="295" cm="1">
        <f t="array" ref="M442">IF(AND(K442=MAX(K$10:K442), L442=MIN(IF(K$10:K442=K442, L$10:L442))), 1, 0)</f>
        <v>0</v>
      </c>
      <c r="N442" s="295">
        <f>IF(AND(Scenario[[#This Row],[Total Coverage]]&gt;=70%,Scenario[[#This Row],[Frontier]]=1),1,0)</f>
        <v>0</v>
      </c>
    </row>
    <row r="443" spans="1:14" x14ac:dyDescent="0.25">
      <c r="A443">
        <v>613</v>
      </c>
      <c r="B443">
        <v>0</v>
      </c>
      <c r="C443">
        <v>1</v>
      </c>
      <c r="D443">
        <v>0</v>
      </c>
      <c r="E443">
        <v>1</v>
      </c>
      <c r="F443">
        <v>0.5</v>
      </c>
      <c r="G443">
        <v>0.5</v>
      </c>
      <c r="H443">
        <v>0.5</v>
      </c>
      <c r="I443">
        <v>0.5</v>
      </c>
      <c r="J443" s="272">
        <f>$C$3*($C$4*$E$4*B442*$B$7)*$G$4+$C$3*($C$4*$E$5*D443*$D$7)*$G$4+$C$3*($C$4*$E$4*C443*$C$7)*$G$5+$C$3*($C$4*$E$5*E443*$E$7)*$G$5+$C$3*($C$5*$E$4*F443*$F$7)*$H$4+$C$3*($C$5*$E$5*H443*$H$7)*$H$4+$C$3*($C$5*$E$5*I443*$I$7)*$H$5+$C$3*($C$5*$E$4*G443*$G$7)*$H$5</f>
        <v>5715881.0387524012</v>
      </c>
      <c r="K443" s="277">
        <f>ROUND(($C$4*$E$4*B443*$B$7+$C$4*$E$4*C443*$C$7+$C$4*$E$5*D443*$D$7+$C$4*$E$5*E443*$E$7+($C$5*$E$4*F443*$F$7+$C$5*$E$4*G443*$G$7+$C$5*$E$5*H443*$H$7+$C$5*$E$5*I443*$I$7)),2)</f>
        <v>0.66</v>
      </c>
      <c r="L443" s="276">
        <f>Scenario[[#This Row],[Total Cost]]/(Scenario[[#This Row],[Total Coverage]]*100)</f>
        <v>86604.258162915168</v>
      </c>
      <c r="M443" s="295" cm="1">
        <f t="array" ref="M443">IF(AND(K443=MAX(K$10:K443), L443=MIN(IF(K$10:K443=K443, L$10:L443))), 1, 0)</f>
        <v>0</v>
      </c>
      <c r="N443" s="295">
        <f>IF(AND(Scenario[[#This Row],[Total Coverage]]&gt;=70%,Scenario[[#This Row],[Frontier]]=1),1,0)</f>
        <v>0</v>
      </c>
    </row>
    <row r="444" spans="1:14" x14ac:dyDescent="0.25">
      <c r="A444">
        <v>616</v>
      </c>
      <c r="B444">
        <v>0</v>
      </c>
      <c r="C444">
        <v>1</v>
      </c>
      <c r="D444">
        <v>0</v>
      </c>
      <c r="E444">
        <v>1</v>
      </c>
      <c r="F444">
        <v>0.25</v>
      </c>
      <c r="G444">
        <v>0.75</v>
      </c>
      <c r="H444">
        <v>1</v>
      </c>
      <c r="I444">
        <v>0</v>
      </c>
      <c r="J444" s="272">
        <f>$C$3*($C$4*$E$4*B443*$B$7)*$G$4+$C$3*($C$4*$E$5*D444*$D$7)*$G$4+$C$3*($C$4*$E$4*C444*$C$7)*$G$5+$C$3*($C$4*$E$5*E444*$E$7)*$G$5+$C$3*($C$5*$E$4*F444*$F$7)*$H$4+$C$3*($C$5*$E$5*H444*$H$7)*$H$4+$C$3*($C$5*$E$5*I444*$I$7)*$H$5+$C$3*($C$5*$E$4*G444*$G$7)*$H$5</f>
        <v>5790624.5109574851</v>
      </c>
      <c r="K444" s="277">
        <f>ROUND(($C$4*$E$4*B444*$B$7+$C$4*$E$4*C444*$C$7+$C$4*$E$5*D444*$D$7+$C$4*$E$5*E444*$E$7+($C$5*$E$4*F444*$F$7+$C$5*$E$4*G444*$G$7+$C$5*$E$5*H444*$H$7+$C$5*$E$5*I444*$I$7)),2)</f>
        <v>0.66</v>
      </c>
      <c r="L444" s="276">
        <f>Scenario[[#This Row],[Total Cost]]/(Scenario[[#This Row],[Total Coverage]]*100)</f>
        <v>87736.735014507343</v>
      </c>
      <c r="M444" s="295" cm="1">
        <f t="array" ref="M444">IF(AND(K444=MAX(K$10:K444), L444=MIN(IF(K$10:K444=K444, L$10:L444))), 1, 0)</f>
        <v>0</v>
      </c>
      <c r="N444" s="295">
        <f>IF(AND(Scenario[[#This Row],[Total Coverage]]&gt;=70%,Scenario[[#This Row],[Frontier]]=1),1,0)</f>
        <v>0</v>
      </c>
    </row>
    <row r="445" spans="1:14" x14ac:dyDescent="0.25">
      <c r="A445">
        <v>20</v>
      </c>
      <c r="B445">
        <v>1</v>
      </c>
      <c r="C445">
        <v>0</v>
      </c>
      <c r="D445">
        <v>1</v>
      </c>
      <c r="E445">
        <v>0</v>
      </c>
      <c r="F445">
        <v>0.25</v>
      </c>
      <c r="G445">
        <v>0.75</v>
      </c>
      <c r="H445">
        <v>0</v>
      </c>
      <c r="I445">
        <v>1</v>
      </c>
      <c r="J445" s="272">
        <f>$C$3*($C$4*$E$4*B444*$B$7)*$G$4+$C$3*($C$4*$E$5*D445*$D$7)*$G$4+$C$3*($C$4*$E$4*C445*$C$7)*$G$5+$C$3*($C$4*$E$5*E445*$E$7)*$G$5+$C$3*($C$5*$E$4*F445*$F$7)*$H$4+$C$3*($C$5*$E$5*H445*$H$7)*$H$4+$C$3*($C$5*$E$5*I445*$I$7)*$H$5+$C$3*($C$5*$E$4*G445*$G$7)*$H$5</f>
        <v>4601243.9375358662</v>
      </c>
      <c r="K445" s="277">
        <f>ROUND(($C$4*$E$4*B445*$B$7+$C$4*$E$4*C445*$C$7+$C$4*$E$5*D445*$D$7+$C$4*$E$5*E445*$E$7+($C$5*$E$4*F445*$F$7+$C$5*$E$4*G445*$G$7+$C$5*$E$5*H445*$H$7+$C$5*$E$5*I445*$I$7)),2)</f>
        <v>0.67</v>
      </c>
      <c r="L445" s="276">
        <f>Scenario[[#This Row],[Total Cost]]/(Scenario[[#This Row],[Total Coverage]]*100)</f>
        <v>68675.282649789049</v>
      </c>
      <c r="M445" s="295" cm="1">
        <f t="array" ref="M445">IF(AND(K445=MAX(K$10:K445), L445=MIN(IF(K$10:K445=K445, L$10:L445))), 1, 0)</f>
        <v>1</v>
      </c>
      <c r="N445" s="295">
        <f>IF(AND(Scenario[[#This Row],[Total Coverage]]&gt;=70%,Scenario[[#This Row],[Frontier]]=1),1,0)</f>
        <v>0</v>
      </c>
    </row>
    <row r="446" spans="1:14" x14ac:dyDescent="0.25">
      <c r="A446">
        <v>94</v>
      </c>
      <c r="B446">
        <v>1</v>
      </c>
      <c r="C446">
        <v>0</v>
      </c>
      <c r="D446">
        <v>0.25</v>
      </c>
      <c r="E446">
        <v>0.75</v>
      </c>
      <c r="F446">
        <v>0.25</v>
      </c>
      <c r="G446">
        <v>0.75</v>
      </c>
      <c r="H446">
        <v>0.25</v>
      </c>
      <c r="I446">
        <v>0.75</v>
      </c>
      <c r="J446" s="272">
        <f>$C$3*($C$4*$E$4*B445*$B$7)*$G$4+$C$3*($C$4*$E$5*D446*$D$7)*$G$4+$C$3*($C$4*$E$4*C446*$C$7)*$G$5+$C$3*($C$4*$E$5*E446*$E$7)*$G$5+$C$3*($C$5*$E$4*F446*$F$7)*$H$4+$C$3*($C$5*$E$5*H446*$H$7)*$H$4+$C$3*($C$5*$E$5*I446*$I$7)*$H$5+$C$3*($C$5*$E$4*G446*$G$7)*$H$5</f>
        <v>5199758.5319664292</v>
      </c>
      <c r="K446" s="277">
        <f>ROUND(($C$4*$E$4*B446*$B$7+$C$4*$E$4*C446*$C$7+$C$4*$E$5*D446*$D$7+$C$4*$E$5*E446*$E$7+($C$5*$E$4*F446*$F$7+$C$5*$E$4*G446*$G$7+$C$5*$E$5*H446*$H$7+$C$5*$E$5*I446*$I$7)),2)</f>
        <v>0.67</v>
      </c>
      <c r="L446" s="276">
        <f>Scenario[[#This Row],[Total Cost]]/(Scenario[[#This Row],[Total Coverage]]*100)</f>
        <v>77608.336298006412</v>
      </c>
      <c r="M446" s="295" cm="1">
        <f t="array" ref="M446">IF(AND(K446=MAX(K$10:K446), L446=MIN(IF(K$10:K446=K446, L$10:L446))), 1, 0)</f>
        <v>0</v>
      </c>
      <c r="N446" s="295">
        <f>IF(AND(Scenario[[#This Row],[Total Coverage]]&gt;=70%,Scenario[[#This Row],[Frontier]]=1),1,0)</f>
        <v>0</v>
      </c>
    </row>
    <row r="447" spans="1:14" x14ac:dyDescent="0.25">
      <c r="A447">
        <v>23</v>
      </c>
      <c r="B447">
        <v>1</v>
      </c>
      <c r="C447">
        <v>0</v>
      </c>
      <c r="D447">
        <v>1</v>
      </c>
      <c r="E447">
        <v>0</v>
      </c>
      <c r="F447">
        <v>0</v>
      </c>
      <c r="G447">
        <v>1</v>
      </c>
      <c r="H447">
        <v>0.5</v>
      </c>
      <c r="I447">
        <v>0.5</v>
      </c>
      <c r="J447" s="272">
        <f>$C$3*($C$4*$E$4*B446*$B$7)*$G$4+$C$3*($C$4*$E$5*D447*$D$7)*$G$4+$C$3*($C$4*$E$4*C447*$C$7)*$G$5+$C$3*($C$4*$E$5*E447*$E$7)*$G$5+$C$3*($C$5*$E$4*F447*$F$7)*$H$4+$C$3*($C$5*$E$5*H447*$H$7)*$H$4+$C$3*($C$5*$E$5*I447*$I$7)*$H$5+$C$3*($C$5*$E$4*G447*$G$7)*$H$5</f>
        <v>5101625.925333946</v>
      </c>
      <c r="K447" s="277">
        <f>ROUND(($C$4*$E$4*B447*$B$7+$C$4*$E$4*C447*$C$7+$C$4*$E$5*D447*$D$7+$C$4*$E$5*E447*$E$7+($C$5*$E$4*F447*$F$7+$C$5*$E$4*G447*$G$7+$C$5*$E$5*H447*$H$7+$C$5*$E$5*I447*$I$7)),2)</f>
        <v>0.67</v>
      </c>
      <c r="L447" s="276">
        <f>Scenario[[#This Row],[Total Cost]]/(Scenario[[#This Row],[Total Coverage]]*100)</f>
        <v>76143.670527372335</v>
      </c>
      <c r="M447" s="295" cm="1">
        <f t="array" ref="M447">IF(AND(K447=MAX(K$10:K447), L447=MIN(IF(K$10:K447=K447, L$10:L447))), 1, 0)</f>
        <v>0</v>
      </c>
      <c r="N447" s="295">
        <f>IF(AND(Scenario[[#This Row],[Total Coverage]]&gt;=70%,Scenario[[#This Row],[Frontier]]=1),1,0)</f>
        <v>0</v>
      </c>
    </row>
    <row r="448" spans="1:14" x14ac:dyDescent="0.25">
      <c r="A448">
        <v>243</v>
      </c>
      <c r="B448">
        <v>0.75</v>
      </c>
      <c r="C448">
        <v>0.25</v>
      </c>
      <c r="D448">
        <v>0</v>
      </c>
      <c r="E448">
        <v>1</v>
      </c>
      <c r="F448">
        <v>0.25</v>
      </c>
      <c r="G448">
        <v>0.75</v>
      </c>
      <c r="H448">
        <v>0.5</v>
      </c>
      <c r="I448">
        <v>0.5</v>
      </c>
      <c r="J448" s="272">
        <f>$C$3*($C$4*$E$4*B447*$B$7)*$G$4+$C$3*($C$4*$E$5*D448*$D$7)*$G$4+$C$3*($C$4*$E$4*C448*$C$7)*$G$5+$C$3*($C$4*$E$5*E448*$E$7)*$G$5+$C$3*($C$5*$E$4*F448*$F$7)*$H$4+$C$3*($C$5*$E$5*H448*$H$7)*$H$4+$C$3*($C$5*$E$5*I448*$I$7)*$H$5+$C$3*($C$5*$E$4*G448*$G$7)*$H$5</f>
        <v>5497103.6753218342</v>
      </c>
      <c r="K448" s="277">
        <f>ROUND(($C$4*$E$4*B448*$B$7+$C$4*$E$4*C448*$C$7+$C$4*$E$5*D448*$D$7+$C$4*$E$5*E448*$E$7+($C$5*$E$4*F448*$F$7+$C$5*$E$4*G448*$G$7+$C$5*$E$5*H448*$H$7+$C$5*$E$5*I448*$I$7)),2)</f>
        <v>0.67</v>
      </c>
      <c r="L448" s="276">
        <f>Scenario[[#This Row],[Total Cost]]/(Scenario[[#This Row],[Total Coverage]]*100)</f>
        <v>82046.323512266186</v>
      </c>
      <c r="M448" s="295" cm="1">
        <f t="array" ref="M448">IF(AND(K448=MAX(K$10:K448), L448=MIN(IF(K$10:K448=K448, L$10:L448))), 1, 0)</f>
        <v>0</v>
      </c>
      <c r="N448" s="295">
        <f>IF(AND(Scenario[[#This Row],[Total Coverage]]&gt;=70%,Scenario[[#This Row],[Frontier]]=1),1,0)</f>
        <v>0</v>
      </c>
    </row>
    <row r="449" spans="1:14" x14ac:dyDescent="0.25">
      <c r="A449">
        <v>240</v>
      </c>
      <c r="B449">
        <v>0.75</v>
      </c>
      <c r="C449">
        <v>0.25</v>
      </c>
      <c r="D449">
        <v>0</v>
      </c>
      <c r="E449">
        <v>1</v>
      </c>
      <c r="F449">
        <v>0.5</v>
      </c>
      <c r="G449">
        <v>0.5</v>
      </c>
      <c r="H449">
        <v>0</v>
      </c>
      <c r="I449">
        <v>1</v>
      </c>
      <c r="J449" s="272">
        <f>$C$3*($C$4*$E$4*B448*$B$7)*$G$4+$C$3*($C$4*$E$5*D449*$D$7)*$G$4+$C$3*($C$4*$E$4*C449*$C$7)*$G$5+$C$3*($C$4*$E$5*E449*$E$7)*$G$5+$C$3*($C$5*$E$4*F449*$F$7)*$H$4+$C$3*($C$5*$E$5*H449*$H$7)*$H$4+$C$3*($C$5*$E$5*I449*$I$7)*$H$5+$C$3*($C$5*$E$4*G449*$G$7)*$H$5</f>
        <v>5315950.5742185013</v>
      </c>
      <c r="K449" s="277">
        <f>ROUND(($C$4*$E$4*B449*$B$7+$C$4*$E$4*C449*$C$7+$C$4*$E$5*D449*$D$7+$C$4*$E$5*E449*$E$7+($C$5*$E$4*F449*$F$7+$C$5*$E$4*G449*$G$7+$C$5*$E$5*H449*$H$7+$C$5*$E$5*I449*$I$7)),2)</f>
        <v>0.67</v>
      </c>
      <c r="L449" s="276">
        <f>Scenario[[#This Row],[Total Cost]]/(Scenario[[#This Row],[Total Coverage]]*100)</f>
        <v>79342.545883858227</v>
      </c>
      <c r="M449" s="295" cm="1">
        <f t="array" ref="M449">IF(AND(K449=MAX(K$10:K449), L449=MIN(IF(K$10:K449=K449, L$10:L449))), 1, 0)</f>
        <v>0</v>
      </c>
      <c r="N449" s="295">
        <f>IF(AND(Scenario[[#This Row],[Total Coverage]]&gt;=70%,Scenario[[#This Row],[Frontier]]=1),1,0)</f>
        <v>0</v>
      </c>
    </row>
    <row r="450" spans="1:14" x14ac:dyDescent="0.25">
      <c r="A450">
        <v>169</v>
      </c>
      <c r="B450">
        <v>0.75</v>
      </c>
      <c r="C450">
        <v>0.25</v>
      </c>
      <c r="D450">
        <v>0.75</v>
      </c>
      <c r="E450">
        <v>0.25</v>
      </c>
      <c r="F450">
        <v>0.25</v>
      </c>
      <c r="G450">
        <v>0.75</v>
      </c>
      <c r="H450">
        <v>0.25</v>
      </c>
      <c r="I450">
        <v>0.75</v>
      </c>
      <c r="J450" s="272">
        <f>$C$3*($C$4*$E$4*B449*$B$7)*$G$4+$C$3*($C$4*$E$5*D450*$D$7)*$G$4+$C$3*($C$4*$E$4*C450*$C$7)*$G$5+$C$3*($C$4*$E$5*E450*$E$7)*$G$5+$C$3*($C$5*$E$4*F450*$F$7)*$H$4+$C$3*($C$5*$E$5*H450*$H$7)*$H$4+$C$3*($C$5*$E$5*I450*$I$7)*$H$5+$C$3*($C$5*$E$4*G450*$G$7)*$H$5</f>
        <v>5217817.9675860191</v>
      </c>
      <c r="K450" s="277">
        <f>ROUND(($C$4*$E$4*B450*$B$7+$C$4*$E$4*C450*$C$7+$C$4*$E$5*D450*$D$7+$C$4*$E$5*E450*$E$7+($C$5*$E$4*F450*$F$7+$C$5*$E$4*G450*$G$7+$C$5*$E$5*H450*$H$7+$C$5*$E$5*I450*$I$7)),2)</f>
        <v>0.67</v>
      </c>
      <c r="L450" s="276">
        <f>Scenario[[#This Row],[Total Cost]]/(Scenario[[#This Row],[Total Coverage]]*100)</f>
        <v>77877.880113224164</v>
      </c>
      <c r="M450" s="295" cm="1">
        <f t="array" ref="M450">IF(AND(K450=MAX(K$10:K450), L450=MIN(IF(K$10:K450=K450, L$10:L450))), 1, 0)</f>
        <v>0</v>
      </c>
      <c r="N450" s="295">
        <f>IF(AND(Scenario[[#This Row],[Total Coverage]]&gt;=70%,Scenario[[#This Row],[Frontier]]=1),1,0)</f>
        <v>0</v>
      </c>
    </row>
    <row r="451" spans="1:14" x14ac:dyDescent="0.25">
      <c r="A451">
        <v>321</v>
      </c>
      <c r="B451">
        <v>0.5</v>
      </c>
      <c r="C451">
        <v>0.5</v>
      </c>
      <c r="D451">
        <v>0.5</v>
      </c>
      <c r="E451">
        <v>0.5</v>
      </c>
      <c r="F451">
        <v>0</v>
      </c>
      <c r="G451">
        <v>1</v>
      </c>
      <c r="H451">
        <v>1</v>
      </c>
      <c r="I451">
        <v>0</v>
      </c>
      <c r="J451" s="272">
        <f>$C$3*($C$4*$E$4*B450*$B$7)*$G$4+$C$3*($C$4*$E$5*D451*$D$7)*$G$4+$C$3*($C$4*$E$4*C451*$C$7)*$G$5+$C$3*($C$4*$E$5*E451*$E$7)*$G$5+$C$3*($C$5*$E$4*F451*$F$7)*$H$4+$C$3*($C$5*$E$5*H451*$H$7)*$H$4+$C$3*($C$5*$E$5*I451*$I$7)*$H$5+$C$3*($C$5*$E$4*G451*$G$7)*$H$5</f>
        <v>5589906.583146506</v>
      </c>
      <c r="K451" s="277">
        <f>ROUND(($C$4*$E$4*B451*$B$7+$C$4*$E$4*C451*$C$7+$C$4*$E$5*D451*$D$7+$C$4*$E$5*E451*$E$7+($C$5*$E$4*F451*$F$7+$C$5*$E$4*G451*$G$7+$C$5*$E$5*H451*$H$7+$C$5*$E$5*I451*$I$7)),2)</f>
        <v>0.67</v>
      </c>
      <c r="L451" s="276">
        <f>Scenario[[#This Row],[Total Cost]]/(Scenario[[#This Row],[Total Coverage]]*100)</f>
        <v>83431.441539500083</v>
      </c>
      <c r="M451" s="295" cm="1">
        <f t="array" ref="M451">IF(AND(K451=MAX(K$10:K451), L451=MIN(IF(K$10:K451=K451, L$10:L451))), 1, 0)</f>
        <v>0</v>
      </c>
      <c r="N451" s="295">
        <f>IF(AND(Scenario[[#This Row],[Total Coverage]]&gt;=70%,Scenario[[#This Row],[Frontier]]=1),1,0)</f>
        <v>0</v>
      </c>
    </row>
    <row r="452" spans="1:14" x14ac:dyDescent="0.25">
      <c r="A452">
        <v>172</v>
      </c>
      <c r="B452">
        <v>0.75</v>
      </c>
      <c r="C452">
        <v>0.25</v>
      </c>
      <c r="D452">
        <v>0.75</v>
      </c>
      <c r="E452">
        <v>0.25</v>
      </c>
      <c r="F452">
        <v>0</v>
      </c>
      <c r="G452">
        <v>1</v>
      </c>
      <c r="H452">
        <v>0.75</v>
      </c>
      <c r="I452">
        <v>0.25</v>
      </c>
      <c r="J452" s="272">
        <f>$C$3*($C$4*$E$4*B451*$B$7)*$G$4+$C$3*($C$4*$E$5*D452*$D$7)*$G$4+$C$3*($C$4*$E$4*C452*$C$7)*$G$5+$C$3*($C$4*$E$5*E452*$E$7)*$G$5+$C$3*($C$5*$E$4*F452*$F$7)*$H$4+$C$3*($C$5*$E$5*H452*$H$7)*$H$4+$C$3*($C$5*$E$5*I452*$I$7)*$H$5+$C$3*($C$5*$E$4*G452*$G$7)*$H$5</f>
        <v>5186151.810892852</v>
      </c>
      <c r="K452" s="277">
        <f>ROUND(($C$4*$E$4*B452*$B$7+$C$4*$E$4*C452*$C$7+$C$4*$E$5*D452*$D$7+$C$4*$E$5*E452*$E$7+($C$5*$E$4*F452*$F$7+$C$5*$E$4*G452*$G$7+$C$5*$E$5*H452*$H$7+$C$5*$E$5*I452*$I$7)),2)</f>
        <v>0.67</v>
      </c>
      <c r="L452" s="276">
        <f>Scenario[[#This Row],[Total Cost]]/(Scenario[[#This Row],[Total Coverage]]*100)</f>
        <v>77405.250908848539</v>
      </c>
      <c r="M452" s="295" cm="1">
        <f t="array" ref="M452">IF(AND(K452=MAX(K$10:K452), L452=MIN(IF(K$10:K452=K452, L$10:L452))), 1, 0)</f>
        <v>0</v>
      </c>
      <c r="N452" s="295">
        <f>IF(AND(Scenario[[#This Row],[Total Coverage]]&gt;=70%,Scenario[[#This Row],[Frontier]]=1),1,0)</f>
        <v>0</v>
      </c>
    </row>
    <row r="453" spans="1:14" x14ac:dyDescent="0.25">
      <c r="A453">
        <v>318</v>
      </c>
      <c r="B453">
        <v>0.5</v>
      </c>
      <c r="C453">
        <v>0.5</v>
      </c>
      <c r="D453">
        <v>0.5</v>
      </c>
      <c r="E453">
        <v>0.5</v>
      </c>
      <c r="F453">
        <v>0.25</v>
      </c>
      <c r="G453">
        <v>0.75</v>
      </c>
      <c r="H453">
        <v>0.5</v>
      </c>
      <c r="I453">
        <v>0.5</v>
      </c>
      <c r="J453" s="272">
        <f>$C$3*($C$4*$E$4*B452*$B$7)*$G$4+$C$3*($C$4*$E$5*D453*$D$7)*$G$4+$C$3*($C$4*$E$4*C453*$C$7)*$G$5+$C$3*($C$4*$E$5*E453*$E$7)*$G$5+$C$3*($C$5*$E$4*F453*$F$7)*$H$4+$C$3*($C$5*$E$5*H453*$H$7)*$H$4+$C$3*($C$5*$E$5*I453*$I$7)*$H$5+$C$3*($C$5*$E$4*G453*$G$7)*$H$5</f>
        <v>5515163.110941424</v>
      </c>
      <c r="K453" s="277">
        <f>ROUND(($C$4*$E$4*B453*$B$7+$C$4*$E$4*C453*$C$7+$C$4*$E$5*D453*$D$7+$C$4*$E$5*E453*$E$7+($C$5*$E$4*F453*$F$7+$C$5*$E$4*G453*$G$7+$C$5*$E$5*H453*$H$7+$C$5*$E$5*I453*$I$7)),2)</f>
        <v>0.67</v>
      </c>
      <c r="L453" s="276">
        <f>Scenario[[#This Row],[Total Cost]]/(Scenario[[#This Row],[Total Coverage]]*100)</f>
        <v>82315.867327483938</v>
      </c>
      <c r="M453" s="295" cm="1">
        <f t="array" ref="M453">IF(AND(K453=MAX(K$10:K453), L453=MIN(IF(K$10:K453=K453, L$10:L453))), 1, 0)</f>
        <v>0</v>
      </c>
      <c r="N453" s="295">
        <f>IF(AND(Scenario[[#This Row],[Total Coverage]]&gt;=70%,Scenario[[#This Row],[Frontier]]=1),1,0)</f>
        <v>0</v>
      </c>
    </row>
    <row r="454" spans="1:14" x14ac:dyDescent="0.25">
      <c r="A454">
        <v>467</v>
      </c>
      <c r="B454">
        <v>0.25</v>
      </c>
      <c r="C454">
        <v>0.75</v>
      </c>
      <c r="D454">
        <v>0.25</v>
      </c>
      <c r="E454">
        <v>0.75</v>
      </c>
      <c r="F454">
        <v>0.25</v>
      </c>
      <c r="G454">
        <v>0.75</v>
      </c>
      <c r="H454">
        <v>0.75</v>
      </c>
      <c r="I454">
        <v>0.25</v>
      </c>
      <c r="J454" s="272">
        <f>$C$3*($C$4*$E$4*B453*$B$7)*$G$4+$C$3*($C$4*$E$5*D454*$D$7)*$G$4+$C$3*($C$4*$E$4*C454*$C$7)*$G$5+$C$3*($C$4*$E$5*E454*$E$7)*$G$5+$C$3*($C$5*$E$4*F454*$F$7)*$H$4+$C$3*($C$5*$E$5*H454*$H$7)*$H$4+$C$3*($C$5*$E$5*I454*$I$7)*$H$5+$C$3*($C$5*$E$4*G454*$G$7)*$H$5</f>
        <v>5706098.62539858</v>
      </c>
      <c r="K454" s="277">
        <f>ROUND(($C$4*$E$4*B454*$B$7+$C$4*$E$4*C454*$C$7+$C$4*$E$5*D454*$D$7+$C$4*$E$5*E454*$E$7+($C$5*$E$4*F454*$F$7+$C$5*$E$4*G454*$G$7+$C$5*$E$5*H454*$H$7+$C$5*$E$5*I454*$I$7)),2)</f>
        <v>0.67</v>
      </c>
      <c r="L454" s="276">
        <f>Scenario[[#This Row],[Total Cost]]/(Scenario[[#This Row],[Total Coverage]]*100)</f>
        <v>85165.651125351942</v>
      </c>
      <c r="M454" s="295" cm="1">
        <f t="array" ref="M454">IF(AND(K454=MAX(K$10:K454), L454=MIN(IF(K$10:K454=K454, L$10:L454))), 1, 0)</f>
        <v>0</v>
      </c>
      <c r="N454" s="295">
        <f>IF(AND(Scenario[[#This Row],[Total Coverage]]&gt;=70%,Scenario[[#This Row],[Frontier]]=1),1,0)</f>
        <v>0</v>
      </c>
    </row>
    <row r="455" spans="1:14" x14ac:dyDescent="0.25">
      <c r="A455">
        <v>396</v>
      </c>
      <c r="B455">
        <v>0.25</v>
      </c>
      <c r="C455">
        <v>0.75</v>
      </c>
      <c r="D455">
        <v>1</v>
      </c>
      <c r="E455">
        <v>0</v>
      </c>
      <c r="F455">
        <v>0</v>
      </c>
      <c r="G455">
        <v>1</v>
      </c>
      <c r="H455">
        <v>1</v>
      </c>
      <c r="I455">
        <v>0</v>
      </c>
      <c r="J455" s="272">
        <f>$C$3*($C$4*$E$4*B454*$B$7)*$G$4+$C$3*($C$4*$E$5*D455*$D$7)*$G$4+$C$3*($C$4*$E$4*C455*$C$7)*$G$5+$C$3*($C$4*$E$5*E455*$E$7)*$G$5+$C$3*($C$5*$E$4*F455*$F$7)*$H$4+$C$3*($C$5*$E$5*H455*$H$7)*$H$4+$C$3*($C$5*$E$5*I455*$I$7)*$H$5+$C$3*($C$5*$E$4*G455*$G$7)*$H$5</f>
        <v>5501556.3898678469</v>
      </c>
      <c r="K455" s="277">
        <f>ROUND(($C$4*$E$4*B455*$B$7+$C$4*$E$4*C455*$C$7+$C$4*$E$5*D455*$D$7+$C$4*$E$5*E455*$E$7+($C$5*$E$4*F455*$F$7+$C$5*$E$4*G455*$G$7+$C$5*$E$5*H455*$H$7+$C$5*$E$5*I455*$I$7)),2)</f>
        <v>0.67</v>
      </c>
      <c r="L455" s="276">
        <f>Scenario[[#This Row],[Total Cost]]/(Scenario[[#This Row],[Total Coverage]]*100)</f>
        <v>82112.781938326079</v>
      </c>
      <c r="M455" s="295" cm="1">
        <f t="array" ref="M455">IF(AND(K455=MAX(K$10:K455), L455=MIN(IF(K$10:K455=K455, L$10:L455))), 1, 0)</f>
        <v>0</v>
      </c>
      <c r="N455" s="295">
        <f>IF(AND(Scenario[[#This Row],[Total Coverage]]&gt;=70%,Scenario[[#This Row],[Frontier]]=1),1,0)</f>
        <v>0</v>
      </c>
    </row>
    <row r="456" spans="1:14" x14ac:dyDescent="0.25">
      <c r="A456">
        <v>415</v>
      </c>
      <c r="B456">
        <v>0.25</v>
      </c>
      <c r="C456">
        <v>0.75</v>
      </c>
      <c r="D456">
        <v>0.75</v>
      </c>
      <c r="E456">
        <v>0.25</v>
      </c>
      <c r="F456">
        <v>0.5</v>
      </c>
      <c r="G456">
        <v>0.5</v>
      </c>
      <c r="H456">
        <v>0</v>
      </c>
      <c r="I456">
        <v>1</v>
      </c>
      <c r="J456" s="272">
        <f>$C$3*($C$4*$E$4*B455*$B$7)*$G$4+$C$3*($C$4*$E$5*D456*$D$7)*$G$4+$C$3*($C$4*$E$4*C456*$C$7)*$G$5+$C$3*($C$4*$E$5*E456*$E$7)*$G$5+$C$3*($C$5*$E$4*F456*$F$7)*$H$4+$C$3*($C$5*$E$5*H456*$H$7)*$H$4+$C$3*($C$5*$E$5*I456*$I$7)*$H$5+$C$3*($C$5*$E$4*G456*$G$7)*$H$5</f>
        <v>5536345.7651485894</v>
      </c>
      <c r="K456" s="277">
        <f>ROUND(($C$4*$E$4*B456*$B$7+$C$4*$E$4*C456*$C$7+$C$4*$E$5*D456*$D$7+$C$4*$E$5*E456*$E$7+($C$5*$E$4*F456*$F$7+$C$5*$E$4*G456*$G$7+$C$5*$E$5*H456*$H$7+$C$5*$E$5*I456*$I$7)),2)</f>
        <v>0.67</v>
      </c>
      <c r="L456" s="276">
        <f>Scenario[[#This Row],[Total Cost]]/(Scenario[[#This Row],[Total Coverage]]*100)</f>
        <v>82632.026345501334</v>
      </c>
      <c r="M456" s="295" cm="1">
        <f t="array" ref="M456">IF(AND(K456=MAX(K$10:K456), L456=MIN(IF(K$10:K456=K456, L$10:L456))), 1, 0)</f>
        <v>0</v>
      </c>
      <c r="N456" s="295">
        <f>IF(AND(Scenario[[#This Row],[Total Coverage]]&gt;=70%,Scenario[[#This Row],[Frontier]]=1),1,0)</f>
        <v>0</v>
      </c>
    </row>
    <row r="457" spans="1:14" x14ac:dyDescent="0.25">
      <c r="A457">
        <v>564</v>
      </c>
      <c r="B457">
        <v>0</v>
      </c>
      <c r="C457">
        <v>1</v>
      </c>
      <c r="D457">
        <v>0.5</v>
      </c>
      <c r="E457">
        <v>0.5</v>
      </c>
      <c r="F457">
        <v>0.5</v>
      </c>
      <c r="G457">
        <v>0.5</v>
      </c>
      <c r="H457">
        <v>0.25</v>
      </c>
      <c r="I457">
        <v>0.75</v>
      </c>
      <c r="J457" s="272">
        <f>$C$3*($C$4*$E$4*B456*$B$7)*$G$4+$C$3*($C$4*$E$5*D457*$D$7)*$G$4+$C$3*($C$4*$E$4*C457*$C$7)*$G$5+$C$3*($C$4*$E$5*E457*$E$7)*$G$5+$C$3*($C$5*$E$4*F457*$F$7)*$H$4+$C$3*($C$5*$E$5*H457*$H$7)*$H$4+$C$3*($C$5*$E$5*I457*$I$7)*$H$5+$C$3*($C$5*$E$4*G457*$G$7)*$H$5</f>
        <v>5833690.9085039934</v>
      </c>
      <c r="K457" s="277">
        <f>ROUND(($C$4*$E$4*B457*$B$7+$C$4*$E$4*C457*$C$7+$C$4*$E$5*D457*$D$7+$C$4*$E$5*E457*$E$7+($C$5*$E$4*F457*$F$7+$C$5*$E$4*G457*$G$7+$C$5*$E$5*H457*$H$7+$C$5*$E$5*I457*$I$7)),2)</f>
        <v>0.67</v>
      </c>
      <c r="L457" s="276">
        <f>Scenario[[#This Row],[Total Cost]]/(Scenario[[#This Row],[Total Coverage]]*100)</f>
        <v>87070.013559761093</v>
      </c>
      <c r="M457" s="295" cm="1">
        <f t="array" ref="M457">IF(AND(K457=MAX(K$10:K457), L457=MIN(IF(K$10:K457=K457, L$10:L457))), 1, 0)</f>
        <v>0</v>
      </c>
      <c r="N457" s="295">
        <f>IF(AND(Scenario[[#This Row],[Total Coverage]]&gt;=70%,Scenario[[#This Row],[Frontier]]=1),1,0)</f>
        <v>0</v>
      </c>
    </row>
    <row r="458" spans="1:14" x14ac:dyDescent="0.25">
      <c r="A458">
        <v>567</v>
      </c>
      <c r="B458">
        <v>0</v>
      </c>
      <c r="C458">
        <v>1</v>
      </c>
      <c r="D458">
        <v>0.5</v>
      </c>
      <c r="E458">
        <v>0.5</v>
      </c>
      <c r="F458">
        <v>0.25</v>
      </c>
      <c r="G458">
        <v>0.75</v>
      </c>
      <c r="H458">
        <v>0.75</v>
      </c>
      <c r="I458">
        <v>0.25</v>
      </c>
      <c r="J458" s="272">
        <f>$C$3*($C$4*$E$4*B457*$B$7)*$G$4+$C$3*($C$4*$E$5*D458*$D$7)*$G$4+$C$3*($C$4*$E$4*C458*$C$7)*$G$5+$C$3*($C$4*$E$5*E458*$E$7)*$G$5+$C$3*($C$5*$E$4*F458*$F$7)*$H$4+$C$3*($C$5*$E$5*H458*$H$7)*$H$4+$C$3*($C$5*$E$5*I458*$I$7)*$H$5+$C$3*($C$5*$E$4*G458*$G$7)*$H$5</f>
        <v>5802024.7518108282</v>
      </c>
      <c r="K458" s="277">
        <f>ROUND(($C$4*$E$4*B458*$B$7+$C$4*$E$4*C458*$C$7+$C$4*$E$5*D458*$D$7+$C$4*$E$5*E458*$E$7+($C$5*$E$4*F458*$F$7+$C$5*$E$4*G458*$G$7+$C$5*$E$5*H458*$H$7+$C$5*$E$5*I458*$I$7)),2)</f>
        <v>0.67</v>
      </c>
      <c r="L458" s="276">
        <f>Scenario[[#This Row],[Total Cost]]/(Scenario[[#This Row],[Total Coverage]]*100)</f>
        <v>86597.384355385497</v>
      </c>
      <c r="M458" s="295" cm="1">
        <f t="array" ref="M458">IF(AND(K458=MAX(K$10:K458), L458=MIN(IF(K$10:K458=K458, L$10:L458))), 1, 0)</f>
        <v>0</v>
      </c>
      <c r="N458" s="295">
        <f>IF(AND(Scenario[[#This Row],[Total Coverage]]&gt;=70%,Scenario[[#This Row],[Frontier]]=1),1,0)</f>
        <v>0</v>
      </c>
    </row>
    <row r="459" spans="1:14" x14ac:dyDescent="0.25">
      <c r="A459">
        <v>97</v>
      </c>
      <c r="B459">
        <v>1</v>
      </c>
      <c r="C459">
        <v>0</v>
      </c>
      <c r="D459">
        <v>0.25</v>
      </c>
      <c r="E459">
        <v>0.75</v>
      </c>
      <c r="F459">
        <v>0</v>
      </c>
      <c r="G459">
        <v>1</v>
      </c>
      <c r="H459">
        <v>0.75</v>
      </c>
      <c r="I459">
        <v>0.25</v>
      </c>
      <c r="J459" s="272">
        <f>$C$3*($C$4*$E$4*B458*$B$7)*$G$4+$C$3*($C$4*$E$5*D459*$D$7)*$G$4+$C$3*($C$4*$E$4*C459*$C$7)*$G$5+$C$3*($C$4*$E$5*E459*$E$7)*$G$5+$C$3*($C$5*$E$4*F459*$F$7)*$H$4+$C$3*($C$5*$E$5*H459*$H$7)*$H$4+$C$3*($C$5*$E$5*I459*$I$7)*$H$5+$C$3*($C$5*$E$4*G459*$G$7)*$H$5</f>
        <v>4848863.4885785133</v>
      </c>
      <c r="K459" s="277">
        <f>ROUND(($C$4*$E$4*B459*$B$7+$C$4*$E$4*C459*$C$7+$C$4*$E$5*D459*$D$7+$C$4*$E$5*E459*$E$7+($C$5*$E$4*F459*$F$7+$C$5*$E$4*G459*$G$7+$C$5*$E$5*H459*$H$7+$C$5*$E$5*I459*$I$7)),2)</f>
        <v>0.68</v>
      </c>
      <c r="L459" s="276">
        <f>Scenario[[#This Row],[Total Cost]]/(Scenario[[#This Row],[Total Coverage]]*100)</f>
        <v>71306.816008507551</v>
      </c>
      <c r="M459" s="295" cm="1">
        <f t="array" ref="M459">IF(AND(K459=MAX(K$10:K459), L459=MIN(IF(K$10:K459=K459, L$10:L459))), 1, 0)</f>
        <v>1</v>
      </c>
      <c r="N459" s="295">
        <f>IF(AND(Scenario[[#This Row],[Total Coverage]]&gt;=70%,Scenario[[#This Row],[Frontier]]=1),1,0)</f>
        <v>0</v>
      </c>
    </row>
    <row r="460" spans="1:14" x14ac:dyDescent="0.25">
      <c r="A460">
        <v>45</v>
      </c>
      <c r="B460">
        <v>1</v>
      </c>
      <c r="C460">
        <v>0</v>
      </c>
      <c r="D460">
        <v>0.75</v>
      </c>
      <c r="E460">
        <v>0.25</v>
      </c>
      <c r="F460">
        <v>0.25</v>
      </c>
      <c r="G460">
        <v>0.75</v>
      </c>
      <c r="H460">
        <v>0</v>
      </c>
      <c r="I460">
        <v>1</v>
      </c>
      <c r="J460" s="272">
        <f>$C$3*($C$4*$E$4*B459*$B$7)*$G$4+$C$3*($C$4*$E$5*D460*$D$7)*$G$4+$C$3*($C$4*$E$4*C460*$C$7)*$G$5+$C$3*($C$4*$E$5*E460*$E$7)*$G$5+$C$3*($C$5*$E$4*F460*$F$7)*$H$4+$C$3*($C$5*$E$5*H460*$H$7)*$H$4+$C$3*($C$5*$E$5*I460*$I$7)*$H$5+$C$3*($C$5*$E$4*G460*$G$7)*$H$5</f>
        <v>5211158.7728197724</v>
      </c>
      <c r="K460" s="277">
        <f>ROUND(($C$4*$E$4*B460*$B$7+$C$4*$E$4*C460*$C$7+$C$4*$E$5*D460*$D$7+$C$4*$E$5*E460*$E$7+($C$5*$E$4*F460*$F$7+$C$5*$E$4*G460*$G$7+$C$5*$E$5*H460*$H$7+$C$5*$E$5*I460*$I$7)),2)</f>
        <v>0.68</v>
      </c>
      <c r="L460" s="276">
        <f>Scenario[[#This Row],[Total Cost]]/(Scenario[[#This Row],[Total Coverage]]*100)</f>
        <v>76634.687835584889</v>
      </c>
      <c r="M460" s="295" cm="1">
        <f t="array" ref="M460">IF(AND(K460=MAX(K$10:K460), L460=MIN(IF(K$10:K460=K460, L$10:L460))), 1, 0)</f>
        <v>0</v>
      </c>
      <c r="N460" s="295">
        <f>IF(AND(Scenario[[#This Row],[Total Coverage]]&gt;=70%,Scenario[[#This Row],[Frontier]]=1),1,0)</f>
        <v>0</v>
      </c>
    </row>
    <row r="461" spans="1:14" x14ac:dyDescent="0.25">
      <c r="A461">
        <v>246</v>
      </c>
      <c r="B461">
        <v>0.75</v>
      </c>
      <c r="C461">
        <v>0.25</v>
      </c>
      <c r="D461">
        <v>0</v>
      </c>
      <c r="E461">
        <v>1</v>
      </c>
      <c r="F461">
        <v>0</v>
      </c>
      <c r="G461">
        <v>1</v>
      </c>
      <c r="H461">
        <v>1</v>
      </c>
      <c r="I461">
        <v>0</v>
      </c>
      <c r="J461" s="272">
        <f>$C$3*($C$4*$E$4*B460*$B$7)*$G$4+$C$3*($C$4*$E$5*D461*$D$7)*$G$4+$C$3*($C$4*$E$4*C461*$C$7)*$G$5+$C$3*($C$4*$E$5*E461*$E$7)*$G$5+$C$3*($C$5*$E$4*F461*$F$7)*$H$4+$C$3*($C$5*$E$5*H461*$H$7)*$H$4+$C$3*($C$5*$E$5*I461*$I$7)*$H$5+$C$3*($C$5*$E$4*G461*$G$7)*$H$5</f>
        <v>5571847.1475269161</v>
      </c>
      <c r="K461" s="277">
        <f>ROUND(($C$4*$E$4*B461*$B$7+$C$4*$E$4*C461*$C$7+$C$4*$E$5*D461*$D$7+$C$4*$E$5*E461*$E$7+($C$5*$E$4*F461*$F$7+$C$5*$E$4*G461*$G$7+$C$5*$E$5*H461*$H$7+$C$5*$E$5*I461*$I$7)),2)</f>
        <v>0.68</v>
      </c>
      <c r="L461" s="276">
        <f>Scenario[[#This Row],[Total Cost]]/(Scenario[[#This Row],[Total Coverage]]*100)</f>
        <v>81938.928640101702</v>
      </c>
      <c r="M461" s="295" cm="1">
        <f t="array" ref="M461">IF(AND(K461=MAX(K$10:K461), L461=MIN(IF(K$10:K461=K461, L$10:L461))), 1, 0)</f>
        <v>0</v>
      </c>
      <c r="N461" s="295">
        <f>IF(AND(Scenario[[#This Row],[Total Coverage]]&gt;=70%,Scenario[[#This Row],[Frontier]]=1),1,0)</f>
        <v>0</v>
      </c>
    </row>
    <row r="462" spans="1:14" x14ac:dyDescent="0.25">
      <c r="A462">
        <v>194</v>
      </c>
      <c r="B462">
        <v>0.75</v>
      </c>
      <c r="C462">
        <v>0.25</v>
      </c>
      <c r="D462">
        <v>0.5</v>
      </c>
      <c r="E462">
        <v>0.5</v>
      </c>
      <c r="F462">
        <v>0.25</v>
      </c>
      <c r="G462">
        <v>0.75</v>
      </c>
      <c r="H462">
        <v>0.25</v>
      </c>
      <c r="I462">
        <v>0.75</v>
      </c>
      <c r="J462" s="272">
        <f>$C$3*($C$4*$E$4*B461*$B$7)*$G$4+$C$3*($C$4*$E$5*D462*$D$7)*$G$4+$C$3*($C$4*$E$4*C462*$C$7)*$G$5+$C$3*($C$4*$E$5*E462*$E$7)*$G$5+$C$3*($C$5*$E$4*F462*$F$7)*$H$4+$C$3*($C$5*$E$5*H462*$H$7)*$H$4+$C$3*($C$5*$E$5*I462*$I$7)*$H$5+$C$3*($C$5*$E$4*G462*$G$7)*$H$5</f>
        <v>5402094.2872769274</v>
      </c>
      <c r="K462" s="277">
        <f>ROUND(($C$4*$E$4*B462*$B$7+$C$4*$E$4*C462*$C$7+$C$4*$E$5*D462*$D$7+$C$4*$E$5*E462*$E$7+($C$5*$E$4*F462*$F$7+$C$5*$E$4*G462*$G$7+$C$5*$E$5*H462*$H$7+$C$5*$E$5*I462*$I$7)),2)</f>
        <v>0.68</v>
      </c>
      <c r="L462" s="276">
        <f>Scenario[[#This Row],[Total Cost]]/(Scenario[[#This Row],[Total Coverage]]*100)</f>
        <v>79442.563048190103</v>
      </c>
      <c r="M462" s="295" cm="1">
        <f t="array" ref="M462">IF(AND(K462=MAX(K$10:K462), L462=MIN(IF(K$10:K462=K462, L$10:L462))), 1, 0)</f>
        <v>0</v>
      </c>
      <c r="N462" s="295">
        <f>IF(AND(Scenario[[#This Row],[Total Coverage]]&gt;=70%,Scenario[[#This Row],[Frontier]]=1),1,0)</f>
        <v>0</v>
      </c>
    </row>
    <row r="463" spans="1:14" x14ac:dyDescent="0.25">
      <c r="A463">
        <v>343</v>
      </c>
      <c r="B463">
        <v>0.5</v>
      </c>
      <c r="C463">
        <v>0.5</v>
      </c>
      <c r="D463">
        <v>0.25</v>
      </c>
      <c r="E463">
        <v>0.75</v>
      </c>
      <c r="F463">
        <v>0.25</v>
      </c>
      <c r="G463">
        <v>0.75</v>
      </c>
      <c r="H463">
        <v>0.5</v>
      </c>
      <c r="I463">
        <v>0.5</v>
      </c>
      <c r="J463" s="272">
        <f>$C$3*($C$4*$E$4*B462*$B$7)*$G$4+$C$3*($C$4*$E$5*D463*$D$7)*$G$4+$C$3*($C$4*$E$4*C463*$C$7)*$G$5+$C$3*($C$4*$E$5*E463*$E$7)*$G$5+$C$3*($C$5*$E$4*F463*$F$7)*$H$4+$C$3*($C$5*$E$5*H463*$H$7)*$H$4+$C$3*($C$5*$E$5*I463*$I$7)*$H$5+$C$3*($C$5*$E$4*G463*$G$7)*$H$5</f>
        <v>5699439.4306323323</v>
      </c>
      <c r="K463" s="277">
        <f>ROUND(($C$4*$E$4*B463*$B$7+$C$4*$E$4*C463*$C$7+$C$4*$E$5*D463*$D$7+$C$4*$E$5*E463*$E$7+($C$5*$E$4*F463*$F$7+$C$5*$E$4*G463*$G$7+$C$5*$E$5*H463*$H$7+$C$5*$E$5*I463*$I$7)),2)</f>
        <v>0.68</v>
      </c>
      <c r="L463" s="276">
        <f>Scenario[[#This Row],[Total Cost]]/(Scenario[[#This Row],[Total Coverage]]*100)</f>
        <v>83815.285744593129</v>
      </c>
      <c r="M463" s="295" cm="1">
        <f t="array" ref="M463">IF(AND(K463=MAX(K$10:K463), L463=MIN(IF(K$10:K463=K463, L$10:L463))), 1, 0)</f>
        <v>0</v>
      </c>
      <c r="N463" s="295">
        <f>IF(AND(Scenario[[#This Row],[Total Coverage]]&gt;=70%,Scenario[[#This Row],[Frontier]]=1),1,0)</f>
        <v>0</v>
      </c>
    </row>
    <row r="464" spans="1:14" x14ac:dyDescent="0.25">
      <c r="A464">
        <v>269</v>
      </c>
      <c r="B464">
        <v>0.5</v>
      </c>
      <c r="C464">
        <v>0.5</v>
      </c>
      <c r="D464">
        <v>1</v>
      </c>
      <c r="E464">
        <v>0</v>
      </c>
      <c r="F464">
        <v>0.25</v>
      </c>
      <c r="G464">
        <v>0.75</v>
      </c>
      <c r="H464">
        <v>0.25</v>
      </c>
      <c r="I464">
        <v>0.75</v>
      </c>
      <c r="J464" s="272">
        <f>$C$3*($C$4*$E$4*B463*$B$7)*$G$4+$C$3*($C$4*$E$5*D464*$D$7)*$G$4+$C$3*($C$4*$E$4*C464*$C$7)*$G$5+$C$3*($C$4*$E$5*E464*$E$7)*$G$5+$C$3*($C$5*$E$4*F464*$F$7)*$H$4+$C$3*($C$5*$E$5*H464*$H$7)*$H$4+$C$3*($C$5*$E$5*I464*$I$7)*$H$5+$C$3*($C$5*$E$4*G464*$G$7)*$H$5</f>
        <v>5420153.7228965173</v>
      </c>
      <c r="K464" s="277">
        <f>ROUND(($C$4*$E$4*B464*$B$7+$C$4*$E$4*C464*$C$7+$C$4*$E$5*D464*$D$7+$C$4*$E$5*E464*$E$7+($C$5*$E$4*F464*$F$7+$C$5*$E$4*G464*$G$7+$C$5*$E$5*H464*$H$7+$C$5*$E$5*I464*$I$7)),2)</f>
        <v>0.68</v>
      </c>
      <c r="L464" s="276">
        <f>Scenario[[#This Row],[Total Cost]]/(Scenario[[#This Row],[Total Coverage]]*100)</f>
        <v>79708.142983772312</v>
      </c>
      <c r="M464" s="295" cm="1">
        <f t="array" ref="M464">IF(AND(K464=MAX(K$10:K464), L464=MIN(IF(K$10:K464=K464, L$10:L464))), 1, 0)</f>
        <v>0</v>
      </c>
      <c r="N464" s="295">
        <f>IF(AND(Scenario[[#This Row],[Total Coverage]]&gt;=70%,Scenario[[#This Row],[Frontier]]=1),1,0)</f>
        <v>0</v>
      </c>
    </row>
    <row r="465" spans="1:14" x14ac:dyDescent="0.25">
      <c r="A465">
        <v>346</v>
      </c>
      <c r="B465">
        <v>0.5</v>
      </c>
      <c r="C465">
        <v>0.5</v>
      </c>
      <c r="D465">
        <v>0.25</v>
      </c>
      <c r="E465">
        <v>0.75</v>
      </c>
      <c r="F465">
        <v>0</v>
      </c>
      <c r="G465">
        <v>1</v>
      </c>
      <c r="H465">
        <v>1</v>
      </c>
      <c r="I465">
        <v>0</v>
      </c>
      <c r="J465" s="272">
        <f>$C$3*($C$4*$E$4*B464*$B$7)*$G$4+$C$3*($C$4*$E$5*D465*$D$7)*$G$4+$C$3*($C$4*$E$4*C465*$C$7)*$G$5+$C$3*($C$4*$E$5*E465*$E$7)*$G$5+$C$3*($C$5*$E$4*F465*$F$7)*$H$4+$C$3*($C$5*$E$5*H465*$H$7)*$H$4+$C$3*($C$5*$E$5*I465*$I$7)*$H$5+$C$3*($C$5*$E$4*G465*$G$7)*$H$5</f>
        <v>5667773.2739391653</v>
      </c>
      <c r="K465" s="277">
        <f>ROUND(($C$4*$E$4*B465*$B$7+$C$4*$E$4*C465*$C$7+$C$4*$E$5*D465*$D$7+$C$4*$E$5*E465*$E$7+($C$5*$E$4*F465*$F$7+$C$5*$E$4*G465*$G$7+$C$5*$E$5*H465*$H$7+$C$5*$E$5*I465*$I$7)),2)</f>
        <v>0.68</v>
      </c>
      <c r="L465" s="276">
        <f>Scenario[[#This Row],[Total Cost]]/(Scenario[[#This Row],[Total Coverage]]*100)</f>
        <v>83349.606969693603</v>
      </c>
      <c r="M465" s="295" cm="1">
        <f t="array" ref="M465">IF(AND(K465=MAX(K$10:K465), L465=MIN(IF(K$10:K465=K465, L$10:L465))), 1, 0)</f>
        <v>0</v>
      </c>
      <c r="N465" s="295">
        <f>IF(AND(Scenario[[#This Row],[Total Coverage]]&gt;=70%,Scenario[[#This Row],[Frontier]]=1),1,0)</f>
        <v>0</v>
      </c>
    </row>
    <row r="466" spans="1:14" x14ac:dyDescent="0.25">
      <c r="A466">
        <v>272</v>
      </c>
      <c r="B466">
        <v>0.5</v>
      </c>
      <c r="C466">
        <v>0.5</v>
      </c>
      <c r="D466">
        <v>1</v>
      </c>
      <c r="E466">
        <v>0</v>
      </c>
      <c r="F466">
        <v>0</v>
      </c>
      <c r="G466">
        <v>1</v>
      </c>
      <c r="H466">
        <v>0.75</v>
      </c>
      <c r="I466">
        <v>0.25</v>
      </c>
      <c r="J466" s="272">
        <f>$C$3*($C$4*$E$4*B465*$B$7)*$G$4+$C$3*($C$4*$E$5*D466*$D$7)*$G$4+$C$3*($C$4*$E$4*C466*$C$7)*$G$5+$C$3*($C$4*$E$5*E466*$E$7)*$G$5+$C$3*($C$5*$E$4*F466*$F$7)*$H$4+$C$3*($C$5*$E$5*H466*$H$7)*$H$4+$C$3*($C$5*$E$5*I466*$I$7)*$H$5+$C$3*($C$5*$E$4*G466*$G$7)*$H$5</f>
        <v>5494897.1951016001</v>
      </c>
      <c r="K466" s="277">
        <f>ROUND(($C$4*$E$4*B466*$B$7+$C$4*$E$4*C466*$C$7+$C$4*$E$5*D466*$D$7+$C$4*$E$5*E466*$E$7+($C$5*$E$4*F466*$F$7+$C$5*$E$4*G466*$G$7+$C$5*$E$5*H466*$H$7+$C$5*$E$5*I466*$I$7)),2)</f>
        <v>0.68</v>
      </c>
      <c r="L466" s="276">
        <f>Scenario[[#This Row],[Total Cost]]/(Scenario[[#This Row],[Total Coverage]]*100)</f>
        <v>80807.311692670584</v>
      </c>
      <c r="M466" s="295" cm="1">
        <f t="array" ref="M466">IF(AND(K466=MAX(K$10:K466), L466=MIN(IF(K$10:K466=K466, L$10:L466))), 1, 0)</f>
        <v>0</v>
      </c>
      <c r="N466" s="295">
        <f>IF(AND(Scenario[[#This Row],[Total Coverage]]&gt;=70%,Scenario[[#This Row],[Frontier]]=1),1,0)</f>
        <v>0</v>
      </c>
    </row>
    <row r="467" spans="1:14" x14ac:dyDescent="0.25">
      <c r="A467">
        <v>489</v>
      </c>
      <c r="B467">
        <v>0.25</v>
      </c>
      <c r="C467">
        <v>0.75</v>
      </c>
      <c r="D467">
        <v>0</v>
      </c>
      <c r="E467">
        <v>1</v>
      </c>
      <c r="F467">
        <v>0.5</v>
      </c>
      <c r="G467">
        <v>0.5</v>
      </c>
      <c r="H467">
        <v>0.25</v>
      </c>
      <c r="I467">
        <v>0.75</v>
      </c>
      <c r="J467" s="272">
        <f>$C$3*($C$4*$E$4*B466*$B$7)*$G$4+$C$3*($C$4*$E$5*D467*$D$7)*$G$4+$C$3*($C$4*$E$4*C467*$C$7)*$G$5+$C$3*($C$4*$E$5*E467*$E$7)*$G$5+$C$3*($C$5*$E$4*F467*$F$7)*$H$4+$C$3*($C$5*$E$5*H467*$H$7)*$H$4+$C$3*($C$5*$E$5*I467*$I$7)*$H$5+$C$3*($C$5*$E$4*G467*$G$7)*$H$5</f>
        <v>5815631.4728844035</v>
      </c>
      <c r="K467" s="277">
        <f>ROUND(($C$4*$E$4*B467*$B$7+$C$4*$E$4*C467*$C$7+$C$4*$E$5*D467*$D$7+$C$4*$E$5*E467*$E$7+($C$5*$E$4*F467*$F$7+$C$5*$E$4*G467*$G$7+$C$5*$E$5*H467*$H$7+$C$5*$E$5*I467*$I$7)),2)</f>
        <v>0.68</v>
      </c>
      <c r="L467" s="276">
        <f>Scenario[[#This Row],[Total Cost]]/(Scenario[[#This Row],[Total Coverage]]*100)</f>
        <v>85523.992248300056</v>
      </c>
      <c r="M467" s="295" cm="1">
        <f t="array" ref="M467">IF(AND(K467=MAX(K$10:K467), L467=MIN(IF(K$10:K467=K467, L$10:L467))), 1, 0)</f>
        <v>0</v>
      </c>
      <c r="N467" s="295">
        <f>IF(AND(Scenario[[#This Row],[Total Coverage]]&gt;=70%,Scenario[[#This Row],[Frontier]]=1),1,0)</f>
        <v>0</v>
      </c>
    </row>
    <row r="468" spans="1:14" x14ac:dyDescent="0.25">
      <c r="A468">
        <v>418</v>
      </c>
      <c r="B468">
        <v>0.25</v>
      </c>
      <c r="C468">
        <v>0.75</v>
      </c>
      <c r="D468">
        <v>0.75</v>
      </c>
      <c r="E468">
        <v>0.25</v>
      </c>
      <c r="F468">
        <v>0.25</v>
      </c>
      <c r="G468">
        <v>0.75</v>
      </c>
      <c r="H468">
        <v>0.5</v>
      </c>
      <c r="I468">
        <v>0.5</v>
      </c>
      <c r="J468" s="272">
        <f>$C$3*($C$4*$E$4*B467*$B$7)*$G$4+$C$3*($C$4*$E$5*D468*$D$7)*$G$4+$C$3*($C$4*$E$4*C468*$C$7)*$G$5+$C$3*($C$4*$E$5*E468*$E$7)*$G$5+$C$3*($C$5*$E$4*F468*$F$7)*$H$4+$C$3*($C$5*$E$5*H468*$H$7)*$H$4+$C$3*($C$5*$E$5*I468*$I$7)*$H$5+$C$3*($C$5*$E$4*G468*$G$7)*$H$5</f>
        <v>5611089.2373536732</v>
      </c>
      <c r="K468" s="277">
        <f>ROUND(($C$4*$E$4*B468*$B$7+$C$4*$E$4*C468*$C$7+$C$4*$E$5*D468*$D$7+$C$4*$E$5*E468*$E$7+($C$5*$E$4*F468*$F$7+$C$5*$E$4*G468*$G$7+$C$5*$E$5*H468*$H$7+$C$5*$E$5*I468*$I$7)),2)</f>
        <v>0.68</v>
      </c>
      <c r="L468" s="276">
        <f>Scenario[[#This Row],[Total Cost]]/(Scenario[[#This Row],[Total Coverage]]*100)</f>
        <v>82516.018196377554</v>
      </c>
      <c r="M468" s="295" cm="1">
        <f t="array" ref="M468">IF(AND(K468=MAX(K$10:K468), L468=MIN(IF(K$10:K468=K468, L$10:L468))), 1, 0)</f>
        <v>0</v>
      </c>
      <c r="N468" s="295">
        <f>IF(AND(Scenario[[#This Row],[Total Coverage]]&gt;=70%,Scenario[[#This Row],[Frontier]]=1),1,0)</f>
        <v>0</v>
      </c>
    </row>
    <row r="469" spans="1:14" x14ac:dyDescent="0.25">
      <c r="A469">
        <v>340</v>
      </c>
      <c r="B469">
        <v>0.5</v>
      </c>
      <c r="C469">
        <v>0.5</v>
      </c>
      <c r="D469">
        <v>0.25</v>
      </c>
      <c r="E469">
        <v>0.75</v>
      </c>
      <c r="F469">
        <v>0.5</v>
      </c>
      <c r="G469">
        <v>0.5</v>
      </c>
      <c r="H469">
        <v>0</v>
      </c>
      <c r="I469">
        <v>1</v>
      </c>
      <c r="J469" s="272">
        <f>$C$3*($C$4*$E$4*B468*$B$7)*$G$4+$C$3*($C$4*$E$5*D469*$D$7)*$G$4+$C$3*($C$4*$E$4*C469*$C$7)*$G$5+$C$3*($C$4*$E$5*E469*$E$7)*$G$5+$C$3*($C$5*$E$4*F469*$F$7)*$H$4+$C$3*($C$5*$E$5*H469*$H$7)*$H$4+$C$3*($C$5*$E$5*I469*$I$7)*$H$5+$C$3*($C$5*$E$4*G469*$G$7)*$H$5</f>
        <v>5411876.7006307505</v>
      </c>
      <c r="K469" s="277">
        <f>ROUND(($C$4*$E$4*B469*$B$7+$C$4*$E$4*C469*$C$7+$C$4*$E$5*D469*$D$7+$C$4*$E$5*E469*$E$7+($C$5*$E$4*F469*$F$7+$C$5*$E$4*G469*$G$7+$C$5*$E$5*H469*$H$7+$C$5*$E$5*I469*$I$7)),2)</f>
        <v>0.68</v>
      </c>
      <c r="L469" s="276">
        <f>Scenario[[#This Row],[Total Cost]]/(Scenario[[#This Row],[Total Coverage]]*100)</f>
        <v>79586.422068099273</v>
      </c>
      <c r="M469" s="295" cm="1">
        <f t="array" ref="M469">IF(AND(K469=MAX(K$10:K469), L469=MIN(IF(K$10:K469=K469, L$10:L469))), 1, 0)</f>
        <v>0</v>
      </c>
      <c r="N469" s="295">
        <f>IF(AND(Scenario[[#This Row],[Total Coverage]]&gt;=70%,Scenario[[#This Row],[Frontier]]=1),1,0)</f>
        <v>0</v>
      </c>
    </row>
    <row r="470" spans="1:14" x14ac:dyDescent="0.25">
      <c r="A470">
        <v>421</v>
      </c>
      <c r="B470">
        <v>0.25</v>
      </c>
      <c r="C470">
        <v>0.75</v>
      </c>
      <c r="D470">
        <v>0.75</v>
      </c>
      <c r="E470">
        <v>0.25</v>
      </c>
      <c r="F470">
        <v>0</v>
      </c>
      <c r="G470">
        <v>1</v>
      </c>
      <c r="H470">
        <v>1</v>
      </c>
      <c r="I470">
        <v>0</v>
      </c>
      <c r="J470" s="272">
        <f>$C$3*($C$4*$E$4*B469*$B$7)*$G$4+$C$3*($C$4*$E$5*D470*$D$7)*$G$4+$C$3*($C$4*$E$4*C470*$C$7)*$G$5+$C$3*($C$4*$E$5*E470*$E$7)*$G$5+$C$3*($C$5*$E$4*F470*$F$7)*$H$4+$C$3*($C$5*$E$5*H470*$H$7)*$H$4+$C$3*($C$5*$E$5*I470*$I$7)*$H$5+$C$3*($C$5*$E$4*G470*$G$7)*$H$5</f>
        <v>5792242.3384570051</v>
      </c>
      <c r="K470" s="277">
        <f>ROUND(($C$4*$E$4*B470*$B$7+$C$4*$E$4*C470*$C$7+$C$4*$E$5*D470*$D$7+$C$4*$E$5*E470*$E$7+($C$5*$E$4*F470*$F$7+$C$5*$E$4*G470*$G$7+$C$5*$E$5*H470*$H$7+$C$5*$E$5*I470*$I$7)),2)</f>
        <v>0.68</v>
      </c>
      <c r="L470" s="276">
        <f>Scenario[[#This Row],[Total Cost]]/(Scenario[[#This Row],[Total Coverage]]*100)</f>
        <v>85180.034389073611</v>
      </c>
      <c r="M470" s="295" cm="1">
        <f t="array" ref="M470">IF(AND(K470=MAX(K$10:K470), L470=MIN(IF(K$10:K470=K470, L$10:L470))), 1, 0)</f>
        <v>0</v>
      </c>
      <c r="N470" s="295">
        <f>IF(AND(Scenario[[#This Row],[Total Coverage]]&gt;=70%,Scenario[[#This Row],[Frontier]]=1),1,0)</f>
        <v>0</v>
      </c>
    </row>
    <row r="471" spans="1:14" x14ac:dyDescent="0.25">
      <c r="A471">
        <v>518</v>
      </c>
      <c r="B471">
        <v>0</v>
      </c>
      <c r="C471">
        <v>1</v>
      </c>
      <c r="D471">
        <v>1</v>
      </c>
      <c r="E471">
        <v>0</v>
      </c>
      <c r="F471">
        <v>0.25</v>
      </c>
      <c r="G471">
        <v>0.75</v>
      </c>
      <c r="H471">
        <v>0.5</v>
      </c>
      <c r="I471">
        <v>0.5</v>
      </c>
      <c r="J471" s="272">
        <f>$C$3*($C$4*$E$4*B470*$B$7)*$G$4+$C$3*($C$4*$E$5*D471*$D$7)*$G$4+$C$3*($C$4*$E$4*C471*$C$7)*$G$5+$C$3*($C$4*$E$5*E471*$E$7)*$G$5+$C$3*($C$5*$E$4*F471*$F$7)*$H$4+$C$3*($C$5*$E$5*H471*$H$7)*$H$4+$C$3*($C$5*$E$5*I471*$I$7)*$H$5+$C$3*($C$5*$E$4*G471*$G$7)*$H$5</f>
        <v>5919834.6215624213</v>
      </c>
      <c r="K471" s="277">
        <f>ROUND(($C$4*$E$4*B471*$B$7+$C$4*$E$4*C471*$C$7+$C$4*$E$5*D471*$D$7+$C$4*$E$5*E471*$E$7+($C$5*$E$4*F471*$F$7+$C$5*$E$4*G471*$G$7+$C$5*$E$5*H471*$H$7+$C$5*$E$5*I471*$I$7)),2)</f>
        <v>0.68</v>
      </c>
      <c r="L471" s="276">
        <f>Scenario[[#This Row],[Total Cost]]/(Scenario[[#This Row],[Total Coverage]]*100)</f>
        <v>87056.391493565025</v>
      </c>
      <c r="M471" s="295" cm="1">
        <f t="array" ref="M471">IF(AND(K471=MAX(K$10:K471), L471=MIN(IF(K$10:K471=K471, L$10:L471))), 1, 0)</f>
        <v>0</v>
      </c>
      <c r="N471" s="295">
        <f>IF(AND(Scenario[[#This Row],[Total Coverage]]&gt;=70%,Scenario[[#This Row],[Frontier]]=1),1,0)</f>
        <v>0</v>
      </c>
    </row>
    <row r="472" spans="1:14" x14ac:dyDescent="0.25">
      <c r="A472">
        <v>515</v>
      </c>
      <c r="B472">
        <v>0</v>
      </c>
      <c r="C472">
        <v>1</v>
      </c>
      <c r="D472">
        <v>1</v>
      </c>
      <c r="E472">
        <v>0</v>
      </c>
      <c r="F472">
        <v>0.5</v>
      </c>
      <c r="G472">
        <v>0.5</v>
      </c>
      <c r="H472">
        <v>0</v>
      </c>
      <c r="I472">
        <v>1</v>
      </c>
      <c r="J472" s="272">
        <f>$C$3*($C$4*$E$4*B471*$B$7)*$G$4+$C$3*($C$4*$E$5*D472*$D$7)*$G$4+$C$3*($C$4*$E$4*C472*$C$7)*$G$5+$C$3*($C$4*$E$5*E472*$E$7)*$G$5+$C$3*($C$5*$E$4*F472*$F$7)*$H$4+$C$3*($C$5*$E$5*H472*$H$7)*$H$4+$C$3*($C$5*$E$5*I472*$I$7)*$H$5+$C$3*($C$5*$E$4*G472*$G$7)*$H$5</f>
        <v>5738681.5204590876</v>
      </c>
      <c r="K472" s="277">
        <f>ROUND(($C$4*$E$4*B472*$B$7+$C$4*$E$4*C472*$C$7+$C$4*$E$5*D472*$D$7+$C$4*$E$5*E472*$E$7+($C$5*$E$4*F472*$F$7+$C$5*$E$4*G472*$G$7+$C$5*$E$5*H472*$H$7+$C$5*$E$5*I472*$I$7)),2)</f>
        <v>0.68</v>
      </c>
      <c r="L472" s="276">
        <f>Scenario[[#This Row],[Total Cost]]/(Scenario[[#This Row],[Total Coverage]]*100)</f>
        <v>84392.375300868938</v>
      </c>
      <c r="M472" s="295" cm="1">
        <f t="array" ref="M472">IF(AND(K472=MAX(K$10:K472), L472=MIN(IF(K$10:K472=K472, L$10:L472))), 1, 0)</f>
        <v>0</v>
      </c>
      <c r="N472" s="295">
        <f>IF(AND(Scenario[[#This Row],[Total Coverage]]&gt;=70%,Scenario[[#This Row],[Frontier]]=1),1,0)</f>
        <v>0</v>
      </c>
    </row>
    <row r="473" spans="1:14" x14ac:dyDescent="0.25">
      <c r="A473">
        <v>492</v>
      </c>
      <c r="B473">
        <v>0.25</v>
      </c>
      <c r="C473">
        <v>0.75</v>
      </c>
      <c r="D473">
        <v>0</v>
      </c>
      <c r="E473">
        <v>1</v>
      </c>
      <c r="F473">
        <v>0.25</v>
      </c>
      <c r="G473">
        <v>0.75</v>
      </c>
      <c r="H473">
        <v>0.75</v>
      </c>
      <c r="I473">
        <v>0.25</v>
      </c>
      <c r="J473" s="272">
        <f>$C$3*($C$4*$E$4*B472*$B$7)*$G$4+$C$3*($C$4*$E$5*D473*$D$7)*$G$4+$C$3*($C$4*$E$4*C473*$C$7)*$G$5+$C$3*($C$4*$E$5*E473*$E$7)*$G$5+$C$3*($C$5*$E$4*F473*$F$7)*$H$4+$C$3*($C$5*$E$5*H473*$H$7)*$H$4+$C$3*($C$5*$E$5*I473*$I$7)*$H$5+$C$3*($C$5*$E$4*G473*$G$7)*$H$5</f>
        <v>5677555.6872929893</v>
      </c>
      <c r="K473" s="277">
        <f>ROUND(($C$4*$E$4*B473*$B$7+$C$4*$E$4*C473*$C$7+$C$4*$E$5*D473*$D$7+$C$4*$E$5*E473*$E$7+($C$5*$E$4*F473*$F$7+$C$5*$E$4*G473*$G$7+$C$5*$E$5*H473*$H$7+$C$5*$E$5*I473*$I$7)),2)</f>
        <v>0.68</v>
      </c>
      <c r="L473" s="276">
        <f>Scenario[[#This Row],[Total Cost]]/(Scenario[[#This Row],[Total Coverage]]*100)</f>
        <v>83493.465989602788</v>
      </c>
      <c r="M473" s="295" cm="1">
        <f t="array" ref="M473">IF(AND(K473=MAX(K$10:K473), L473=MIN(IF(K$10:K473=K473, L$10:L473))), 1, 0)</f>
        <v>0</v>
      </c>
      <c r="N473" s="295">
        <f>IF(AND(Scenario[[#This Row],[Total Coverage]]&gt;=70%,Scenario[[#This Row],[Frontier]]=1),1,0)</f>
        <v>0</v>
      </c>
    </row>
    <row r="474" spans="1:14" x14ac:dyDescent="0.25">
      <c r="A474">
        <v>589</v>
      </c>
      <c r="B474">
        <v>0</v>
      </c>
      <c r="C474">
        <v>1</v>
      </c>
      <c r="D474">
        <v>0.25</v>
      </c>
      <c r="E474">
        <v>0.75</v>
      </c>
      <c r="F474">
        <v>0.5</v>
      </c>
      <c r="G474">
        <v>0.5</v>
      </c>
      <c r="H474">
        <v>0.25</v>
      </c>
      <c r="I474">
        <v>0.75</v>
      </c>
      <c r="J474" s="272">
        <f>$C$3*($C$4*$E$4*B473*$B$7)*$G$4+$C$3*($C$4*$E$5*D474*$D$7)*$G$4+$C$3*($C$4*$E$4*C474*$C$7)*$G$5+$C$3*($C$4*$E$5*E474*$E$7)*$G$5+$C$3*($C$5*$E$4*F474*$F$7)*$H$4+$C$3*($C$5*$E$5*H474*$H$7)*$H$4+$C$3*($C$5*$E$5*I474*$I$7)*$H$5+$C$3*($C$5*$E$4*G474*$G$7)*$H$5</f>
        <v>6017967.2281949017</v>
      </c>
      <c r="K474" s="277">
        <f>ROUND(($C$4*$E$4*B474*$B$7+$C$4*$E$4*C474*$C$7+$C$4*$E$5*D474*$D$7+$C$4*$E$5*E474*$E$7+($C$5*$E$4*F474*$F$7+$C$5*$E$4*G474*$G$7+$C$5*$E$5*H474*$H$7+$C$5*$E$5*I474*$I$7)),2)</f>
        <v>0.68</v>
      </c>
      <c r="L474" s="276">
        <f>Scenario[[#This Row],[Total Cost]]/(Scenario[[#This Row],[Total Coverage]]*100)</f>
        <v>88499.518061689727</v>
      </c>
      <c r="M474" s="295" cm="1">
        <f t="array" ref="M474">IF(AND(K474=MAX(K$10:K474), L474=MIN(IF(K$10:K474=K474, L$10:L474))), 1, 0)</f>
        <v>0</v>
      </c>
      <c r="N474" s="295">
        <f>IF(AND(Scenario[[#This Row],[Total Coverage]]&gt;=70%,Scenario[[#This Row],[Frontier]]=1),1,0)</f>
        <v>0</v>
      </c>
    </row>
    <row r="475" spans="1:14" x14ac:dyDescent="0.25">
      <c r="A475">
        <v>122</v>
      </c>
      <c r="B475">
        <v>1</v>
      </c>
      <c r="C475">
        <v>0</v>
      </c>
      <c r="D475">
        <v>0</v>
      </c>
      <c r="E475">
        <v>1</v>
      </c>
      <c r="F475">
        <v>0</v>
      </c>
      <c r="G475">
        <v>1</v>
      </c>
      <c r="H475">
        <v>0.75</v>
      </c>
      <c r="I475">
        <v>0.25</v>
      </c>
      <c r="J475" s="272">
        <f>$C$3*($C$4*$E$4*B474*$B$7)*$G$4+$C$3*($C$4*$E$5*D475*$D$7)*$G$4+$C$3*($C$4*$E$4*C475*$C$7)*$G$5+$C$3*($C$4*$E$5*E475*$E$7)*$G$5+$C$3*($C$5*$E$4*F475*$F$7)*$H$4+$C$3*($C$5*$E$5*H475*$H$7)*$H$4+$C$3*($C$5*$E$5*I475*$I$7)*$H$5+$C$3*($C$5*$E$4*G475*$G$7)*$H$5</f>
        <v>5033139.8082694225</v>
      </c>
      <c r="K475" s="277">
        <f>ROUND(($C$4*$E$4*B475*$B$7+$C$4*$E$4*C475*$C$7+$C$4*$E$5*D475*$D$7+$C$4*$E$5*E475*$E$7+($C$5*$E$4*F475*$F$7+$C$5*$E$4*G475*$G$7+$C$5*$E$5*H475*$H$7+$C$5*$E$5*I475*$I$7)),2)</f>
        <v>0.69</v>
      </c>
      <c r="L475" s="276">
        <f>Scenario[[#This Row],[Total Cost]]/(Scenario[[#This Row],[Total Coverage]]*100)</f>
        <v>72944.055192310465</v>
      </c>
      <c r="M475" s="295" cm="1">
        <f t="array" ref="M475">IF(AND(K475=MAX(K$10:K475), L475=MIN(IF(K$10:K475=K475, L$10:L475))), 1, 0)</f>
        <v>1</v>
      </c>
      <c r="N475" s="295">
        <f>IF(AND(Scenario[[#This Row],[Total Coverage]]&gt;=70%,Scenario[[#This Row],[Frontier]]=1),1,0)</f>
        <v>0</v>
      </c>
    </row>
    <row r="476" spans="1:14" x14ac:dyDescent="0.25">
      <c r="A476">
        <v>197</v>
      </c>
      <c r="B476">
        <v>0.75</v>
      </c>
      <c r="C476">
        <v>0.25</v>
      </c>
      <c r="D476">
        <v>0.5</v>
      </c>
      <c r="E476">
        <v>0.5</v>
      </c>
      <c r="F476">
        <v>0</v>
      </c>
      <c r="G476">
        <v>1</v>
      </c>
      <c r="H476">
        <v>0.75</v>
      </c>
      <c r="I476">
        <v>0.25</v>
      </c>
      <c r="J476" s="272">
        <f>$C$3*($C$4*$E$4*B475*$B$7)*$G$4+$C$3*($C$4*$E$5*D476*$D$7)*$G$4+$C$3*($C$4*$E$4*C476*$C$7)*$G$5+$C$3*($C$4*$E$5*E476*$E$7)*$G$5+$C$3*($C$5*$E$4*F476*$F$7)*$H$4+$C$3*($C$5*$E$5*H476*$H$7)*$H$4+$C$3*($C$5*$E$5*I476*$I$7)*$H$5+$C$3*($C$5*$E$4*G476*$G$7)*$H$5</f>
        <v>5583247.3883802593</v>
      </c>
      <c r="K476" s="277">
        <f>ROUND(($C$4*$E$4*B476*$B$7+$C$4*$E$4*C476*$C$7+$C$4*$E$5*D476*$D$7+$C$4*$E$5*E476*$E$7+($C$5*$E$4*F476*$F$7+$C$5*$E$4*G476*$G$7+$C$5*$E$5*H476*$H$7+$C$5*$E$5*I476*$I$7)),2)</f>
        <v>0.69</v>
      </c>
      <c r="L476" s="276">
        <f>Scenario[[#This Row],[Total Cost]]/(Scenario[[#This Row],[Total Coverage]]*100)</f>
        <v>80916.6288171052</v>
      </c>
      <c r="M476" s="295" cm="1">
        <f t="array" ref="M476">IF(AND(K476=MAX(K$10:K476), L476=MIN(IF(K$10:K476=K476, L$10:L476))), 1, 0)</f>
        <v>0</v>
      </c>
      <c r="N476" s="295">
        <f>IF(AND(Scenario[[#This Row],[Total Coverage]]&gt;=70%,Scenario[[#This Row],[Frontier]]=1),1,0)</f>
        <v>0</v>
      </c>
    </row>
    <row r="477" spans="1:14" x14ac:dyDescent="0.25">
      <c r="A477">
        <v>119</v>
      </c>
      <c r="B477">
        <v>1</v>
      </c>
      <c r="C477">
        <v>0</v>
      </c>
      <c r="D477">
        <v>0</v>
      </c>
      <c r="E477">
        <v>1</v>
      </c>
      <c r="F477">
        <v>0.25</v>
      </c>
      <c r="G477">
        <v>0.75</v>
      </c>
      <c r="H477">
        <v>0.25</v>
      </c>
      <c r="I477">
        <v>0.75</v>
      </c>
      <c r="J477" s="272">
        <f>$C$3*($C$4*$E$4*B476*$B$7)*$G$4+$C$3*($C$4*$E$5*D477*$D$7)*$G$4+$C$3*($C$4*$E$4*C477*$C$7)*$G$5+$C$3*($C$4*$E$5*E477*$E$7)*$G$5+$C$3*($C$5*$E$4*F477*$F$7)*$H$4+$C$3*($C$5*$E$5*H477*$H$7)*$H$4+$C$3*($C$5*$E$5*I477*$I$7)*$H$5+$C$3*($C$5*$E$4*G477*$G$7)*$H$5</f>
        <v>5277625.2227590885</v>
      </c>
      <c r="K477" s="277">
        <f>ROUND(($C$4*$E$4*B477*$B$7+$C$4*$E$4*C477*$C$7+$C$4*$E$5*D477*$D$7+$C$4*$E$5*E477*$E$7+($C$5*$E$4*F477*$F$7+$C$5*$E$4*G477*$G$7+$C$5*$E$5*H477*$H$7+$C$5*$E$5*I477*$I$7)),2)</f>
        <v>0.69</v>
      </c>
      <c r="L477" s="276">
        <f>Scenario[[#This Row],[Total Cost]]/(Scenario[[#This Row],[Total Coverage]]*100)</f>
        <v>76487.322068972295</v>
      </c>
      <c r="M477" s="295" cm="1">
        <f t="array" ref="M477">IF(AND(K477=MAX(K$10:K477), L477=MIN(IF(K$10:K477=K477, L$10:L477))), 1, 0)</f>
        <v>0</v>
      </c>
      <c r="N477" s="295">
        <f>IF(AND(Scenario[[#This Row],[Total Coverage]]&gt;=70%,Scenario[[#This Row],[Frontier]]=1),1,0)</f>
        <v>0</v>
      </c>
    </row>
    <row r="478" spans="1:14" x14ac:dyDescent="0.25">
      <c r="A478">
        <v>48</v>
      </c>
      <c r="B478">
        <v>1</v>
      </c>
      <c r="C478">
        <v>0</v>
      </c>
      <c r="D478">
        <v>0.75</v>
      </c>
      <c r="E478">
        <v>0.25</v>
      </c>
      <c r="F478">
        <v>0</v>
      </c>
      <c r="G478">
        <v>1</v>
      </c>
      <c r="H478">
        <v>0.5</v>
      </c>
      <c r="I478">
        <v>0.5</v>
      </c>
      <c r="J478" s="272">
        <f>$C$3*($C$4*$E$4*B477*$B$7)*$G$4+$C$3*($C$4*$E$5*D478*$D$7)*$G$4+$C$3*($C$4*$E$4*C478*$C$7)*$G$5+$C$3*($C$4*$E$5*E478*$E$7)*$G$5+$C$3*($C$5*$E$4*F478*$F$7)*$H$4+$C$3*($C$5*$E$5*H478*$H$7)*$H$4+$C$3*($C$5*$E$5*I478*$I$7)*$H$5+$C$3*($C$5*$E$4*G478*$G$7)*$H$5</f>
        <v>5285902.2450248543</v>
      </c>
      <c r="K478" s="277">
        <f>ROUND(($C$4*$E$4*B478*$B$7+$C$4*$E$4*C478*$C$7+$C$4*$E$5*D478*$D$7+$C$4*$E$5*E478*$E$7+($C$5*$E$4*F478*$F$7+$C$5*$E$4*G478*$G$7+$C$5*$E$5*H478*$H$7+$C$5*$E$5*I478*$I$7)),2)</f>
        <v>0.69</v>
      </c>
      <c r="L478" s="276">
        <f>Scenario[[#This Row],[Total Cost]]/(Scenario[[#This Row],[Total Coverage]]*100)</f>
        <v>76607.278913403687</v>
      </c>
      <c r="M478" s="295" cm="1">
        <f t="array" ref="M478">IF(AND(K478=MAX(K$10:K478), L478=MIN(IF(K$10:K478=K478, L$10:L478))), 1, 0)</f>
        <v>0</v>
      </c>
      <c r="N478" s="295">
        <f>IF(AND(Scenario[[#This Row],[Total Coverage]]&gt;=70%,Scenario[[#This Row],[Frontier]]=1),1,0)</f>
        <v>0</v>
      </c>
    </row>
    <row r="479" spans="1:14" x14ac:dyDescent="0.25">
      <c r="A479">
        <v>145</v>
      </c>
      <c r="B479">
        <v>0.75</v>
      </c>
      <c r="C479">
        <v>0.25</v>
      </c>
      <c r="D479">
        <v>1</v>
      </c>
      <c r="E479">
        <v>0</v>
      </c>
      <c r="F479">
        <v>0.25</v>
      </c>
      <c r="G479">
        <v>0.75</v>
      </c>
      <c r="H479">
        <v>0</v>
      </c>
      <c r="I479">
        <v>1</v>
      </c>
      <c r="J479" s="272">
        <f>$C$3*($C$4*$E$4*B478*$B$7)*$G$4+$C$3*($C$4*$E$5*D479*$D$7)*$G$4+$C$3*($C$4*$E$4*C479*$C$7)*$G$5+$C$3*($C$4*$E$5*E479*$E$7)*$G$5+$C$3*($C$5*$E$4*F479*$F$7)*$H$4+$C$3*($C$5*$E$5*H479*$H$7)*$H$4+$C$3*($C$5*$E$5*I479*$I$7)*$H$5+$C$3*($C$5*$E$4*G479*$G$7)*$H$5</f>
        <v>5519904.1570285205</v>
      </c>
      <c r="K479" s="277">
        <f>ROUND(($C$4*$E$4*B479*$B$7+$C$4*$E$4*C479*$C$7+$C$4*$E$5*D479*$D$7+$C$4*$E$5*E479*$E$7+($C$5*$E$4*F479*$F$7+$C$5*$E$4*G479*$G$7+$C$5*$E$5*H479*$H$7+$C$5*$E$5*I479*$I$7)),2)</f>
        <v>0.69</v>
      </c>
      <c r="L479" s="276">
        <f>Scenario[[#This Row],[Total Cost]]/(Scenario[[#This Row],[Total Coverage]]*100)</f>
        <v>79998.610971427828</v>
      </c>
      <c r="M479" s="295" cm="1">
        <f t="array" ref="M479">IF(AND(K479=MAX(K$10:K479), L479=MIN(IF(K$10:K479=K479, L$10:L479))), 1, 0)</f>
        <v>0</v>
      </c>
      <c r="N479" s="295">
        <f>IF(AND(Scenario[[#This Row],[Total Coverage]]&gt;=70%,Scenario[[#This Row],[Frontier]]=1),1,0)</f>
        <v>0</v>
      </c>
    </row>
    <row r="480" spans="1:14" x14ac:dyDescent="0.25">
      <c r="A480">
        <v>368</v>
      </c>
      <c r="B480">
        <v>0.5</v>
      </c>
      <c r="C480">
        <v>0.5</v>
      </c>
      <c r="D480">
        <v>0</v>
      </c>
      <c r="E480">
        <v>1</v>
      </c>
      <c r="F480">
        <v>0.25</v>
      </c>
      <c r="G480">
        <v>0.75</v>
      </c>
      <c r="H480">
        <v>0.5</v>
      </c>
      <c r="I480">
        <v>0.5</v>
      </c>
      <c r="J480" s="272">
        <f>$C$3*($C$4*$E$4*B479*$B$7)*$G$4+$C$3*($C$4*$E$5*D480*$D$7)*$G$4+$C$3*($C$4*$E$4*C480*$C$7)*$G$5+$C$3*($C$4*$E$5*E480*$E$7)*$G$5+$C$3*($C$5*$E$4*F480*$F$7)*$H$4+$C$3*($C$5*$E$5*H480*$H$7)*$H$4+$C$3*($C$5*$E$5*I480*$I$7)*$H$5+$C$3*($C$5*$E$4*G480*$G$7)*$H$5</f>
        <v>5883715.7503232416</v>
      </c>
      <c r="K480" s="277">
        <f>ROUND(($C$4*$E$4*B480*$B$7+$C$4*$E$4*C480*$C$7+$C$4*$E$5*D480*$D$7+$C$4*$E$5*E480*$E$7+($C$5*$E$4*F480*$F$7+$C$5*$E$4*G480*$G$7+$C$5*$E$5*H480*$H$7+$C$5*$E$5*I480*$I$7)),2)</f>
        <v>0.69</v>
      </c>
      <c r="L480" s="276">
        <f>Scenario[[#This Row],[Total Cost]]/(Scenario[[#This Row],[Total Coverage]]*100)</f>
        <v>85271.242758307853</v>
      </c>
      <c r="M480" s="295" cm="1">
        <f t="array" ref="M480">IF(AND(K480=MAX(K$10:K480), L480=MIN(IF(K$10:K480=K480, L$10:L480))), 1, 0)</f>
        <v>0</v>
      </c>
      <c r="N480" s="295">
        <f>IF(AND(Scenario[[#This Row],[Total Coverage]]&gt;=70%,Scenario[[#This Row],[Frontier]]=1),1,0)</f>
        <v>0</v>
      </c>
    </row>
    <row r="481" spans="1:14" x14ac:dyDescent="0.25">
      <c r="A481">
        <v>365</v>
      </c>
      <c r="B481">
        <v>0.5</v>
      </c>
      <c r="C481">
        <v>0.5</v>
      </c>
      <c r="D481">
        <v>0</v>
      </c>
      <c r="E481">
        <v>1</v>
      </c>
      <c r="F481">
        <v>0.5</v>
      </c>
      <c r="G481">
        <v>0.5</v>
      </c>
      <c r="H481">
        <v>0</v>
      </c>
      <c r="I481">
        <v>1</v>
      </c>
      <c r="J481" s="272">
        <f>$C$3*($C$4*$E$4*B480*$B$7)*$G$4+$C$3*($C$4*$E$5*D481*$D$7)*$G$4+$C$3*($C$4*$E$4*C481*$C$7)*$G$5+$C$3*($C$4*$E$5*E481*$E$7)*$G$5+$C$3*($C$5*$E$4*F481*$F$7)*$H$4+$C$3*($C$5*$E$5*H481*$H$7)*$H$4+$C$3*($C$5*$E$5*I481*$I$7)*$H$5+$C$3*($C$5*$E$4*G481*$G$7)*$H$5</f>
        <v>5702562.6492199078</v>
      </c>
      <c r="K481" s="277">
        <f>ROUND(($C$4*$E$4*B481*$B$7+$C$4*$E$4*C481*$C$7+$C$4*$E$5*D481*$D$7+$C$4*$E$5*E481*$E$7+($C$5*$E$4*F481*$F$7+$C$5*$E$4*G481*$G$7+$C$5*$E$5*H481*$H$7+$C$5*$E$5*I481*$I$7)),2)</f>
        <v>0.69</v>
      </c>
      <c r="L481" s="276">
        <f>Scenario[[#This Row],[Total Cost]]/(Scenario[[#This Row],[Total Coverage]]*100)</f>
        <v>82645.835495940686</v>
      </c>
      <c r="M481" s="295" cm="1">
        <f t="array" ref="M481">IF(AND(K481=MAX(K$10:K481), L481=MIN(IF(K$10:K481=K481, L$10:L481))), 1, 0)</f>
        <v>0</v>
      </c>
      <c r="N481" s="295">
        <f>IF(AND(Scenario[[#This Row],[Total Coverage]]&gt;=70%,Scenario[[#This Row],[Frontier]]=1),1,0)</f>
        <v>0</v>
      </c>
    </row>
    <row r="482" spans="1:14" x14ac:dyDescent="0.25">
      <c r="A482">
        <v>294</v>
      </c>
      <c r="B482">
        <v>0.5</v>
      </c>
      <c r="C482">
        <v>0.5</v>
      </c>
      <c r="D482">
        <v>0.75</v>
      </c>
      <c r="E482">
        <v>0.25</v>
      </c>
      <c r="F482">
        <v>0.25</v>
      </c>
      <c r="G482">
        <v>0.75</v>
      </c>
      <c r="H482">
        <v>0.25</v>
      </c>
      <c r="I482">
        <v>0.75</v>
      </c>
      <c r="J482" s="272">
        <f>$C$3*($C$4*$E$4*B481*$B$7)*$G$4+$C$3*($C$4*$E$5*D482*$D$7)*$G$4+$C$3*($C$4*$E$4*C482*$C$7)*$G$5+$C$3*($C$4*$E$5*E482*$E$7)*$G$5+$C$3*($C$5*$E$4*F482*$F$7)*$H$4+$C$3*($C$5*$E$5*H482*$H$7)*$H$4+$C$3*($C$5*$E$5*I482*$I$7)*$H$5+$C$3*($C$5*$E$4*G482*$G$7)*$H$5</f>
        <v>5604430.0425874256</v>
      </c>
      <c r="K482" s="277">
        <f>ROUND(($C$4*$E$4*B482*$B$7+$C$4*$E$4*C482*$C$7+$C$4*$E$5*D482*$D$7+$C$4*$E$5*E482*$E$7+($C$5*$E$4*F482*$F$7+$C$5*$E$4*G482*$G$7+$C$5*$E$5*H482*$H$7+$C$5*$E$5*I482*$I$7)),2)</f>
        <v>0.69</v>
      </c>
      <c r="L482" s="276">
        <f>Scenario[[#This Row],[Total Cost]]/(Scenario[[#This Row],[Total Coverage]]*100)</f>
        <v>81223.623805614858</v>
      </c>
      <c r="M482" s="295" cm="1">
        <f t="array" ref="M482">IF(AND(K482=MAX(K$10:K482), L482=MIN(IF(K$10:K482=K482, L$10:L482))), 1, 0)</f>
        <v>0</v>
      </c>
      <c r="N482" s="295">
        <f>IF(AND(Scenario[[#This Row],[Total Coverage]]&gt;=70%,Scenario[[#This Row],[Frontier]]=1),1,0)</f>
        <v>0</v>
      </c>
    </row>
    <row r="483" spans="1:14" x14ac:dyDescent="0.25">
      <c r="A483">
        <v>297</v>
      </c>
      <c r="B483">
        <v>0.5</v>
      </c>
      <c r="C483">
        <v>0.5</v>
      </c>
      <c r="D483">
        <v>0.75</v>
      </c>
      <c r="E483">
        <v>0.25</v>
      </c>
      <c r="F483">
        <v>0</v>
      </c>
      <c r="G483">
        <v>1</v>
      </c>
      <c r="H483">
        <v>0.75</v>
      </c>
      <c r="I483">
        <v>0.25</v>
      </c>
      <c r="J483" s="272">
        <f>$C$3*($C$4*$E$4*B482*$B$7)*$G$4+$C$3*($C$4*$E$5*D483*$D$7)*$G$4+$C$3*($C$4*$E$4*C483*$C$7)*$G$5+$C$3*($C$4*$E$5*E483*$E$7)*$G$5+$C$3*($C$5*$E$4*F483*$F$7)*$H$4+$C$3*($C$5*$E$5*H483*$H$7)*$H$4+$C$3*($C$5*$E$5*I483*$I$7)*$H$5+$C$3*($C$5*$E$4*G483*$G$7)*$H$5</f>
        <v>5679173.5147925075</v>
      </c>
      <c r="K483" s="277">
        <f>ROUND(($C$4*$E$4*B483*$B$7+$C$4*$E$4*C483*$C$7+$C$4*$E$5*D483*$D$7+$C$4*$E$5*E483*$E$7+($C$5*$E$4*F483*$F$7+$C$5*$E$4*G483*$G$7+$C$5*$E$5*H483*$H$7+$C$5*$E$5*I483*$I$7)),2)</f>
        <v>0.69</v>
      </c>
      <c r="L483" s="276">
        <f>Scenario[[#This Row],[Total Cost]]/(Scenario[[#This Row],[Total Coverage]]*100)</f>
        <v>82306.862533224747</v>
      </c>
      <c r="M483" s="295" cm="1">
        <f t="array" ref="M483">IF(AND(K483=MAX(K$10:K483), L483=MIN(IF(K$10:K483=K483, L$10:L483))), 1, 0)</f>
        <v>0</v>
      </c>
      <c r="N483" s="295">
        <f>IF(AND(Scenario[[#This Row],[Total Coverage]]&gt;=70%,Scenario[[#This Row],[Frontier]]=1),1,0)</f>
        <v>0</v>
      </c>
    </row>
    <row r="484" spans="1:14" x14ac:dyDescent="0.25">
      <c r="A484">
        <v>443</v>
      </c>
      <c r="B484">
        <v>0.25</v>
      </c>
      <c r="C484">
        <v>0.75</v>
      </c>
      <c r="D484">
        <v>0.5</v>
      </c>
      <c r="E484">
        <v>0.5</v>
      </c>
      <c r="F484">
        <v>0.25</v>
      </c>
      <c r="G484">
        <v>0.75</v>
      </c>
      <c r="H484">
        <v>0.5</v>
      </c>
      <c r="I484">
        <v>0.5</v>
      </c>
      <c r="J484" s="272">
        <f>$C$3*($C$4*$E$4*B483*$B$7)*$G$4+$C$3*($C$4*$E$5*D484*$D$7)*$G$4+$C$3*($C$4*$E$4*C484*$C$7)*$G$5+$C$3*($C$4*$E$5*E484*$E$7)*$G$5+$C$3*($C$5*$E$4*F484*$F$7)*$H$4+$C$3*($C$5*$E$5*H484*$H$7)*$H$4+$C$3*($C$5*$E$5*I484*$I$7)*$H$5+$C$3*($C$5*$E$4*G484*$G$7)*$H$5</f>
        <v>5901775.1859428305</v>
      </c>
      <c r="K484" s="277">
        <f>ROUND(($C$4*$E$4*B484*$B$7+$C$4*$E$4*C484*$C$7+$C$4*$E$5*D484*$D$7+$C$4*$E$5*E484*$E$7+($C$5*$E$4*F484*$F$7+$C$5*$E$4*G484*$G$7+$C$5*$E$5*H484*$H$7+$C$5*$E$5*I484*$I$7)),2)</f>
        <v>0.69</v>
      </c>
      <c r="L484" s="276">
        <f>Scenario[[#This Row],[Total Cost]]/(Scenario[[#This Row],[Total Coverage]]*100)</f>
        <v>85532.973709316386</v>
      </c>
      <c r="M484" s="295" cm="1">
        <f t="array" ref="M484">IF(AND(K484=MAX(K$10:K484), L484=MIN(IF(K$10:K484=K484, L$10:L484))), 1, 0)</f>
        <v>0</v>
      </c>
      <c r="N484" s="295">
        <f>IF(AND(Scenario[[#This Row],[Total Coverage]]&gt;=70%,Scenario[[#This Row],[Frontier]]=1),1,0)</f>
        <v>0</v>
      </c>
    </row>
    <row r="485" spans="1:14" x14ac:dyDescent="0.25">
      <c r="A485">
        <v>440</v>
      </c>
      <c r="B485">
        <v>0.25</v>
      </c>
      <c r="C485">
        <v>0.75</v>
      </c>
      <c r="D485">
        <v>0.5</v>
      </c>
      <c r="E485">
        <v>0.5</v>
      </c>
      <c r="F485">
        <v>0.5</v>
      </c>
      <c r="G485">
        <v>0.5</v>
      </c>
      <c r="H485">
        <v>0</v>
      </c>
      <c r="I485">
        <v>1</v>
      </c>
      <c r="J485" s="272">
        <f>$C$3*($C$4*$E$4*B484*$B$7)*$G$4+$C$3*($C$4*$E$5*D485*$D$7)*$G$4+$C$3*($C$4*$E$4*C485*$C$7)*$G$5+$C$3*($C$4*$E$5*E485*$E$7)*$G$5+$C$3*($C$5*$E$4*F485*$F$7)*$H$4+$C$3*($C$5*$E$5*H485*$H$7)*$H$4+$C$3*($C$5*$E$5*I485*$I$7)*$H$5+$C$3*($C$5*$E$4*G485*$G$7)*$H$5</f>
        <v>5720622.0848394977</v>
      </c>
      <c r="K485" s="277">
        <f>ROUND(($C$4*$E$4*B485*$B$7+$C$4*$E$4*C485*$C$7+$C$4*$E$5*D485*$D$7+$C$4*$E$5*E485*$E$7+($C$5*$E$4*F485*$F$7+$C$5*$E$4*G485*$G$7+$C$5*$E$5*H485*$H$7+$C$5*$E$5*I485*$I$7)),2)</f>
        <v>0.69</v>
      </c>
      <c r="L485" s="276">
        <f>Scenario[[#This Row],[Total Cost]]/(Scenario[[#This Row],[Total Coverage]]*100)</f>
        <v>82907.566446949248</v>
      </c>
      <c r="M485" s="295" cm="1">
        <f t="array" ref="M485">IF(AND(K485=MAX(K$10:K485), L485=MIN(IF(K$10:K485=K485, L$10:L485))), 1, 0)</f>
        <v>0</v>
      </c>
      <c r="N485" s="295">
        <f>IF(AND(Scenario[[#This Row],[Total Coverage]]&gt;=70%,Scenario[[#This Row],[Frontier]]=1),1,0)</f>
        <v>0</v>
      </c>
    </row>
    <row r="486" spans="1:14" x14ac:dyDescent="0.25">
      <c r="A486">
        <v>521</v>
      </c>
      <c r="B486">
        <v>0</v>
      </c>
      <c r="C486">
        <v>1</v>
      </c>
      <c r="D486">
        <v>1</v>
      </c>
      <c r="E486">
        <v>0</v>
      </c>
      <c r="F486">
        <v>0</v>
      </c>
      <c r="G486">
        <v>1</v>
      </c>
      <c r="H486">
        <v>1</v>
      </c>
      <c r="I486">
        <v>0</v>
      </c>
      <c r="J486" s="272">
        <f>$C$3*($C$4*$E$4*B485*$B$7)*$G$4+$C$3*($C$4*$E$5*D486*$D$7)*$G$4+$C$3*($C$4*$E$4*C486*$C$7)*$G$5+$C$3*($C$4*$E$5*E486*$E$7)*$G$5+$C$3*($C$5*$E$4*F486*$F$7)*$H$4+$C$3*($C$5*$E$5*H486*$H$7)*$H$4+$C$3*($C$5*$E$5*I486*$I$7)*$H$5+$C$3*($C$5*$E$4*G486*$G$7)*$H$5</f>
        <v>5994578.0937675033</v>
      </c>
      <c r="K486" s="277">
        <f>ROUND(($C$4*$E$4*B486*$B$7+$C$4*$E$4*C486*$C$7+$C$4*$E$5*D486*$D$7+$C$4*$E$5*E486*$E$7+($C$5*$E$4*F486*$F$7+$C$5*$E$4*G486*$G$7+$C$5*$E$5*H486*$H$7+$C$5*$E$5*I486*$I$7)),2)</f>
        <v>0.69</v>
      </c>
      <c r="L486" s="276">
        <f>Scenario[[#This Row],[Total Cost]]/(Scenario[[#This Row],[Total Coverage]]*100)</f>
        <v>86877.943387934836</v>
      </c>
      <c r="M486" s="295" cm="1">
        <f t="array" ref="M486">IF(AND(K486=MAX(K$10:K486), L486=MIN(IF(K$10:K486=K486, L$10:L486))), 1, 0)</f>
        <v>0</v>
      </c>
      <c r="N486" s="295">
        <f>IF(AND(Scenario[[#This Row],[Total Coverage]]&gt;=70%,Scenario[[#This Row],[Frontier]]=1),1,0)</f>
        <v>0</v>
      </c>
    </row>
    <row r="487" spans="1:14" x14ac:dyDescent="0.25">
      <c r="A487">
        <v>540</v>
      </c>
      <c r="B487">
        <v>0</v>
      </c>
      <c r="C487">
        <v>1</v>
      </c>
      <c r="D487">
        <v>0.75</v>
      </c>
      <c r="E487">
        <v>0.25</v>
      </c>
      <c r="F487">
        <v>0.5</v>
      </c>
      <c r="G487">
        <v>0.5</v>
      </c>
      <c r="H487">
        <v>0</v>
      </c>
      <c r="I487">
        <v>1</v>
      </c>
      <c r="J487" s="272">
        <f>$C$3*($C$4*$E$4*B486*$B$7)*$G$4+$C$3*($C$4*$E$5*D487*$D$7)*$G$4+$C$3*($C$4*$E$4*C487*$C$7)*$G$5+$C$3*($C$4*$E$5*E487*$E$7)*$G$5+$C$3*($C$5*$E$4*F487*$F$7)*$H$4+$C$3*($C$5*$E$5*H487*$H$7)*$H$4+$C$3*($C$5*$E$5*I487*$I$7)*$H$5+$C$3*($C$5*$E$4*G487*$G$7)*$H$5</f>
        <v>5922957.8401499959</v>
      </c>
      <c r="K487" s="277">
        <f>ROUND(($C$4*$E$4*B487*$B$7+$C$4*$E$4*C487*$C$7+$C$4*$E$5*D487*$D$7+$C$4*$E$5*E487*$E$7+($C$5*$E$4*F487*$F$7+$C$5*$E$4*G487*$G$7+$C$5*$E$5*H487*$H$7+$C$5*$E$5*I487*$I$7)),2)</f>
        <v>0.69</v>
      </c>
      <c r="L487" s="276">
        <f>Scenario[[#This Row],[Total Cost]]/(Scenario[[#This Row],[Total Coverage]]*100)</f>
        <v>85839.968697826029</v>
      </c>
      <c r="M487" s="295" cm="1">
        <f t="array" ref="M487">IF(AND(K487=MAX(K$10:K487), L487=MIN(IF(K$10:K487=K487, L$10:L487))), 1, 0)</f>
        <v>0</v>
      </c>
      <c r="N487" s="295">
        <f>IF(AND(Scenario[[#This Row],[Total Coverage]]&gt;=70%,Scenario[[#This Row],[Frontier]]=1),1,0)</f>
        <v>0</v>
      </c>
    </row>
    <row r="488" spans="1:14" x14ac:dyDescent="0.25">
      <c r="A488">
        <v>446</v>
      </c>
      <c r="B488">
        <v>0.25</v>
      </c>
      <c r="C488">
        <v>0.75</v>
      </c>
      <c r="D488">
        <v>0.5</v>
      </c>
      <c r="E488">
        <v>0.5</v>
      </c>
      <c r="F488">
        <v>0</v>
      </c>
      <c r="G488">
        <v>1</v>
      </c>
      <c r="H488">
        <v>1</v>
      </c>
      <c r="I488">
        <v>0</v>
      </c>
      <c r="J488" s="272">
        <f>$C$3*($C$4*$E$4*B487*$B$7)*$G$4+$C$3*($C$4*$E$5*D488*$D$7)*$G$4+$C$3*($C$4*$E$4*C488*$C$7)*$G$5+$C$3*($C$4*$E$5*E488*$E$7)*$G$5+$C$3*($C$5*$E$4*F488*$F$7)*$H$4+$C$3*($C$5*$E$5*H488*$H$7)*$H$4+$C$3*($C$5*$E$5*I488*$I$7)*$H$5+$C$3*($C$5*$E$4*G488*$G$7)*$H$5</f>
        <v>5763699.4003514145</v>
      </c>
      <c r="K488" s="277">
        <f>ROUND(($C$4*$E$4*B488*$B$7+$C$4*$E$4*C488*$C$7+$C$4*$E$5*D488*$D$7+$C$4*$E$5*E488*$E$7+($C$5*$E$4*F488*$F$7+$C$5*$E$4*G488*$G$7+$C$5*$E$5*H488*$H$7+$C$5*$E$5*I488*$I$7)),2)</f>
        <v>0.69</v>
      </c>
      <c r="L488" s="276">
        <f>Scenario[[#This Row],[Total Cost]]/(Scenario[[#This Row],[Total Coverage]]*100)</f>
        <v>83531.875367411805</v>
      </c>
      <c r="M488" s="295" cm="1">
        <f t="array" ref="M488">IF(AND(K488=MAX(K$10:K488), L488=MIN(IF(K$10:K488=K488, L$10:L488))), 1, 0)</f>
        <v>0</v>
      </c>
      <c r="N488" s="295">
        <f>IF(AND(Scenario[[#This Row],[Total Coverage]]&gt;=70%,Scenario[[#This Row],[Frontier]]=1),1,0)</f>
        <v>0</v>
      </c>
    </row>
    <row r="489" spans="1:14" x14ac:dyDescent="0.25">
      <c r="A489">
        <v>592</v>
      </c>
      <c r="B489">
        <v>0</v>
      </c>
      <c r="C489">
        <v>1</v>
      </c>
      <c r="D489">
        <v>0.25</v>
      </c>
      <c r="E489">
        <v>0.75</v>
      </c>
      <c r="F489">
        <v>0.25</v>
      </c>
      <c r="G489">
        <v>0.75</v>
      </c>
      <c r="H489">
        <v>0.75</v>
      </c>
      <c r="I489">
        <v>0.25</v>
      </c>
      <c r="J489" s="272">
        <f>$C$3*($C$4*$E$4*B488*$B$7)*$G$4+$C$3*($C$4*$E$5*D489*$D$7)*$G$4+$C$3*($C$4*$E$4*C489*$C$7)*$G$5+$C$3*($C$4*$E$5*E489*$E$7)*$G$5+$C$3*($C$5*$E$4*F489*$F$7)*$H$4+$C$3*($C$5*$E$5*H489*$H$7)*$H$4+$C$3*($C$5*$E$5*I489*$I$7)*$H$5+$C$3*($C$5*$E$4*G489*$G$7)*$H$5</f>
        <v>6092710.7003999855</v>
      </c>
      <c r="K489" s="277">
        <f>ROUND(($C$4*$E$4*B489*$B$7+$C$4*$E$4*C489*$C$7+$C$4*$E$5*D489*$D$7+$C$4*$E$5*E489*$E$7+($C$5*$E$4*F489*$F$7+$C$5*$E$4*G489*$G$7+$C$5*$E$5*H489*$H$7+$C$5*$E$5*I489*$I$7)),2)</f>
        <v>0.69</v>
      </c>
      <c r="L489" s="276">
        <f>Scenario[[#This Row],[Total Cost]]/(Scenario[[#This Row],[Total Coverage]]*100)</f>
        <v>88300.155078260665</v>
      </c>
      <c r="M489" s="295" cm="1">
        <f t="array" ref="M489">IF(AND(K489=MAX(K$10:K489), L489=MIN(IF(K$10:K489=K489, L$10:L489))), 1, 0)</f>
        <v>0</v>
      </c>
      <c r="N489" s="295">
        <f>IF(AND(Scenario[[#This Row],[Total Coverage]]&gt;=70%,Scenario[[#This Row],[Frontier]]=1),1,0)</f>
        <v>0</v>
      </c>
    </row>
    <row r="490" spans="1:14" x14ac:dyDescent="0.25">
      <c r="A490">
        <v>70</v>
      </c>
      <c r="B490">
        <v>1</v>
      </c>
      <c r="C490">
        <v>0</v>
      </c>
      <c r="D490">
        <v>0.5</v>
      </c>
      <c r="E490">
        <v>0.5</v>
      </c>
      <c r="F490">
        <v>0.25</v>
      </c>
      <c r="G490">
        <v>0.75</v>
      </c>
      <c r="H490">
        <v>0</v>
      </c>
      <c r="I490">
        <v>1</v>
      </c>
      <c r="J490" s="272">
        <f>$C$3*($C$4*$E$4*B489*$B$7)*$G$4+$C$3*($C$4*$E$5*D490*$D$7)*$G$4+$C$3*($C$4*$E$4*C490*$C$7)*$G$5+$C$3*($C$4*$E$5*E490*$E$7)*$G$5+$C$3*($C$5*$E$4*F490*$F$7)*$H$4+$C$3*($C$5*$E$5*H490*$H$7)*$H$4+$C$3*($C$5*$E$5*I490*$I$7)*$H$5+$C$3*($C$5*$E$4*G490*$G$7)*$H$5</f>
        <v>4969796.5769176837</v>
      </c>
      <c r="K490" s="277">
        <f>ROUND(($C$4*$E$4*B490*$B$7+$C$4*$E$4*C490*$C$7+$C$4*$E$5*D490*$D$7+$C$4*$E$5*E490*$E$7+($C$5*$E$4*F490*$F$7+$C$5*$E$4*G490*$G$7+$C$5*$E$5*H490*$H$7+$C$5*$E$5*I490*$I$7)),2)</f>
        <v>0.7</v>
      </c>
      <c r="L490" s="276">
        <f>Scenario[[#This Row],[Total Cost]]/(Scenario[[#This Row],[Total Coverage]]*100)</f>
        <v>70997.093955966906</v>
      </c>
      <c r="M490" s="295" cm="1">
        <f t="array" ref="M490">IF(AND(K490=MAX(K$10:K490), L490=MIN(IF(K$10:K490=K490, L$10:L490))), 1, 0)</f>
        <v>1</v>
      </c>
      <c r="N490" s="295">
        <f>IF(AND(Scenario[[#This Row],[Total Coverage]]&gt;=70%,Scenario[[#This Row],[Frontier]]=1),1,0)</f>
        <v>1</v>
      </c>
    </row>
    <row r="491" spans="1:14" x14ac:dyDescent="0.25">
      <c r="A491">
        <v>73</v>
      </c>
      <c r="B491">
        <v>1</v>
      </c>
      <c r="C491">
        <v>0</v>
      </c>
      <c r="D491">
        <v>0.5</v>
      </c>
      <c r="E491">
        <v>0.5</v>
      </c>
      <c r="F491">
        <v>0</v>
      </c>
      <c r="G491">
        <v>1</v>
      </c>
      <c r="H491">
        <v>0.5</v>
      </c>
      <c r="I491">
        <v>0.5</v>
      </c>
      <c r="J491" s="272">
        <f>$C$3*($C$4*$E$4*B490*$B$7)*$G$4+$C$3*($C$4*$E$5*D491*$D$7)*$G$4+$C$3*($C$4*$E$4*C491*$C$7)*$G$5+$C$3*($C$4*$E$5*E491*$E$7)*$G$5+$C$3*($C$5*$E$4*F491*$F$7)*$H$4+$C$3*($C$5*$E$5*H491*$H$7)*$H$4+$C$3*($C$5*$E$5*I491*$I$7)*$H$5+$C$3*($C$5*$E$4*G491*$G$7)*$H$5</f>
        <v>5470178.5647157636</v>
      </c>
      <c r="K491" s="277">
        <f>ROUND(($C$4*$E$4*B491*$B$7+$C$4*$E$4*C491*$C$7+$C$4*$E$5*D491*$D$7+$C$4*$E$5*E491*$E$7+($C$5*$E$4*F491*$F$7+$C$5*$E$4*G491*$G$7+$C$5*$E$5*H491*$H$7+$C$5*$E$5*I491*$I$7)),2)</f>
        <v>0.7</v>
      </c>
      <c r="L491" s="276">
        <f>Scenario[[#This Row],[Total Cost]]/(Scenario[[#This Row],[Total Coverage]]*100)</f>
        <v>78145.408067368044</v>
      </c>
      <c r="M491" s="295" cm="1">
        <f t="array" ref="M491">IF(AND(K491=MAX(K$10:K491), L491=MIN(IF(K$10:K491=K491, L$10:L491))), 1, 0)</f>
        <v>0</v>
      </c>
      <c r="N491" s="295">
        <f>IF(AND(Scenario[[#This Row],[Total Coverage]]&gt;=70%,Scenario[[#This Row],[Frontier]]=1),1,0)</f>
        <v>0</v>
      </c>
    </row>
    <row r="492" spans="1:14" x14ac:dyDescent="0.25">
      <c r="A492">
        <v>222</v>
      </c>
      <c r="B492">
        <v>0.75</v>
      </c>
      <c r="C492">
        <v>0.25</v>
      </c>
      <c r="D492">
        <v>0.25</v>
      </c>
      <c r="E492">
        <v>0.75</v>
      </c>
      <c r="F492">
        <v>0</v>
      </c>
      <c r="G492">
        <v>1</v>
      </c>
      <c r="H492">
        <v>0.75</v>
      </c>
      <c r="I492">
        <v>0.25</v>
      </c>
      <c r="J492" s="272">
        <f>$C$3*($C$4*$E$4*B491*$B$7)*$G$4+$C$3*($C$4*$E$5*D492*$D$7)*$G$4+$C$3*($C$4*$E$4*C492*$C$7)*$G$5+$C$3*($C$4*$E$5*E492*$E$7)*$G$5+$C$3*($C$5*$E$4*F492*$F$7)*$H$4+$C$3*($C$5*$E$5*H492*$H$7)*$H$4+$C$3*($C$5*$E$5*I492*$I$7)*$H$5+$C$3*($C$5*$E$4*G492*$G$7)*$H$5</f>
        <v>5767523.7080711676</v>
      </c>
      <c r="K492" s="277">
        <f>ROUND(($C$4*$E$4*B492*$B$7+$C$4*$E$4*C492*$C$7+$C$4*$E$5*D492*$D$7+$C$4*$E$5*E492*$E$7+($C$5*$E$4*F492*$F$7+$C$5*$E$4*G492*$G$7+$C$5*$E$5*H492*$H$7+$C$5*$E$5*I492*$I$7)),2)</f>
        <v>0.7</v>
      </c>
      <c r="L492" s="276">
        <f>Scenario[[#This Row],[Total Cost]]/(Scenario[[#This Row],[Total Coverage]]*100)</f>
        <v>82393.195829588105</v>
      </c>
      <c r="M492" s="295" cm="1">
        <f t="array" ref="M492">IF(AND(K492=MAX(K$10:K492), L492=MIN(IF(K$10:K492=K492, L$10:L492))), 1, 0)</f>
        <v>0</v>
      </c>
      <c r="N492" s="295">
        <f>IF(AND(Scenario[[#This Row],[Total Coverage]]&gt;=70%,Scenario[[#This Row],[Frontier]]=1),1,0)</f>
        <v>0</v>
      </c>
    </row>
    <row r="493" spans="1:14" x14ac:dyDescent="0.25">
      <c r="A493">
        <v>219</v>
      </c>
      <c r="B493">
        <v>0.75</v>
      </c>
      <c r="C493">
        <v>0.25</v>
      </c>
      <c r="D493">
        <v>0.25</v>
      </c>
      <c r="E493">
        <v>0.75</v>
      </c>
      <c r="F493">
        <v>0.25</v>
      </c>
      <c r="G493">
        <v>0.75</v>
      </c>
      <c r="H493">
        <v>0.25</v>
      </c>
      <c r="I493">
        <v>0.75</v>
      </c>
      <c r="J493" s="272">
        <f>$C$3*($C$4*$E$4*B492*$B$7)*$G$4+$C$3*($C$4*$E$5*D493*$D$7)*$G$4+$C$3*($C$4*$E$4*C493*$C$7)*$G$5+$C$3*($C$4*$E$5*E493*$E$7)*$G$5+$C$3*($C$5*$E$4*F493*$F$7)*$H$4+$C$3*($C$5*$E$5*H493*$H$7)*$H$4+$C$3*($C$5*$E$5*I493*$I$7)*$H$5+$C$3*($C$5*$E$4*G493*$G$7)*$H$5</f>
        <v>5586370.6069678357</v>
      </c>
      <c r="K493" s="277">
        <f>ROUND(($C$4*$E$4*B493*$B$7+$C$4*$E$4*C493*$C$7+$C$4*$E$5*D493*$D$7+$C$4*$E$5*E493*$E$7+($C$5*$E$4*F493*$F$7+$C$5*$E$4*G493*$G$7+$C$5*$E$5*H493*$H$7+$C$5*$E$5*I493*$I$7)),2)</f>
        <v>0.7</v>
      </c>
      <c r="L493" s="276">
        <f>Scenario[[#This Row],[Total Cost]]/(Scenario[[#This Row],[Total Coverage]]*100)</f>
        <v>79805.294385254791</v>
      </c>
      <c r="M493" s="295" cm="1">
        <f t="array" ref="M493">IF(AND(K493=MAX(K$10:K493), L493=MIN(IF(K$10:K493=K493, L$10:L493))), 1, 0)</f>
        <v>0</v>
      </c>
      <c r="N493" s="295">
        <f>IF(AND(Scenario[[#This Row],[Total Coverage]]&gt;=70%,Scenario[[#This Row],[Frontier]]=1),1,0)</f>
        <v>0</v>
      </c>
    </row>
    <row r="494" spans="1:14" x14ac:dyDescent="0.25">
      <c r="A494">
        <v>148</v>
      </c>
      <c r="B494">
        <v>0.75</v>
      </c>
      <c r="C494">
        <v>0.25</v>
      </c>
      <c r="D494">
        <v>1</v>
      </c>
      <c r="E494">
        <v>0</v>
      </c>
      <c r="F494">
        <v>0</v>
      </c>
      <c r="G494">
        <v>1</v>
      </c>
      <c r="H494">
        <v>0.5</v>
      </c>
      <c r="I494">
        <v>0.5</v>
      </c>
      <c r="J494" s="272">
        <f>$C$3*($C$4*$E$4*B493*$B$7)*$G$4+$C$3*($C$4*$E$5*D494*$D$7)*$G$4+$C$3*($C$4*$E$4*C494*$C$7)*$G$5+$C$3*($C$4*$E$5*E494*$E$7)*$G$5+$C$3*($C$5*$E$4*F494*$F$7)*$H$4+$C$3*($C$5*$E$5*H494*$H$7)*$H$4+$C$3*($C$5*$E$5*I494*$I$7)*$H$5+$C$3*($C$5*$E$4*G494*$G$7)*$H$5</f>
        <v>5488238.0003353525</v>
      </c>
      <c r="K494" s="277">
        <f>ROUND(($C$4*$E$4*B494*$B$7+$C$4*$E$4*C494*$C$7+$C$4*$E$5*D494*$D$7+$C$4*$E$5*E494*$E$7+($C$5*$E$4*F494*$F$7+$C$5*$E$4*G494*$G$7+$C$5*$E$5*H494*$H$7+$C$5*$E$5*I494*$I$7)),2)</f>
        <v>0.7</v>
      </c>
      <c r="L494" s="276">
        <f>Scenario[[#This Row],[Total Cost]]/(Scenario[[#This Row],[Total Coverage]]*100)</f>
        <v>78403.400004790747</v>
      </c>
      <c r="M494" s="295" cm="1">
        <f t="array" ref="M494">IF(AND(K494=MAX(K$10:K494), L494=MIN(IF(K$10:K494=K494, L$10:L494))), 1, 0)</f>
        <v>0</v>
      </c>
      <c r="N494" s="295">
        <f>IF(AND(Scenario[[#This Row],[Total Coverage]]&gt;=70%,Scenario[[#This Row],[Frontier]]=1),1,0)</f>
        <v>0</v>
      </c>
    </row>
    <row r="495" spans="1:14" x14ac:dyDescent="0.25">
      <c r="A495">
        <v>371</v>
      </c>
      <c r="B495">
        <v>0.5</v>
      </c>
      <c r="C495">
        <v>0.5</v>
      </c>
      <c r="D495">
        <v>0</v>
      </c>
      <c r="E495">
        <v>1</v>
      </c>
      <c r="F495">
        <v>0</v>
      </c>
      <c r="G495">
        <v>1</v>
      </c>
      <c r="H495">
        <v>1</v>
      </c>
      <c r="I495">
        <v>0</v>
      </c>
      <c r="J495" s="272">
        <f>$C$3*($C$4*$E$4*B494*$B$7)*$G$4+$C$3*($C$4*$E$5*D495*$D$7)*$G$4+$C$3*($C$4*$E$4*C495*$C$7)*$G$5+$C$3*($C$4*$E$5*E495*$E$7)*$G$5+$C$3*($C$5*$E$4*F495*$F$7)*$H$4+$C$3*($C$5*$E$5*H495*$H$7)*$H$4+$C$3*($C$5*$E$5*I495*$I$7)*$H$5+$C$3*($C$5*$E$4*G495*$G$7)*$H$5</f>
        <v>5958459.2225283235</v>
      </c>
      <c r="K495" s="277">
        <f>ROUND(($C$4*$E$4*B495*$B$7+$C$4*$E$4*C495*$C$7+$C$4*$E$5*D495*$D$7+$C$4*$E$5*E495*$E$7+($C$5*$E$4*F495*$F$7+$C$5*$E$4*G495*$G$7+$C$5*$E$5*H495*$H$7+$C$5*$E$5*I495*$I$7)),2)</f>
        <v>0.7</v>
      </c>
      <c r="L495" s="276">
        <f>Scenario[[#This Row],[Total Cost]]/(Scenario[[#This Row],[Total Coverage]]*100)</f>
        <v>85120.846036118906</v>
      </c>
      <c r="M495" s="295" cm="1">
        <f t="array" ref="M495">IF(AND(K495=MAX(K$10:K495), L495=MIN(IF(K$10:K495=K495, L$10:L495))), 1, 0)</f>
        <v>0</v>
      </c>
      <c r="N495" s="295">
        <f>IF(AND(Scenario[[#This Row],[Total Coverage]]&gt;=70%,Scenario[[#This Row],[Frontier]]=1),1,0)</f>
        <v>0</v>
      </c>
    </row>
    <row r="496" spans="1:14" x14ac:dyDescent="0.25">
      <c r="A496">
        <v>319</v>
      </c>
      <c r="B496">
        <v>0.5</v>
      </c>
      <c r="C496">
        <v>0.5</v>
      </c>
      <c r="D496">
        <v>0.5</v>
      </c>
      <c r="E496">
        <v>0.5</v>
      </c>
      <c r="F496">
        <v>0.25</v>
      </c>
      <c r="G496">
        <v>0.75</v>
      </c>
      <c r="H496">
        <v>0.25</v>
      </c>
      <c r="I496">
        <v>0.75</v>
      </c>
      <c r="J496" s="272">
        <f>$C$3*($C$4*$E$4*B495*$B$7)*$G$4+$C$3*($C$4*$E$5*D496*$D$7)*$G$4+$C$3*($C$4*$E$4*C496*$C$7)*$G$5+$C$3*($C$4*$E$5*E496*$E$7)*$G$5+$C$3*($C$5*$E$4*F496*$F$7)*$H$4+$C$3*($C$5*$E$5*H496*$H$7)*$H$4+$C$3*($C$5*$E$5*I496*$I$7)*$H$5+$C$3*($C$5*$E$4*G496*$G$7)*$H$5</f>
        <v>5788706.3622783348</v>
      </c>
      <c r="K496" s="277">
        <f>ROUND(($C$4*$E$4*B496*$B$7+$C$4*$E$4*C496*$C$7+$C$4*$E$5*D496*$D$7+$C$4*$E$5*E496*$E$7+($C$5*$E$4*F496*$F$7+$C$5*$E$4*G496*$G$7+$C$5*$E$5*H496*$H$7+$C$5*$E$5*I496*$I$7)),2)</f>
        <v>0.7</v>
      </c>
      <c r="L496" s="276">
        <f>Scenario[[#This Row],[Total Cost]]/(Scenario[[#This Row],[Total Coverage]]*100)</f>
        <v>82695.805175404777</v>
      </c>
      <c r="M496" s="295" cm="1">
        <f t="array" ref="M496">IF(AND(K496=MAX(K$10:K496), L496=MIN(IF(K$10:K496=K496, L$10:L496))), 1, 0)</f>
        <v>0</v>
      </c>
      <c r="N496" s="295">
        <f>IF(AND(Scenario[[#This Row],[Total Coverage]]&gt;=70%,Scenario[[#This Row],[Frontier]]=1),1,0)</f>
        <v>0</v>
      </c>
    </row>
    <row r="497" spans="1:14" x14ac:dyDescent="0.25">
      <c r="A497">
        <v>394</v>
      </c>
      <c r="B497">
        <v>0.25</v>
      </c>
      <c r="C497">
        <v>0.75</v>
      </c>
      <c r="D497">
        <v>1</v>
      </c>
      <c r="E497">
        <v>0</v>
      </c>
      <c r="F497">
        <v>0.25</v>
      </c>
      <c r="G497">
        <v>0.75</v>
      </c>
      <c r="H497">
        <v>0.25</v>
      </c>
      <c r="I497">
        <v>0.75</v>
      </c>
      <c r="J497" s="272">
        <f>$C$3*($C$4*$E$4*B496*$B$7)*$G$4+$C$3*($C$4*$E$5*D497*$D$7)*$G$4+$C$3*($C$4*$E$4*C497*$C$7)*$G$5+$C$3*($C$4*$E$5*E497*$E$7)*$G$5+$C$3*($C$5*$E$4*F497*$F$7)*$H$4+$C$3*($C$5*$E$5*H497*$H$7)*$H$4+$C$3*($C$5*$E$5*I497*$I$7)*$H$5+$C$3*($C$5*$E$4*G497*$G$7)*$H$5</f>
        <v>5913175.4267961737</v>
      </c>
      <c r="K497" s="277">
        <f>ROUND(($C$4*$E$4*B497*$B$7+$C$4*$E$4*C497*$C$7+$C$4*$E$5*D497*$D$7+$C$4*$E$5*E497*$E$7+($C$5*$E$4*F497*$F$7+$C$5*$E$4*G497*$G$7+$C$5*$E$5*H497*$H$7+$C$5*$E$5*I497*$I$7)),2)</f>
        <v>0.7</v>
      </c>
      <c r="L497" s="276">
        <f>Scenario[[#This Row],[Total Cost]]/(Scenario[[#This Row],[Total Coverage]]*100)</f>
        <v>84473.934668516769</v>
      </c>
      <c r="M497" s="295" cm="1">
        <f t="array" ref="M497">IF(AND(K497=MAX(K$10:K497), L497=MIN(IF(K$10:K497=K497, L$10:L497))), 1, 0)</f>
        <v>0</v>
      </c>
      <c r="N497" s="295">
        <f>IF(AND(Scenario[[#This Row],[Total Coverage]]&gt;=70%,Scenario[[#This Row],[Frontier]]=1),1,0)</f>
        <v>0</v>
      </c>
    </row>
    <row r="498" spans="1:14" x14ac:dyDescent="0.25">
      <c r="A498">
        <v>468</v>
      </c>
      <c r="B498">
        <v>0.25</v>
      </c>
      <c r="C498">
        <v>0.75</v>
      </c>
      <c r="D498">
        <v>0.25</v>
      </c>
      <c r="E498">
        <v>0.75</v>
      </c>
      <c r="F498">
        <v>0.25</v>
      </c>
      <c r="G498">
        <v>0.75</v>
      </c>
      <c r="H498">
        <v>0.5</v>
      </c>
      <c r="I498">
        <v>0.5</v>
      </c>
      <c r="J498" s="272">
        <f>$C$3*($C$4*$E$4*B497*$B$7)*$G$4+$C$3*($C$4*$E$5*D498*$D$7)*$G$4+$C$3*($C$4*$E$4*C498*$C$7)*$G$5+$C$3*($C$4*$E$5*E498*$E$7)*$G$5+$C$3*($C$5*$E$4*F498*$F$7)*$H$4+$C$3*($C$5*$E$5*H498*$H$7)*$H$4+$C$3*($C$5*$E$5*I498*$I$7)*$H$5+$C$3*($C$5*$E$4*G498*$G$7)*$H$5</f>
        <v>5979641.8767354898</v>
      </c>
      <c r="K498" s="277">
        <f>ROUND(($C$4*$E$4*B498*$B$7+$C$4*$E$4*C498*$C$7+$C$4*$E$5*D498*$D$7+$C$4*$E$5*E498*$E$7+($C$5*$E$4*F498*$F$7+$C$5*$E$4*G498*$G$7+$C$5*$E$5*H498*$H$7+$C$5*$E$5*I498*$I$7)),2)</f>
        <v>0.7</v>
      </c>
      <c r="L498" s="276">
        <f>Scenario[[#This Row],[Total Cost]]/(Scenario[[#This Row],[Total Coverage]]*100)</f>
        <v>85423.455381935564</v>
      </c>
      <c r="M498" s="295" cm="1">
        <f t="array" ref="M498">IF(AND(K498=MAX(K$10:K498), L498=MIN(IF(K$10:K498=K498, L$10:L498))), 1, 0)</f>
        <v>0</v>
      </c>
      <c r="N498" s="295">
        <f>IF(AND(Scenario[[#This Row],[Total Coverage]]&gt;=70%,Scenario[[#This Row],[Frontier]]=1),1,0)</f>
        <v>0</v>
      </c>
    </row>
    <row r="499" spans="1:14" x14ac:dyDescent="0.25">
      <c r="A499">
        <v>397</v>
      </c>
      <c r="B499">
        <v>0.25</v>
      </c>
      <c r="C499">
        <v>0.75</v>
      </c>
      <c r="D499">
        <v>1</v>
      </c>
      <c r="E499">
        <v>0</v>
      </c>
      <c r="F499">
        <v>0</v>
      </c>
      <c r="G499">
        <v>1</v>
      </c>
      <c r="H499">
        <v>0.75</v>
      </c>
      <c r="I499">
        <v>0.25</v>
      </c>
      <c r="J499" s="272">
        <f>$C$3*($C$4*$E$4*B498*$B$7)*$G$4+$C$3*($C$4*$E$5*D499*$D$7)*$G$4+$C$3*($C$4*$E$4*C499*$C$7)*$G$5+$C$3*($C$4*$E$5*E499*$E$7)*$G$5+$C$3*($C$5*$E$4*F499*$F$7)*$H$4+$C$3*($C$5*$E$5*H499*$H$7)*$H$4+$C$3*($C$5*$E$5*I499*$I$7)*$H$5+$C$3*($C$5*$E$4*G499*$G$7)*$H$5</f>
        <v>5881509.2701030066</v>
      </c>
      <c r="K499" s="277">
        <f>ROUND(($C$4*$E$4*B499*$B$7+$C$4*$E$4*C499*$C$7+$C$4*$E$5*D499*$D$7+$C$4*$E$5*E499*$E$7+($C$5*$E$4*F499*$F$7+$C$5*$E$4*G499*$G$7+$C$5*$E$5*H499*$H$7+$C$5*$E$5*I499*$I$7)),2)</f>
        <v>0.7</v>
      </c>
      <c r="L499" s="276">
        <f>Scenario[[#This Row],[Total Cost]]/(Scenario[[#This Row],[Total Coverage]]*100)</f>
        <v>84021.56100147152</v>
      </c>
      <c r="M499" s="295" cm="1">
        <f t="array" ref="M499">IF(AND(K499=MAX(K$10:K499), L499=MIN(IF(K$10:K499=K499, L$10:L499))), 1, 0)</f>
        <v>0</v>
      </c>
      <c r="N499" s="295">
        <f>IF(AND(Scenario[[#This Row],[Total Coverage]]&gt;=70%,Scenario[[#This Row],[Frontier]]=1),1,0)</f>
        <v>0</v>
      </c>
    </row>
    <row r="500" spans="1:14" x14ac:dyDescent="0.25">
      <c r="A500">
        <v>543</v>
      </c>
      <c r="B500">
        <v>0</v>
      </c>
      <c r="C500">
        <v>1</v>
      </c>
      <c r="D500">
        <v>0.75</v>
      </c>
      <c r="E500">
        <v>0.25</v>
      </c>
      <c r="F500">
        <v>0.25</v>
      </c>
      <c r="G500">
        <v>0.75</v>
      </c>
      <c r="H500">
        <v>0.5</v>
      </c>
      <c r="I500">
        <v>0.5</v>
      </c>
      <c r="J500" s="272">
        <f>$C$3*($C$4*$E$4*B499*$B$7)*$G$4+$C$3*($C$4*$E$5*D500*$D$7)*$G$4+$C$3*($C$4*$E$4*C500*$C$7)*$G$5+$C$3*($C$4*$E$5*E500*$E$7)*$G$5+$C$3*($C$5*$E$4*F500*$F$7)*$H$4+$C$3*($C$5*$E$5*H500*$H$7)*$H$4+$C$3*($C$5*$E$5*I500*$I$7)*$H$5+$C$3*($C$5*$E$4*G500*$G$7)*$H$5</f>
        <v>6104110.9412533287</v>
      </c>
      <c r="K500" s="277">
        <f>ROUND(($C$4*$E$4*B500*$B$7+$C$4*$E$4*C500*$C$7+$C$4*$E$5*D500*$D$7+$C$4*$E$5*E500*$E$7+($C$5*$E$4*F500*$F$7+$C$5*$E$4*G500*$G$7+$C$5*$E$5*H500*$H$7+$C$5*$E$5*I500*$I$7)),2)</f>
        <v>0.7</v>
      </c>
      <c r="L500" s="276">
        <f>Scenario[[#This Row],[Total Cost]]/(Scenario[[#This Row],[Total Coverage]]*100)</f>
        <v>87201.584875047556</v>
      </c>
      <c r="M500" s="295" cm="1">
        <f t="array" ref="M500">IF(AND(K500=MAX(K$10:K500), L500=MIN(IF(K$10:K500=K500, L$10:L500))), 1, 0)</f>
        <v>0</v>
      </c>
      <c r="N500" s="295">
        <f>IF(AND(Scenario[[#This Row],[Total Coverage]]&gt;=70%,Scenario[[#This Row],[Frontier]]=1),1,0)</f>
        <v>0</v>
      </c>
    </row>
    <row r="501" spans="1:14" x14ac:dyDescent="0.25">
      <c r="A501">
        <v>465</v>
      </c>
      <c r="B501">
        <v>0.25</v>
      </c>
      <c r="C501">
        <v>0.75</v>
      </c>
      <c r="D501">
        <v>0.25</v>
      </c>
      <c r="E501">
        <v>0.75</v>
      </c>
      <c r="F501">
        <v>0.5</v>
      </c>
      <c r="G501">
        <v>0.5</v>
      </c>
      <c r="H501">
        <v>0</v>
      </c>
      <c r="I501">
        <v>1</v>
      </c>
      <c r="J501" s="272">
        <f>$C$3*($C$4*$E$4*B500*$B$7)*$G$4+$C$3*($C$4*$E$5*D501*$D$7)*$G$4+$C$3*($C$4*$E$4*C501*$C$7)*$G$5+$C$3*($C$4*$E$5*E501*$E$7)*$G$5+$C$3*($C$5*$E$4*F501*$F$7)*$H$4+$C$3*($C$5*$E$5*H501*$H$7)*$H$4+$C$3*($C$5*$E$5*I501*$I$7)*$H$5+$C$3*($C$5*$E$4*G501*$G$7)*$H$5</f>
        <v>5798488.775632157</v>
      </c>
      <c r="K501" s="277">
        <f>ROUND(($C$4*$E$4*B501*$B$7+$C$4*$E$4*C501*$C$7+$C$4*$E$5*D501*$D$7+$C$4*$E$5*E501*$E$7+($C$5*$E$4*F501*$F$7+$C$5*$E$4*G501*$G$7+$C$5*$E$5*H501*$H$7+$C$5*$E$5*I501*$I$7)),2)</f>
        <v>0.7</v>
      </c>
      <c r="L501" s="276">
        <f>Scenario[[#This Row],[Total Cost]]/(Scenario[[#This Row],[Total Coverage]]*100)</f>
        <v>82835.55393760225</v>
      </c>
      <c r="M501" s="295" cm="1">
        <f t="array" ref="M501">IF(AND(K501=MAX(K$10:K501), L501=MIN(IF(K$10:K501=K501, L$10:L501))), 1, 0)</f>
        <v>0</v>
      </c>
      <c r="N501" s="295">
        <f>IF(AND(Scenario[[#This Row],[Total Coverage]]&gt;=70%,Scenario[[#This Row],[Frontier]]=1),1,0)</f>
        <v>0</v>
      </c>
    </row>
    <row r="502" spans="1:14" x14ac:dyDescent="0.25">
      <c r="A502">
        <v>546</v>
      </c>
      <c r="B502">
        <v>0</v>
      </c>
      <c r="C502">
        <v>1</v>
      </c>
      <c r="D502">
        <v>0.75</v>
      </c>
      <c r="E502">
        <v>0.25</v>
      </c>
      <c r="F502">
        <v>0</v>
      </c>
      <c r="G502">
        <v>1</v>
      </c>
      <c r="H502">
        <v>1</v>
      </c>
      <c r="I502">
        <v>0</v>
      </c>
      <c r="J502" s="272">
        <f>$C$3*($C$4*$E$4*B501*$B$7)*$G$4+$C$3*($C$4*$E$5*D502*$D$7)*$G$4+$C$3*($C$4*$E$4*C502*$C$7)*$G$5+$C$3*($C$4*$E$5*E502*$E$7)*$G$5+$C$3*($C$5*$E$4*F502*$F$7)*$H$4+$C$3*($C$5*$E$5*H502*$H$7)*$H$4+$C$3*($C$5*$E$5*I502*$I$7)*$H$5+$C$3*($C$5*$E$4*G502*$G$7)*$H$5</f>
        <v>6178854.4134584107</v>
      </c>
      <c r="K502" s="277">
        <f>ROUND(($C$4*$E$4*B502*$B$7+$C$4*$E$4*C502*$C$7+$C$4*$E$5*D502*$D$7+$C$4*$E$5*E502*$E$7+($C$5*$E$4*F502*$F$7+$C$5*$E$4*G502*$G$7+$C$5*$E$5*H502*$H$7+$C$5*$E$5*I502*$I$7)),2)</f>
        <v>0.7</v>
      </c>
      <c r="L502" s="276">
        <f>Scenario[[#This Row],[Total Cost]]/(Scenario[[#This Row],[Total Coverage]]*100)</f>
        <v>88269.348763691582</v>
      </c>
      <c r="M502" s="295" cm="1">
        <f t="array" ref="M502">IF(AND(K502=MAX(K$10:K502), L502=MIN(IF(K$10:K502=K502, L$10:L502))), 1, 0)</f>
        <v>0</v>
      </c>
      <c r="N502" s="295">
        <f>IF(AND(Scenario[[#This Row],[Total Coverage]]&gt;=70%,Scenario[[#This Row],[Frontier]]=1),1,0)</f>
        <v>0</v>
      </c>
    </row>
    <row r="503" spans="1:14" x14ac:dyDescent="0.25">
      <c r="A503">
        <v>614</v>
      </c>
      <c r="B503">
        <v>0</v>
      </c>
      <c r="C503">
        <v>1</v>
      </c>
      <c r="D503">
        <v>0</v>
      </c>
      <c r="E503">
        <v>1</v>
      </c>
      <c r="F503">
        <v>0.5</v>
      </c>
      <c r="G503">
        <v>0.5</v>
      </c>
      <c r="H503">
        <v>0.25</v>
      </c>
      <c r="I503">
        <v>0.75</v>
      </c>
      <c r="J503" s="272">
        <f>$C$3*($C$4*$E$4*B502*$B$7)*$G$4+$C$3*($C$4*$E$5*D503*$D$7)*$G$4+$C$3*($C$4*$E$4*C503*$C$7)*$G$5+$C$3*($C$4*$E$5*E503*$E$7)*$G$5+$C$3*($C$5*$E$4*F503*$F$7)*$H$4+$C$3*($C$5*$E$5*H503*$H$7)*$H$4+$C$3*($C$5*$E$5*I503*$I$7)*$H$5+$C$3*($C$5*$E$4*G503*$G$7)*$H$5</f>
        <v>6095833.918987561</v>
      </c>
      <c r="K503" s="277">
        <f>ROUND(($C$4*$E$4*B503*$B$7+$C$4*$E$4*C503*$C$7+$C$4*$E$5*D503*$D$7+$C$4*$E$5*E503*$E$7+($C$5*$E$4*F503*$F$7+$C$5*$E$4*G503*$G$7+$C$5*$E$5*H503*$H$7+$C$5*$E$5*I503*$I$7)),2)</f>
        <v>0.7</v>
      </c>
      <c r="L503" s="276">
        <f>Scenario[[#This Row],[Total Cost]]/(Scenario[[#This Row],[Total Coverage]]*100)</f>
        <v>87083.341699822297</v>
      </c>
      <c r="M503" s="295" cm="1">
        <f t="array" ref="M503">IF(AND(K503=MAX(K$10:K503), L503=MIN(IF(K$10:K503=K503, L$10:L503))), 1, 0)</f>
        <v>0</v>
      </c>
      <c r="N503" s="295">
        <f>IF(AND(Scenario[[#This Row],[Total Coverage]]&gt;=70%,Scenario[[#This Row],[Frontier]]=1),1,0)</f>
        <v>0</v>
      </c>
    </row>
    <row r="504" spans="1:14" x14ac:dyDescent="0.25">
      <c r="A504">
        <v>617</v>
      </c>
      <c r="B504">
        <v>0</v>
      </c>
      <c r="C504">
        <v>1</v>
      </c>
      <c r="D504">
        <v>0</v>
      </c>
      <c r="E504">
        <v>1</v>
      </c>
      <c r="F504">
        <v>0.25</v>
      </c>
      <c r="G504">
        <v>0.75</v>
      </c>
      <c r="H504">
        <v>0.75</v>
      </c>
      <c r="I504">
        <v>0.25</v>
      </c>
      <c r="J504" s="272">
        <f>$C$3*($C$4*$E$4*B503*$B$7)*$G$4+$C$3*($C$4*$E$5*D504*$D$7)*$G$4+$C$3*($C$4*$E$4*C504*$C$7)*$G$5+$C$3*($C$4*$E$5*E504*$E$7)*$G$5+$C$3*($C$5*$E$4*F504*$F$7)*$H$4+$C$3*($C$5*$E$5*H504*$H$7)*$H$4+$C$3*($C$5*$E$5*I504*$I$7)*$H$5+$C$3*($C$5*$E$4*G504*$G$7)*$H$5</f>
        <v>6170577.3911926448</v>
      </c>
      <c r="K504" s="277">
        <f>ROUND(($C$4*$E$4*B504*$B$7+$C$4*$E$4*C504*$C$7+$C$4*$E$5*D504*$D$7+$C$4*$E$5*E504*$E$7+($C$5*$E$4*F504*$F$7+$C$5*$E$4*G504*$G$7+$C$5*$E$5*H504*$H$7+$C$5*$E$5*I504*$I$7)),2)</f>
        <v>0.7</v>
      </c>
      <c r="L504" s="276">
        <f>Scenario[[#This Row],[Total Cost]]/(Scenario[[#This Row],[Total Coverage]]*100)</f>
        <v>88151.105588466351</v>
      </c>
      <c r="M504" s="295" cm="1">
        <f t="array" ref="M504">IF(AND(K504=MAX(K$10:K504), L504=MIN(IF(K$10:K504=K504, L$10:L504))), 1, 0)</f>
        <v>0</v>
      </c>
      <c r="N504" s="295">
        <f>IF(AND(Scenario[[#This Row],[Total Coverage]]&gt;=70%,Scenario[[#This Row],[Frontier]]=1),1,0)</f>
        <v>0</v>
      </c>
    </row>
    <row r="505" spans="1:14" x14ac:dyDescent="0.25">
      <c r="A505">
        <v>98</v>
      </c>
      <c r="B505">
        <v>1</v>
      </c>
      <c r="C505">
        <v>0</v>
      </c>
      <c r="D505">
        <v>0.25</v>
      </c>
      <c r="E505">
        <v>0.75</v>
      </c>
      <c r="F505">
        <v>0</v>
      </c>
      <c r="G505">
        <v>1</v>
      </c>
      <c r="H505">
        <v>0.5</v>
      </c>
      <c r="I505">
        <v>0.5</v>
      </c>
      <c r="J505" s="272">
        <f>$C$3*($C$4*$E$4*B504*$B$7)*$G$4+$C$3*($C$4*$E$5*D505*$D$7)*$G$4+$C$3*($C$4*$E$4*C505*$C$7)*$G$5+$C$3*($C$4*$E$5*E505*$E$7)*$G$5+$C$3*($C$5*$E$4*F505*$F$7)*$H$4+$C$3*($C$5*$E$5*H505*$H$7)*$H$4+$C$3*($C$5*$E$5*I505*$I$7)*$H$5+$C$3*($C$5*$E$4*G505*$G$7)*$H$5</f>
        <v>5228816.368813673</v>
      </c>
      <c r="K505" s="277">
        <f>ROUND(($C$4*$E$4*B505*$B$7+$C$4*$E$4*C505*$C$7+$C$4*$E$5*D505*$D$7+$C$4*$E$5*E505*$E$7+($C$5*$E$4*F505*$F$7+$C$5*$E$4*G505*$G$7+$C$5*$E$5*H505*$H$7+$C$5*$E$5*I505*$I$7)),2)</f>
        <v>0.71</v>
      </c>
      <c r="L505" s="276">
        <f>Scenario[[#This Row],[Total Cost]]/(Scenario[[#This Row],[Total Coverage]]*100)</f>
        <v>73645.300969206655</v>
      </c>
      <c r="M505" s="295" cm="1">
        <f t="array" ref="M505">IF(AND(K505=MAX(K$10:K505), L505=MIN(IF(K$10:K505=K505, L$10:L505))), 1, 0)</f>
        <v>1</v>
      </c>
      <c r="N505" s="295">
        <f>IF(AND(Scenario[[#This Row],[Total Coverage]]&gt;=70%,Scenario[[#This Row],[Frontier]]=1),1,0)</f>
        <v>1</v>
      </c>
    </row>
    <row r="506" spans="1:14" x14ac:dyDescent="0.25">
      <c r="A506">
        <v>95</v>
      </c>
      <c r="B506">
        <v>1</v>
      </c>
      <c r="C506">
        <v>0</v>
      </c>
      <c r="D506">
        <v>0.25</v>
      </c>
      <c r="E506">
        <v>0.75</v>
      </c>
      <c r="F506">
        <v>0.25</v>
      </c>
      <c r="G506">
        <v>0.75</v>
      </c>
      <c r="H506">
        <v>0</v>
      </c>
      <c r="I506">
        <v>1</v>
      </c>
      <c r="J506" s="272">
        <f>$C$3*($C$4*$E$4*B505*$B$7)*$G$4+$C$3*($C$4*$E$5*D506*$D$7)*$G$4+$C$3*($C$4*$E$4*C506*$C$7)*$G$5+$C$3*($C$4*$E$5*E506*$E$7)*$G$5+$C$3*($C$5*$E$4*F506*$F$7)*$H$4+$C$3*($C$5*$E$5*H506*$H$7)*$H$4+$C$3*($C$5*$E$5*I506*$I$7)*$H$5+$C$3*($C$5*$E$4*G506*$G$7)*$H$5</f>
        <v>5579711.412201589</v>
      </c>
      <c r="K506" s="277">
        <f>ROUND(($C$4*$E$4*B506*$B$7+$C$4*$E$4*C506*$C$7+$C$4*$E$5*D506*$D$7+$C$4*$E$5*E506*$E$7+($C$5*$E$4*F506*$F$7+$C$5*$E$4*G506*$G$7+$C$5*$E$5*H506*$H$7+$C$5*$E$5*I506*$I$7)),2)</f>
        <v>0.71</v>
      </c>
      <c r="L506" s="276">
        <f>Scenario[[#This Row],[Total Cost]]/(Scenario[[#This Row],[Total Coverage]]*100)</f>
        <v>78587.48467889562</v>
      </c>
      <c r="M506" s="295" cm="1">
        <f t="array" ref="M506">IF(AND(K506=MAX(K$10:K506), L506=MIN(IF(K$10:K506=K506, L$10:L506))), 1, 0)</f>
        <v>0</v>
      </c>
      <c r="N506" s="295">
        <f>IF(AND(Scenario[[#This Row],[Total Coverage]]&gt;=70%,Scenario[[#This Row],[Frontier]]=1),1,0)</f>
        <v>0</v>
      </c>
    </row>
    <row r="507" spans="1:14" x14ac:dyDescent="0.25">
      <c r="A507">
        <v>24</v>
      </c>
      <c r="B507">
        <v>1</v>
      </c>
      <c r="C507">
        <v>0</v>
      </c>
      <c r="D507">
        <v>1</v>
      </c>
      <c r="E507">
        <v>0</v>
      </c>
      <c r="F507">
        <v>0</v>
      </c>
      <c r="G507">
        <v>1</v>
      </c>
      <c r="H507">
        <v>0.25</v>
      </c>
      <c r="I507">
        <v>0.75</v>
      </c>
      <c r="J507" s="272">
        <f>$C$3*($C$4*$E$4*B506*$B$7)*$G$4+$C$3*($C$4*$E$5*D507*$D$7)*$G$4+$C$3*($C$4*$E$4*C507*$C$7)*$G$5+$C$3*($C$4*$E$5*E507*$E$7)*$G$5+$C$3*($C$5*$E$4*F507*$F$7)*$H$4+$C$3*($C$5*$E$5*H507*$H$7)*$H$4+$C$3*($C$5*$E$5*I507*$I$7)*$H$5+$C$3*($C$5*$E$4*G507*$G$7)*$H$5</f>
        <v>5481578.8055691058</v>
      </c>
      <c r="K507" s="277">
        <f>ROUND(($C$4*$E$4*B507*$B$7+$C$4*$E$4*C507*$C$7+$C$4*$E$5*D507*$D$7+$C$4*$E$5*E507*$E$7+($C$5*$E$4*F507*$F$7+$C$5*$E$4*G507*$G$7+$C$5*$E$5*H507*$H$7+$C$5*$E$5*I507*$I$7)),2)</f>
        <v>0.71</v>
      </c>
      <c r="L507" s="276">
        <f>Scenario[[#This Row],[Total Cost]]/(Scenario[[#This Row],[Total Coverage]]*100)</f>
        <v>77205.335289705719</v>
      </c>
      <c r="M507" s="295" cm="1">
        <f t="array" ref="M507">IF(AND(K507=MAX(K$10:K507), L507=MIN(IF(K$10:K507=K507, L$10:L507))), 1, 0)</f>
        <v>0</v>
      </c>
      <c r="N507" s="295">
        <f>IF(AND(Scenario[[#This Row],[Total Coverage]]&gt;=70%,Scenario[[#This Row],[Frontier]]=1),1,0)</f>
        <v>0</v>
      </c>
    </row>
    <row r="508" spans="1:14" x14ac:dyDescent="0.25">
      <c r="A508">
        <v>170</v>
      </c>
      <c r="B508">
        <v>0.75</v>
      </c>
      <c r="C508">
        <v>0.25</v>
      </c>
      <c r="D508">
        <v>0.75</v>
      </c>
      <c r="E508">
        <v>0.25</v>
      </c>
      <c r="F508">
        <v>0.25</v>
      </c>
      <c r="G508">
        <v>0.75</v>
      </c>
      <c r="H508">
        <v>0</v>
      </c>
      <c r="I508">
        <v>1</v>
      </c>
      <c r="J508" s="272">
        <f>$C$3*($C$4*$E$4*B507*$B$7)*$G$4+$C$3*($C$4*$E$5*D508*$D$7)*$G$4+$C$3*($C$4*$E$4*C508*$C$7)*$G$5+$C$3*($C$4*$E$5*E508*$E$7)*$G$5+$C$3*($C$5*$E$4*F508*$F$7)*$H$4+$C$3*($C$5*$E$5*H508*$H$7)*$H$4+$C$3*($C$5*$E$5*I508*$I$7)*$H$5+$C$3*($C$5*$E$4*G508*$G$7)*$H$5</f>
        <v>5704180.4767194288</v>
      </c>
      <c r="K508" s="277">
        <f>ROUND(($C$4*$E$4*B508*$B$7+$C$4*$E$4*C508*$C$7+$C$4*$E$5*D508*$D$7+$C$4*$E$5*E508*$E$7+($C$5*$E$4*F508*$F$7+$C$5*$E$4*G508*$G$7+$C$5*$E$5*H508*$H$7+$C$5*$E$5*I508*$I$7)),2)</f>
        <v>0.71</v>
      </c>
      <c r="L508" s="276">
        <f>Scenario[[#This Row],[Total Cost]]/(Scenario[[#This Row],[Total Coverage]]*100)</f>
        <v>80340.570094639843</v>
      </c>
      <c r="M508" s="295" cm="1">
        <f t="array" ref="M508">IF(AND(K508=MAX(K$10:K508), L508=MIN(IF(K$10:K508=K508, L$10:L508))), 1, 0)</f>
        <v>0</v>
      </c>
      <c r="N508" s="295">
        <f>IF(AND(Scenario[[#This Row],[Total Coverage]]&gt;=70%,Scenario[[#This Row],[Frontier]]=1),1,0)</f>
        <v>0</v>
      </c>
    </row>
    <row r="509" spans="1:14" x14ac:dyDescent="0.25">
      <c r="A509">
        <v>247</v>
      </c>
      <c r="B509">
        <v>0.75</v>
      </c>
      <c r="C509">
        <v>0.25</v>
      </c>
      <c r="D509">
        <v>0</v>
      </c>
      <c r="E509">
        <v>1</v>
      </c>
      <c r="F509">
        <v>0</v>
      </c>
      <c r="G509">
        <v>1</v>
      </c>
      <c r="H509">
        <v>0.75</v>
      </c>
      <c r="I509">
        <v>0.25</v>
      </c>
      <c r="J509" s="272">
        <f>$C$3*($C$4*$E$4*B508*$B$7)*$G$4+$C$3*($C$4*$E$5*D509*$D$7)*$G$4+$C$3*($C$4*$E$4*C509*$C$7)*$G$5+$C$3*($C$4*$E$5*E509*$E$7)*$G$5+$C$3*($C$5*$E$4*F509*$F$7)*$H$4+$C$3*($C$5*$E$5*H509*$H$7)*$H$4+$C$3*($C$5*$E$5*I509*$I$7)*$H$5+$C$3*($C$5*$E$4*G509*$G$7)*$H$5</f>
        <v>5845390.3988638259</v>
      </c>
      <c r="K509" s="277">
        <f>ROUND(($C$4*$E$4*B509*$B$7+$C$4*$E$4*C509*$C$7+$C$4*$E$5*D509*$D$7+$C$4*$E$5*E509*$E$7+($C$5*$E$4*F509*$F$7+$C$5*$E$4*G509*$G$7+$C$5*$E$5*H509*$H$7+$C$5*$E$5*I509*$I$7)),2)</f>
        <v>0.71</v>
      </c>
      <c r="L509" s="276">
        <f>Scenario[[#This Row],[Total Cost]]/(Scenario[[#This Row],[Total Coverage]]*100)</f>
        <v>82329.44223751867</v>
      </c>
      <c r="M509" s="295" cm="1">
        <f t="array" ref="M509">IF(AND(K509=MAX(K$10:K509), L509=MIN(IF(K$10:K509=K509, L$10:L509))), 1, 0)</f>
        <v>0</v>
      </c>
      <c r="N509" s="295">
        <f>IF(AND(Scenario[[#This Row],[Total Coverage]]&gt;=70%,Scenario[[#This Row],[Frontier]]=1),1,0)</f>
        <v>0</v>
      </c>
    </row>
    <row r="510" spans="1:14" x14ac:dyDescent="0.25">
      <c r="A510">
        <v>322</v>
      </c>
      <c r="B510">
        <v>0.5</v>
      </c>
      <c r="C510">
        <v>0.5</v>
      </c>
      <c r="D510">
        <v>0.5</v>
      </c>
      <c r="E510">
        <v>0.5</v>
      </c>
      <c r="F510">
        <v>0</v>
      </c>
      <c r="G510">
        <v>1</v>
      </c>
      <c r="H510">
        <v>0.75</v>
      </c>
      <c r="I510">
        <v>0.25</v>
      </c>
      <c r="J510" s="272">
        <f>$C$3*($C$4*$E$4*B509*$B$7)*$G$4+$C$3*($C$4*$E$5*D510*$D$7)*$G$4+$C$3*($C$4*$E$4*C510*$C$7)*$G$5+$C$3*($C$4*$E$5*E510*$E$7)*$G$5+$C$3*($C$5*$E$4*F510*$F$7)*$H$4+$C$3*($C$5*$E$5*H510*$H$7)*$H$4+$C$3*($C$5*$E$5*I510*$I$7)*$H$5+$C$3*($C$5*$E$4*G510*$G$7)*$H$5</f>
        <v>5969859.4633816667</v>
      </c>
      <c r="K510" s="277">
        <f>ROUND(($C$4*$E$4*B510*$B$7+$C$4*$E$4*C510*$C$7+$C$4*$E$5*D510*$D$7+$C$4*$E$5*E510*$E$7+($C$5*$E$4*F510*$F$7+$C$5*$E$4*G510*$G$7+$C$5*$E$5*H510*$H$7+$C$5*$E$5*I510*$I$7)),2)</f>
        <v>0.71</v>
      </c>
      <c r="L510" s="276">
        <f>Scenario[[#This Row],[Total Cost]]/(Scenario[[#This Row],[Total Coverage]]*100)</f>
        <v>84082.527653262907</v>
      </c>
      <c r="M510" s="295" cm="1">
        <f t="array" ref="M510">IF(AND(K510=MAX(K$10:K510), L510=MIN(IF(K$10:K510=K510, L$10:L510))), 1, 0)</f>
        <v>0</v>
      </c>
      <c r="N510" s="295">
        <f>IF(AND(Scenario[[#This Row],[Total Coverage]]&gt;=70%,Scenario[[#This Row],[Frontier]]=1),1,0)</f>
        <v>0</v>
      </c>
    </row>
    <row r="511" spans="1:14" x14ac:dyDescent="0.25">
      <c r="A511">
        <v>244</v>
      </c>
      <c r="B511">
        <v>0.75</v>
      </c>
      <c r="C511">
        <v>0.25</v>
      </c>
      <c r="D511">
        <v>0</v>
      </c>
      <c r="E511">
        <v>1</v>
      </c>
      <c r="F511">
        <v>0.25</v>
      </c>
      <c r="G511">
        <v>0.75</v>
      </c>
      <c r="H511">
        <v>0.25</v>
      </c>
      <c r="I511">
        <v>0.75</v>
      </c>
      <c r="J511" s="272">
        <f>$C$3*($C$4*$E$4*B510*$B$7)*$G$4+$C$3*($C$4*$E$5*D511*$D$7)*$G$4+$C$3*($C$4*$E$4*C511*$C$7)*$G$5+$C$3*($C$4*$E$5*E511*$E$7)*$G$5+$C$3*($C$5*$E$4*F511*$F$7)*$H$4+$C$3*($C$5*$E$5*H511*$H$7)*$H$4+$C$3*($C$5*$E$5*I511*$I$7)*$H$5+$C$3*($C$5*$E$4*G511*$G$7)*$H$5</f>
        <v>5664237.297760495</v>
      </c>
      <c r="K511" s="277">
        <f>ROUND(($C$4*$E$4*B511*$B$7+$C$4*$E$4*C511*$C$7+$C$4*$E$5*D511*$D$7+$C$4*$E$5*E511*$E$7+($C$5*$E$4*F511*$F$7+$C$5*$E$4*G511*$G$7+$C$5*$E$5*H511*$H$7+$C$5*$E$5*I511*$I$7)),2)</f>
        <v>0.71</v>
      </c>
      <c r="L511" s="276">
        <f>Scenario[[#This Row],[Total Cost]]/(Scenario[[#This Row],[Total Coverage]]*100)</f>
        <v>79777.990109302744</v>
      </c>
      <c r="M511" s="295" cm="1">
        <f t="array" ref="M511">IF(AND(K511=MAX(K$10:K511), L511=MIN(IF(K$10:K511=K511, L$10:L511))), 1, 0)</f>
        <v>0</v>
      </c>
      <c r="N511" s="295">
        <f>IF(AND(Scenario[[#This Row],[Total Coverage]]&gt;=70%,Scenario[[#This Row],[Frontier]]=1),1,0)</f>
        <v>0</v>
      </c>
    </row>
    <row r="512" spans="1:14" x14ac:dyDescent="0.25">
      <c r="A512">
        <v>173</v>
      </c>
      <c r="B512">
        <v>0.75</v>
      </c>
      <c r="C512">
        <v>0.25</v>
      </c>
      <c r="D512">
        <v>0.75</v>
      </c>
      <c r="E512">
        <v>0.25</v>
      </c>
      <c r="F512">
        <v>0</v>
      </c>
      <c r="G512">
        <v>1</v>
      </c>
      <c r="H512">
        <v>0.5</v>
      </c>
      <c r="I512">
        <v>0.5</v>
      </c>
      <c r="J512" s="272">
        <f>$C$3*($C$4*$E$4*B511*$B$7)*$G$4+$C$3*($C$4*$E$5*D512*$D$7)*$G$4+$C$3*($C$4*$E$4*C512*$C$7)*$G$5+$C$3*($C$4*$E$5*E512*$E$7)*$G$5+$C$3*($C$5*$E$4*F512*$F$7)*$H$4+$C$3*($C$5*$E$5*H512*$H$7)*$H$4+$C$3*($C$5*$E$5*I512*$I$7)*$H$5+$C$3*($C$5*$E$4*G512*$G$7)*$H$5</f>
        <v>5672514.3200262617</v>
      </c>
      <c r="K512" s="277">
        <f>ROUND(($C$4*$E$4*B512*$B$7+$C$4*$E$4*C512*$C$7+$C$4*$E$5*D512*$D$7+$C$4*$E$5*E512*$E$7+($C$5*$E$4*F512*$F$7+$C$5*$E$4*G512*$G$7+$C$5*$E$5*H512*$H$7+$C$5*$E$5*I512*$I$7)),2)</f>
        <v>0.71</v>
      </c>
      <c r="L512" s="276">
        <f>Scenario[[#This Row],[Total Cost]]/(Scenario[[#This Row],[Total Coverage]]*100)</f>
        <v>79894.567887693833</v>
      </c>
      <c r="M512" s="295" cm="1">
        <f t="array" ref="M512">IF(AND(K512=MAX(K$10:K512), L512=MIN(IF(K$10:K512=K512, L$10:L512))), 1, 0)</f>
        <v>0</v>
      </c>
      <c r="N512" s="295">
        <f>IF(AND(Scenario[[#This Row],[Total Coverage]]&gt;=70%,Scenario[[#This Row],[Frontier]]=1),1,0)</f>
        <v>0</v>
      </c>
    </row>
    <row r="513" spans="1:14" x14ac:dyDescent="0.25">
      <c r="A513">
        <v>270</v>
      </c>
      <c r="B513">
        <v>0.5</v>
      </c>
      <c r="C513">
        <v>0.5</v>
      </c>
      <c r="D513">
        <v>1</v>
      </c>
      <c r="E513">
        <v>0</v>
      </c>
      <c r="F513">
        <v>0.25</v>
      </c>
      <c r="G513">
        <v>0.75</v>
      </c>
      <c r="H513">
        <v>0</v>
      </c>
      <c r="I513">
        <v>1</v>
      </c>
      <c r="J513" s="272">
        <f>$C$3*($C$4*$E$4*B512*$B$7)*$G$4+$C$3*($C$4*$E$5*D513*$D$7)*$G$4+$C$3*($C$4*$E$4*C513*$C$7)*$G$5+$C$3*($C$4*$E$5*E513*$E$7)*$G$5+$C$3*($C$5*$E$4*F513*$F$7)*$H$4+$C$3*($C$5*$E$5*H513*$H$7)*$H$4+$C$3*($C$5*$E$5*I513*$I$7)*$H$5+$C$3*($C$5*$E$4*G513*$G$7)*$H$5</f>
        <v>5906516.232029927</v>
      </c>
      <c r="K513" s="277">
        <f>ROUND(($C$4*$E$4*B513*$B$7+$C$4*$E$4*C513*$C$7+$C$4*$E$5*D513*$D$7+$C$4*$E$5*E513*$E$7+($C$5*$E$4*F513*$F$7+$C$5*$E$4*G513*$G$7+$C$5*$E$5*H513*$H$7+$C$5*$E$5*I513*$I$7)),2)</f>
        <v>0.71</v>
      </c>
      <c r="L513" s="276">
        <f>Scenario[[#This Row],[Total Cost]]/(Scenario[[#This Row],[Total Coverage]]*100)</f>
        <v>83190.369465210242</v>
      </c>
      <c r="M513" s="295" cm="1">
        <f t="array" ref="M513">IF(AND(K513=MAX(K$10:K513), L513=MIN(IF(K$10:K513=K513, L$10:L513))), 1, 0)</f>
        <v>0</v>
      </c>
      <c r="N513" s="295">
        <f>IF(AND(Scenario[[#This Row],[Total Coverage]]&gt;=70%,Scenario[[#This Row],[Frontier]]=1),1,0)</f>
        <v>0</v>
      </c>
    </row>
    <row r="514" spans="1:14" x14ac:dyDescent="0.25">
      <c r="A514">
        <v>490</v>
      </c>
      <c r="B514">
        <v>0.25</v>
      </c>
      <c r="C514">
        <v>0.75</v>
      </c>
      <c r="D514">
        <v>0</v>
      </c>
      <c r="E514">
        <v>1</v>
      </c>
      <c r="F514">
        <v>0.5</v>
      </c>
      <c r="G514">
        <v>0.5</v>
      </c>
      <c r="H514">
        <v>0</v>
      </c>
      <c r="I514">
        <v>1</v>
      </c>
      <c r="J514" s="272">
        <f>$C$3*($C$4*$E$4*B513*$B$7)*$G$4+$C$3*($C$4*$E$5*D514*$D$7)*$G$4+$C$3*($C$4*$E$4*C514*$C$7)*$G$5+$C$3*($C$4*$E$5*E514*$E$7)*$G$5+$C$3*($C$5*$E$4*F514*$F$7)*$H$4+$C$3*($C$5*$E$5*H514*$H$7)*$H$4+$C$3*($C$5*$E$5*I514*$I$7)*$H$5+$C$3*($C$5*$E$4*G514*$G$7)*$H$5</f>
        <v>6195584.3531195642</v>
      </c>
      <c r="K514" s="277">
        <f>ROUND(($C$4*$E$4*B514*$B$7+$C$4*$E$4*C514*$C$7+$C$4*$E$5*D514*$D$7+$C$4*$E$5*E514*$E$7+($C$5*$E$4*F514*$F$7+$C$5*$E$4*G514*$G$7+$C$5*$E$5*H514*$H$7+$C$5*$E$5*I514*$I$7)),2)</f>
        <v>0.71</v>
      </c>
      <c r="L514" s="276">
        <f>Scenario[[#This Row],[Total Cost]]/(Scenario[[#This Row],[Total Coverage]]*100)</f>
        <v>87261.751452388227</v>
      </c>
      <c r="M514" s="295" cm="1">
        <f t="array" ref="M514">IF(AND(K514=MAX(K$10:K514), L514=MIN(IF(K$10:K514=K514, L$10:L514))), 1, 0)</f>
        <v>0</v>
      </c>
      <c r="N514" s="295">
        <f>IF(AND(Scenario[[#This Row],[Total Coverage]]&gt;=70%,Scenario[[#This Row],[Frontier]]=1),1,0)</f>
        <v>0</v>
      </c>
    </row>
    <row r="515" spans="1:14" x14ac:dyDescent="0.25">
      <c r="A515">
        <v>419</v>
      </c>
      <c r="B515">
        <v>0.25</v>
      </c>
      <c r="C515">
        <v>0.75</v>
      </c>
      <c r="D515">
        <v>0.75</v>
      </c>
      <c r="E515">
        <v>0.25</v>
      </c>
      <c r="F515">
        <v>0.25</v>
      </c>
      <c r="G515">
        <v>0.75</v>
      </c>
      <c r="H515">
        <v>0.25</v>
      </c>
      <c r="I515">
        <v>0.75</v>
      </c>
      <c r="J515" s="272">
        <f>$C$3*($C$4*$E$4*B514*$B$7)*$G$4+$C$3*($C$4*$E$5*D515*$D$7)*$G$4+$C$3*($C$4*$E$4*C515*$C$7)*$G$5+$C$3*($C$4*$E$5*E515*$E$7)*$G$5+$C$3*($C$5*$E$4*F515*$F$7)*$H$4+$C$3*($C$5*$E$5*H515*$H$7)*$H$4+$C$3*($C$5*$E$5*I515*$I$7)*$H$5+$C$3*($C$5*$E$4*G515*$G$7)*$H$5</f>
        <v>5991042.117588833</v>
      </c>
      <c r="K515" s="277">
        <f>ROUND(($C$4*$E$4*B515*$B$7+$C$4*$E$4*C515*$C$7+$C$4*$E$5*D515*$D$7+$C$4*$E$5*E515*$E$7+($C$5*$E$4*F515*$F$7+$C$5*$E$4*G515*$G$7+$C$5*$E$5*H515*$H$7+$C$5*$E$5*I515*$I$7)),2)</f>
        <v>0.71</v>
      </c>
      <c r="L515" s="276">
        <f>Scenario[[#This Row],[Total Cost]]/(Scenario[[#This Row],[Total Coverage]]*100)</f>
        <v>84380.874895617366</v>
      </c>
      <c r="M515" s="295" cm="1">
        <f t="array" ref="M515">IF(AND(K515=MAX(K$10:K515), L515=MIN(IF(K$10:K515=K515, L$10:L515))), 1, 0)</f>
        <v>0</v>
      </c>
      <c r="N515" s="295">
        <f>IF(AND(Scenario[[#This Row],[Total Coverage]]&gt;=70%,Scenario[[#This Row],[Frontier]]=1),1,0)</f>
        <v>0</v>
      </c>
    </row>
    <row r="516" spans="1:14" x14ac:dyDescent="0.25">
      <c r="A516">
        <v>565</v>
      </c>
      <c r="B516">
        <v>0</v>
      </c>
      <c r="C516">
        <v>1</v>
      </c>
      <c r="D516">
        <v>0.5</v>
      </c>
      <c r="E516">
        <v>0.5</v>
      </c>
      <c r="F516">
        <v>0.5</v>
      </c>
      <c r="G516">
        <v>0.5</v>
      </c>
      <c r="H516">
        <v>0</v>
      </c>
      <c r="I516">
        <v>1</v>
      </c>
      <c r="J516" s="272">
        <f>$C$3*($C$4*$E$4*B515*$B$7)*$G$4+$C$3*($C$4*$E$5*D516*$D$7)*$G$4+$C$3*($C$4*$E$4*C516*$C$7)*$G$5+$C$3*($C$4*$E$5*E516*$E$7)*$G$5+$C$3*($C$5*$E$4*F516*$F$7)*$H$4+$C$3*($C$5*$E$5*H516*$H$7)*$H$4+$C$3*($C$5*$E$5*I516*$I$7)*$H$5+$C$3*($C$5*$E$4*G516*$G$7)*$H$5</f>
        <v>6213643.7887391541</v>
      </c>
      <c r="K516" s="277">
        <f>ROUND(($C$4*$E$4*B516*$B$7+$C$4*$E$4*C516*$C$7+$C$4*$E$5*D516*$D$7+$C$4*$E$5*E516*$E$7+($C$5*$E$4*F516*$F$7+$C$5*$E$4*G516*$G$7+$C$5*$E$5*H516*$H$7+$C$5*$E$5*I516*$I$7)),2)</f>
        <v>0.71</v>
      </c>
      <c r="L516" s="276">
        <f>Scenario[[#This Row],[Total Cost]]/(Scenario[[#This Row],[Total Coverage]]*100)</f>
        <v>87516.10970055146</v>
      </c>
      <c r="M516" s="295" cm="1">
        <f t="array" ref="M516">IF(AND(K516=MAX(K$10:K516), L516=MIN(IF(K$10:K516=K516, L$10:L516))), 1, 0)</f>
        <v>0</v>
      </c>
      <c r="N516" s="295">
        <f>IF(AND(Scenario[[#This Row],[Total Coverage]]&gt;=70%,Scenario[[#This Row],[Frontier]]=1),1,0)</f>
        <v>0</v>
      </c>
    </row>
    <row r="517" spans="1:14" x14ac:dyDescent="0.25">
      <c r="A517">
        <v>471</v>
      </c>
      <c r="B517">
        <v>0.25</v>
      </c>
      <c r="C517">
        <v>0.75</v>
      </c>
      <c r="D517">
        <v>0.25</v>
      </c>
      <c r="E517">
        <v>0.75</v>
      </c>
      <c r="F517">
        <v>0</v>
      </c>
      <c r="G517">
        <v>1</v>
      </c>
      <c r="H517">
        <v>1</v>
      </c>
      <c r="I517">
        <v>0</v>
      </c>
      <c r="J517" s="272">
        <f>$C$3*($C$4*$E$4*B516*$B$7)*$G$4+$C$3*($C$4*$E$5*D517*$D$7)*$G$4+$C$3*($C$4*$E$4*C517*$C$7)*$G$5+$C$3*($C$4*$E$5*E517*$E$7)*$G$5+$C$3*($C$5*$E$4*F517*$F$7)*$H$4+$C$3*($C$5*$E$5*H517*$H$7)*$H$4+$C$3*($C$5*$E$5*I517*$I$7)*$H$5+$C$3*($C$5*$E$4*G517*$G$7)*$H$5</f>
        <v>5947975.7200423218</v>
      </c>
      <c r="K517" s="277">
        <f>ROUND(($C$4*$E$4*B517*$B$7+$C$4*$E$4*C517*$C$7+$C$4*$E$5*D517*$D$7+$C$4*$E$5*E517*$E$7+($C$5*$E$4*F517*$F$7+$C$5*$E$4*G517*$G$7+$C$5*$E$5*H517*$H$7+$C$5*$E$5*I517*$I$7)),2)</f>
        <v>0.71</v>
      </c>
      <c r="L517" s="276">
        <f>Scenario[[#This Row],[Total Cost]]/(Scenario[[#This Row],[Total Coverage]]*100)</f>
        <v>83774.305916089041</v>
      </c>
      <c r="M517" s="295" cm="1">
        <f t="array" ref="M517">IF(AND(K517=MAX(K$10:K517), L517=MIN(IF(K$10:K517=K517, L$10:L517))), 1, 0)</f>
        <v>0</v>
      </c>
      <c r="N517" s="295">
        <f>IF(AND(Scenario[[#This Row],[Total Coverage]]&gt;=70%,Scenario[[#This Row],[Frontier]]=1),1,0)</f>
        <v>0</v>
      </c>
    </row>
    <row r="518" spans="1:14" x14ac:dyDescent="0.25">
      <c r="A518">
        <v>568</v>
      </c>
      <c r="B518">
        <v>0</v>
      </c>
      <c r="C518">
        <v>1</v>
      </c>
      <c r="D518">
        <v>0.5</v>
      </c>
      <c r="E518">
        <v>0.5</v>
      </c>
      <c r="F518">
        <v>0.25</v>
      </c>
      <c r="G518">
        <v>0.75</v>
      </c>
      <c r="H518">
        <v>0.5</v>
      </c>
      <c r="I518">
        <v>0.5</v>
      </c>
      <c r="J518" s="272">
        <f>$C$3*($C$4*$E$4*B517*$B$7)*$G$4+$C$3*($C$4*$E$5*D518*$D$7)*$G$4+$C$3*($C$4*$E$4*C518*$C$7)*$G$5+$C$3*($C$4*$E$5*E518*$E$7)*$G$5+$C$3*($C$5*$E$4*F518*$F$7)*$H$4+$C$3*($C$5*$E$5*H518*$H$7)*$H$4+$C$3*($C$5*$E$5*I518*$I$7)*$H$5+$C$3*($C$5*$E$4*G518*$G$7)*$H$5</f>
        <v>6288387.2609442379</v>
      </c>
      <c r="K518" s="277">
        <f>ROUND(($C$4*$E$4*B518*$B$7+$C$4*$E$4*C518*$C$7+$C$4*$E$5*D518*$D$7+$C$4*$E$5*E518*$E$7+($C$5*$E$4*F518*$F$7+$C$5*$E$4*G518*$G$7+$C$5*$E$5*H518*$H$7+$C$5*$E$5*I518*$I$7)),2)</f>
        <v>0.71</v>
      </c>
      <c r="L518" s="276">
        <f>Scenario[[#This Row],[Total Cost]]/(Scenario[[#This Row],[Total Coverage]]*100)</f>
        <v>88568.834661186454</v>
      </c>
      <c r="M518" s="295" cm="1">
        <f t="array" ref="M518">IF(AND(K518=MAX(K$10:K518), L518=MIN(IF(K$10:K518=K518, L$10:L518))), 1, 0)</f>
        <v>0</v>
      </c>
      <c r="N518" s="295">
        <f>IF(AND(Scenario[[#This Row],[Total Coverage]]&gt;=70%,Scenario[[#This Row],[Frontier]]=1),1,0)</f>
        <v>0</v>
      </c>
    </row>
    <row r="519" spans="1:14" x14ac:dyDescent="0.25">
      <c r="A519">
        <v>120</v>
      </c>
      <c r="B519">
        <v>1</v>
      </c>
      <c r="C519">
        <v>0</v>
      </c>
      <c r="D519">
        <v>0</v>
      </c>
      <c r="E519">
        <v>1</v>
      </c>
      <c r="F519">
        <v>0.25</v>
      </c>
      <c r="G519">
        <v>0.75</v>
      </c>
      <c r="H519">
        <v>0</v>
      </c>
      <c r="I519">
        <v>1</v>
      </c>
      <c r="J519" s="272">
        <f>$C$3*($C$4*$E$4*B518*$B$7)*$G$4+$C$3*($C$4*$E$5*D519*$D$7)*$G$4+$C$3*($C$4*$E$4*C519*$C$7)*$G$5+$C$3*($C$4*$E$5*E519*$E$7)*$G$5+$C$3*($C$5*$E$4*F519*$F$7)*$H$4+$C$3*($C$5*$E$5*H519*$H$7)*$H$4+$C$3*($C$5*$E$5*I519*$I$7)*$H$5+$C$3*($C$5*$E$4*G519*$G$7)*$H$5</f>
        <v>5338349.2162995003</v>
      </c>
      <c r="K519" s="277">
        <f>ROUND(($C$4*$E$4*B519*$B$7+$C$4*$E$4*C519*$C$7+$C$4*$E$5*D519*$D$7+$C$4*$E$5*E519*$E$7+($C$5*$E$4*F519*$F$7+$C$5*$E$4*G519*$G$7+$C$5*$E$5*H519*$H$7+$C$5*$E$5*I519*$I$7)),2)</f>
        <v>0.72</v>
      </c>
      <c r="L519" s="276">
        <f>Scenario[[#This Row],[Total Cost]]/(Scenario[[#This Row],[Total Coverage]]*100)</f>
        <v>74143.739115270844</v>
      </c>
      <c r="M519" s="295" cm="1">
        <f t="array" ref="M519">IF(AND(K519=MAX(K$10:K519), L519=MIN(IF(K$10:K519=K519, L$10:L519))), 1, 0)</f>
        <v>1</v>
      </c>
      <c r="N519" s="295">
        <f>IF(AND(Scenario[[#This Row],[Total Coverage]]&gt;=70%,Scenario[[#This Row],[Frontier]]=1),1,0)</f>
        <v>1</v>
      </c>
    </row>
    <row r="520" spans="1:14" x14ac:dyDescent="0.25">
      <c r="A520">
        <v>49</v>
      </c>
      <c r="B520">
        <v>1</v>
      </c>
      <c r="C520">
        <v>0</v>
      </c>
      <c r="D520">
        <v>0.75</v>
      </c>
      <c r="E520">
        <v>0.25</v>
      </c>
      <c r="F520">
        <v>0</v>
      </c>
      <c r="G520">
        <v>1</v>
      </c>
      <c r="H520">
        <v>0.25</v>
      </c>
      <c r="I520">
        <v>0.75</v>
      </c>
      <c r="J520" s="272">
        <f>$C$3*($C$4*$E$4*B519*$B$7)*$G$4+$C$3*($C$4*$E$5*D520*$D$7)*$G$4+$C$3*($C$4*$E$4*C520*$C$7)*$G$5+$C$3*($C$4*$E$5*E520*$E$7)*$G$5+$C$3*($C$5*$E$4*F520*$F$7)*$H$4+$C$3*($C$5*$E$5*H520*$H$7)*$H$4+$C$3*($C$5*$E$5*I520*$I$7)*$H$5+$C$3*($C$5*$E$4*G520*$G$7)*$H$5</f>
        <v>5665855.1252600141</v>
      </c>
      <c r="K520" s="277">
        <f>ROUND(($C$4*$E$4*B520*$B$7+$C$4*$E$4*C520*$C$7+$C$4*$E$5*D520*$D$7+$C$4*$E$5*E520*$E$7+($C$5*$E$4*F520*$F$7+$C$5*$E$4*G520*$G$7+$C$5*$E$5*H520*$H$7+$C$5*$E$5*I520*$I$7)),2)</f>
        <v>0.72</v>
      </c>
      <c r="L520" s="276">
        <f>Scenario[[#This Row],[Total Cost]]/(Scenario[[#This Row],[Total Coverage]]*100)</f>
        <v>78692.432295277977</v>
      </c>
      <c r="M520" s="295" cm="1">
        <f t="array" ref="M520">IF(AND(K520=MAX(K$10:K520), L520=MIN(IF(K$10:K520=K520, L$10:L520))), 1, 0)</f>
        <v>0</v>
      </c>
      <c r="N520" s="295">
        <f>IF(AND(Scenario[[#This Row],[Total Coverage]]&gt;=70%,Scenario[[#This Row],[Frontier]]=1),1,0)</f>
        <v>0</v>
      </c>
    </row>
    <row r="521" spans="1:14" x14ac:dyDescent="0.25">
      <c r="A521">
        <v>195</v>
      </c>
      <c r="B521">
        <v>0.75</v>
      </c>
      <c r="C521">
        <v>0.25</v>
      </c>
      <c r="D521">
        <v>0.5</v>
      </c>
      <c r="E521">
        <v>0.5</v>
      </c>
      <c r="F521">
        <v>0.25</v>
      </c>
      <c r="G521">
        <v>0.75</v>
      </c>
      <c r="H521">
        <v>0</v>
      </c>
      <c r="I521">
        <v>1</v>
      </c>
      <c r="J521" s="272">
        <f>$C$3*($C$4*$E$4*B520*$B$7)*$G$4+$C$3*($C$4*$E$5*D521*$D$7)*$G$4+$C$3*($C$4*$E$4*C521*$C$7)*$G$5+$C$3*($C$4*$E$5*E521*$E$7)*$G$5+$C$3*($C$5*$E$4*F521*$F$7)*$H$4+$C$3*($C$5*$E$5*H521*$H$7)*$H$4+$C$3*($C$5*$E$5*I521*$I$7)*$H$5+$C$3*($C$5*$E$4*G521*$G$7)*$H$5</f>
        <v>5888456.7964103371</v>
      </c>
      <c r="K521" s="277">
        <f>ROUND(($C$4*$E$4*B521*$B$7+$C$4*$E$4*C521*$C$7+$C$4*$E$5*D521*$D$7+$C$4*$E$5*E521*$E$7+($C$5*$E$4*F521*$F$7+$C$5*$E$4*G521*$G$7+$C$5*$E$5*H521*$H$7+$C$5*$E$5*I521*$I$7)),2)</f>
        <v>0.72</v>
      </c>
      <c r="L521" s="276">
        <f>Scenario[[#This Row],[Total Cost]]/(Scenario[[#This Row],[Total Coverage]]*100)</f>
        <v>81784.122172365795</v>
      </c>
      <c r="M521" s="295" cm="1">
        <f t="array" ref="M521">IF(AND(K521=MAX(K$10:K521), L521=MIN(IF(K$10:K521=K521, L$10:L521))), 1, 0)</f>
        <v>0</v>
      </c>
      <c r="N521" s="295">
        <f>IF(AND(Scenario[[#This Row],[Total Coverage]]&gt;=70%,Scenario[[#This Row],[Frontier]]=1),1,0)</f>
        <v>0</v>
      </c>
    </row>
    <row r="522" spans="1:14" x14ac:dyDescent="0.25">
      <c r="A522">
        <v>198</v>
      </c>
      <c r="B522">
        <v>0.75</v>
      </c>
      <c r="C522">
        <v>0.25</v>
      </c>
      <c r="D522">
        <v>0.5</v>
      </c>
      <c r="E522">
        <v>0.5</v>
      </c>
      <c r="F522">
        <v>0</v>
      </c>
      <c r="G522">
        <v>1</v>
      </c>
      <c r="H522">
        <v>0.5</v>
      </c>
      <c r="I522">
        <v>0.5</v>
      </c>
      <c r="J522" s="272">
        <f>$C$3*($C$4*$E$4*B521*$B$7)*$G$4+$C$3*($C$4*$E$5*D522*$D$7)*$G$4+$C$3*($C$4*$E$4*C522*$C$7)*$G$5+$C$3*($C$4*$E$5*E522*$E$7)*$G$5+$C$3*($C$5*$E$4*F522*$F$7)*$H$4+$C$3*($C$5*$E$5*H522*$H$7)*$H$4+$C$3*($C$5*$E$5*I522*$I$7)*$H$5+$C$3*($C$5*$E$4*G522*$G$7)*$H$5</f>
        <v>5856790.6397171691</v>
      </c>
      <c r="K522" s="277">
        <f>ROUND(($C$4*$E$4*B522*$B$7+$C$4*$E$4*C522*$C$7+$C$4*$E$5*D522*$D$7+$C$4*$E$5*E522*$E$7+($C$5*$E$4*F522*$F$7+$C$5*$E$4*G522*$G$7+$C$5*$E$5*H522*$H$7+$C$5*$E$5*I522*$I$7)),2)</f>
        <v>0.72</v>
      </c>
      <c r="L522" s="276">
        <f>Scenario[[#This Row],[Total Cost]]/(Scenario[[#This Row],[Total Coverage]]*100)</f>
        <v>81344.314440516231</v>
      </c>
      <c r="M522" s="295" cm="1">
        <f t="array" ref="M522">IF(AND(K522=MAX(K$10:K522), L522=MIN(IF(K$10:K522=K522, L$10:L522))), 1, 0)</f>
        <v>0</v>
      </c>
      <c r="N522" s="295">
        <f>IF(AND(Scenario[[#This Row],[Total Coverage]]&gt;=70%,Scenario[[#This Row],[Frontier]]=1),1,0)</f>
        <v>0</v>
      </c>
    </row>
    <row r="523" spans="1:14" x14ac:dyDescent="0.25">
      <c r="A523">
        <v>347</v>
      </c>
      <c r="B523">
        <v>0.5</v>
      </c>
      <c r="C523">
        <v>0.5</v>
      </c>
      <c r="D523">
        <v>0.25</v>
      </c>
      <c r="E523">
        <v>0.75</v>
      </c>
      <c r="F523">
        <v>0</v>
      </c>
      <c r="G523">
        <v>1</v>
      </c>
      <c r="H523">
        <v>0.75</v>
      </c>
      <c r="I523">
        <v>0.25</v>
      </c>
      <c r="J523" s="272">
        <f>$C$3*($C$4*$E$4*B522*$B$7)*$G$4+$C$3*($C$4*$E$5*D523*$D$7)*$G$4+$C$3*($C$4*$E$4*C523*$C$7)*$G$5+$C$3*($C$4*$E$5*E523*$E$7)*$G$5+$C$3*($C$5*$E$4*F523*$F$7)*$H$4+$C$3*($C$5*$E$5*H523*$H$7)*$H$4+$C$3*($C$5*$E$5*I523*$I$7)*$H$5+$C$3*($C$5*$E$4*G523*$G$7)*$H$5</f>
        <v>6154135.7830725741</v>
      </c>
      <c r="K523" s="277">
        <f>ROUND(($C$4*$E$4*B523*$B$7+$C$4*$E$4*C523*$C$7+$C$4*$E$5*D523*$D$7+$C$4*$E$5*E523*$E$7+($C$5*$E$4*F523*$F$7+$C$5*$E$4*G523*$G$7+$C$5*$E$5*H523*$H$7+$C$5*$E$5*I523*$I$7)),2)</f>
        <v>0.72</v>
      </c>
      <c r="L523" s="276">
        <f>Scenario[[#This Row],[Total Cost]]/(Scenario[[#This Row],[Total Coverage]]*100)</f>
        <v>85474.108098230194</v>
      </c>
      <c r="M523" s="295" cm="1">
        <f t="array" ref="M523">IF(AND(K523=MAX(K$10:K523), L523=MIN(IF(K$10:K523=K523, L$10:L523))), 1, 0)</f>
        <v>0</v>
      </c>
      <c r="N523" s="295">
        <f>IF(AND(Scenario[[#This Row],[Total Coverage]]&gt;=70%,Scenario[[#This Row],[Frontier]]=1),1,0)</f>
        <v>0</v>
      </c>
    </row>
    <row r="524" spans="1:14" x14ac:dyDescent="0.25">
      <c r="A524">
        <v>344</v>
      </c>
      <c r="B524">
        <v>0.5</v>
      </c>
      <c r="C524">
        <v>0.5</v>
      </c>
      <c r="D524">
        <v>0.25</v>
      </c>
      <c r="E524">
        <v>0.75</v>
      </c>
      <c r="F524">
        <v>0.25</v>
      </c>
      <c r="G524">
        <v>0.75</v>
      </c>
      <c r="H524">
        <v>0.25</v>
      </c>
      <c r="I524">
        <v>0.75</v>
      </c>
      <c r="J524" s="272">
        <f>$C$3*($C$4*$E$4*B523*$B$7)*$G$4+$C$3*($C$4*$E$5*D524*$D$7)*$G$4+$C$3*($C$4*$E$4*C524*$C$7)*$G$5+$C$3*($C$4*$E$5*E524*$E$7)*$G$5+$C$3*($C$5*$E$4*F524*$F$7)*$H$4+$C$3*($C$5*$E$5*H524*$H$7)*$H$4+$C$3*($C$5*$E$5*I524*$I$7)*$H$5+$C$3*($C$5*$E$4*G524*$G$7)*$H$5</f>
        <v>5972982.6819692422</v>
      </c>
      <c r="K524" s="277">
        <f>ROUND(($C$4*$E$4*B524*$B$7+$C$4*$E$4*C524*$C$7+$C$4*$E$5*D524*$D$7+$C$4*$E$5*E524*$E$7+($C$5*$E$4*F524*$F$7+$C$5*$E$4*G524*$G$7+$C$5*$E$5*H524*$H$7+$C$5*$E$5*I524*$I$7)),2)</f>
        <v>0.72</v>
      </c>
      <c r="L524" s="276">
        <f>Scenario[[#This Row],[Total Cost]]/(Scenario[[#This Row],[Total Coverage]]*100)</f>
        <v>82958.09280512837</v>
      </c>
      <c r="M524" s="295" cm="1">
        <f t="array" ref="M524">IF(AND(K524=MAX(K$10:K524), L524=MIN(IF(K$10:K524=K524, L$10:L524))), 1, 0)</f>
        <v>0</v>
      </c>
      <c r="N524" s="295">
        <f>IF(AND(Scenario[[#This Row],[Total Coverage]]&gt;=70%,Scenario[[#This Row],[Frontier]]=1),1,0)</f>
        <v>0</v>
      </c>
    </row>
    <row r="525" spans="1:14" x14ac:dyDescent="0.25">
      <c r="A525">
        <v>273</v>
      </c>
      <c r="B525">
        <v>0.5</v>
      </c>
      <c r="C525">
        <v>0.5</v>
      </c>
      <c r="D525">
        <v>1</v>
      </c>
      <c r="E525">
        <v>0</v>
      </c>
      <c r="F525">
        <v>0</v>
      </c>
      <c r="G525">
        <v>1</v>
      </c>
      <c r="H525">
        <v>0.5</v>
      </c>
      <c r="I525">
        <v>0.5</v>
      </c>
      <c r="J525" s="272">
        <f>$C$3*($C$4*$E$4*B524*$B$7)*$G$4+$C$3*($C$4*$E$5*D525*$D$7)*$G$4+$C$3*($C$4*$E$4*C525*$C$7)*$G$5+$C$3*($C$4*$E$5*E525*$E$7)*$G$5+$C$3*($C$5*$E$4*F525*$F$7)*$H$4+$C$3*($C$5*$E$5*H525*$H$7)*$H$4+$C$3*($C$5*$E$5*I525*$I$7)*$H$5+$C$3*($C$5*$E$4*G525*$G$7)*$H$5</f>
        <v>5874850.0753367599</v>
      </c>
      <c r="K525" s="277">
        <f>ROUND(($C$4*$E$4*B525*$B$7+$C$4*$E$4*C525*$C$7+$C$4*$E$5*D525*$D$7+$C$4*$E$5*E525*$E$7+($C$5*$E$4*F525*$F$7+$C$5*$E$4*G525*$G$7+$C$5*$E$5*H525*$H$7+$C$5*$E$5*I525*$I$7)),2)</f>
        <v>0.72</v>
      </c>
      <c r="L525" s="276">
        <f>Scenario[[#This Row],[Total Cost]]/(Scenario[[#This Row],[Total Coverage]]*100)</f>
        <v>81595.139935232772</v>
      </c>
      <c r="M525" s="295" cm="1">
        <f t="array" ref="M525">IF(AND(K525=MAX(K$10:K525), L525=MIN(IF(K$10:K525=K525, L$10:L525))), 1, 0)</f>
        <v>0</v>
      </c>
      <c r="N525" s="295">
        <f>IF(AND(Scenario[[#This Row],[Total Coverage]]&gt;=70%,Scenario[[#This Row],[Frontier]]=1),1,0)</f>
        <v>0</v>
      </c>
    </row>
    <row r="526" spans="1:14" x14ac:dyDescent="0.25">
      <c r="A526">
        <v>493</v>
      </c>
      <c r="B526">
        <v>0.25</v>
      </c>
      <c r="C526">
        <v>0.75</v>
      </c>
      <c r="D526">
        <v>0</v>
      </c>
      <c r="E526">
        <v>1</v>
      </c>
      <c r="F526">
        <v>0.25</v>
      </c>
      <c r="G526">
        <v>0.75</v>
      </c>
      <c r="H526">
        <v>0.5</v>
      </c>
      <c r="I526">
        <v>0.5</v>
      </c>
      <c r="J526" s="272">
        <f>$C$3*($C$4*$E$4*B525*$B$7)*$G$4+$C$3*($C$4*$E$5*D526*$D$7)*$G$4+$C$3*($C$4*$E$4*C526*$C$7)*$G$5+$C$3*($C$4*$E$5*E526*$E$7)*$G$5+$C$3*($C$5*$E$4*F526*$F$7)*$H$4+$C$3*($C$5*$E$5*H526*$H$7)*$H$4+$C$3*($C$5*$E$5*I526*$I$7)*$H$5+$C$3*($C$5*$E$4*G526*$G$7)*$H$5</f>
        <v>6270327.8253246471</v>
      </c>
      <c r="K526" s="277">
        <f>ROUND(($C$4*$E$4*B526*$B$7+$C$4*$E$4*C526*$C$7+$C$4*$E$5*D526*$D$7+$C$4*$E$5*E526*$E$7+($C$5*$E$4*F526*$F$7+$C$5*$E$4*G526*$G$7+$C$5*$E$5*H526*$H$7+$C$5*$E$5*I526*$I$7)),2)</f>
        <v>0.72</v>
      </c>
      <c r="L526" s="276">
        <f>Scenario[[#This Row],[Total Cost]]/(Scenario[[#This Row],[Total Coverage]]*100)</f>
        <v>87087.886462842318</v>
      </c>
      <c r="M526" s="295" cm="1">
        <f t="array" ref="M526">IF(AND(K526=MAX(K$10:K526), L526=MIN(IF(K$10:K526=K526, L$10:L526))), 1, 0)</f>
        <v>0</v>
      </c>
      <c r="N526" s="295">
        <f>IF(AND(Scenario[[#This Row],[Total Coverage]]&gt;=70%,Scenario[[#This Row],[Frontier]]=1),1,0)</f>
        <v>0</v>
      </c>
    </row>
    <row r="527" spans="1:14" x14ac:dyDescent="0.25">
      <c r="A527">
        <v>422</v>
      </c>
      <c r="B527">
        <v>0.25</v>
      </c>
      <c r="C527">
        <v>0.75</v>
      </c>
      <c r="D527">
        <v>0.75</v>
      </c>
      <c r="E527">
        <v>0.25</v>
      </c>
      <c r="F527">
        <v>0</v>
      </c>
      <c r="G527">
        <v>1</v>
      </c>
      <c r="H527">
        <v>0.75</v>
      </c>
      <c r="I527">
        <v>0.25</v>
      </c>
      <c r="J527" s="272">
        <f>$C$3*($C$4*$E$4*B526*$B$7)*$G$4+$C$3*($C$4*$E$5*D527*$D$7)*$G$4+$C$3*($C$4*$E$4*C527*$C$7)*$G$5+$C$3*($C$4*$E$5*E527*$E$7)*$G$5+$C$3*($C$5*$E$4*F527*$F$7)*$H$4+$C$3*($C$5*$E$5*H527*$H$7)*$H$4+$C$3*($C$5*$E$5*I527*$I$7)*$H$5+$C$3*($C$5*$E$4*G527*$G$7)*$H$5</f>
        <v>6065785.5897939149</v>
      </c>
      <c r="K527" s="277">
        <f>ROUND(($C$4*$E$4*B527*$B$7+$C$4*$E$4*C527*$C$7+$C$4*$E$5*D527*$D$7+$C$4*$E$5*E527*$E$7+($C$5*$E$4*F527*$F$7+$C$5*$E$4*G527*$G$7+$C$5*$E$5*H527*$H$7+$C$5*$E$5*I527*$I$7)),2)</f>
        <v>0.72</v>
      </c>
      <c r="L527" s="276">
        <f>Scenario[[#This Row],[Total Cost]]/(Scenario[[#This Row],[Total Coverage]]*100)</f>
        <v>84247.022080471041</v>
      </c>
      <c r="M527" s="295" cm="1">
        <f t="array" ref="M527">IF(AND(K527=MAX(K$10:K527), L527=MIN(IF(K$10:K527=K527, L$10:L527))), 1, 0)</f>
        <v>0</v>
      </c>
      <c r="N527" s="295">
        <f>IF(AND(Scenario[[#This Row],[Total Coverage]]&gt;=70%,Scenario[[#This Row],[Frontier]]=1),1,0)</f>
        <v>0</v>
      </c>
    </row>
    <row r="528" spans="1:14" x14ac:dyDescent="0.25">
      <c r="A528">
        <v>519</v>
      </c>
      <c r="B528">
        <v>0</v>
      </c>
      <c r="C528">
        <v>1</v>
      </c>
      <c r="D528">
        <v>1</v>
      </c>
      <c r="E528">
        <v>0</v>
      </c>
      <c r="F528">
        <v>0.25</v>
      </c>
      <c r="G528">
        <v>0.75</v>
      </c>
      <c r="H528">
        <v>0.25</v>
      </c>
      <c r="I528">
        <v>0.75</v>
      </c>
      <c r="J528" s="272">
        <f>$C$3*($C$4*$E$4*B527*$B$7)*$G$4+$C$3*($C$4*$E$5*D528*$D$7)*$G$4+$C$3*($C$4*$E$4*C528*$C$7)*$G$5+$C$3*($C$4*$E$5*E528*$E$7)*$G$5+$C$3*($C$5*$E$4*F528*$F$7)*$H$4+$C$3*($C$5*$E$5*H528*$H$7)*$H$4+$C$3*($C$5*$E$5*I528*$I$7)*$H$5+$C$3*($C$5*$E$4*G528*$G$7)*$H$5</f>
        <v>6299787.5017975802</v>
      </c>
      <c r="K528" s="277">
        <f>ROUND(($C$4*$E$4*B528*$B$7+$C$4*$E$4*C528*$C$7+$C$4*$E$5*D528*$D$7+$C$4*$E$5*E528*$E$7+($C$5*$E$4*F528*$F$7+$C$5*$E$4*G528*$G$7+$C$5*$E$5*H528*$H$7+$C$5*$E$5*I528*$I$7)),2)</f>
        <v>0.72</v>
      </c>
      <c r="L528" s="276">
        <f>Scenario[[#This Row],[Total Cost]]/(Scenario[[#This Row],[Total Coverage]]*100)</f>
        <v>87497.048636077496</v>
      </c>
      <c r="M528" s="295" cm="1">
        <f t="array" ref="M528">IF(AND(K528=MAX(K$10:K528), L528=MIN(IF(K$10:K528=K528, L$10:L528))), 1, 0)</f>
        <v>0</v>
      </c>
      <c r="N528" s="295">
        <f>IF(AND(Scenario[[#This Row],[Total Coverage]]&gt;=70%,Scenario[[#This Row],[Frontier]]=1),1,0)</f>
        <v>0</v>
      </c>
    </row>
    <row r="529" spans="1:14" x14ac:dyDescent="0.25">
      <c r="A529">
        <v>590</v>
      </c>
      <c r="B529">
        <v>0</v>
      </c>
      <c r="C529">
        <v>1</v>
      </c>
      <c r="D529">
        <v>0.25</v>
      </c>
      <c r="E529">
        <v>0.75</v>
      </c>
      <c r="F529">
        <v>0.5</v>
      </c>
      <c r="G529">
        <v>0.5</v>
      </c>
      <c r="H529">
        <v>0</v>
      </c>
      <c r="I529">
        <v>1</v>
      </c>
      <c r="J529" s="272">
        <f>$C$3*($C$4*$E$4*B528*$B$7)*$G$4+$C$3*($C$4*$E$5*D529*$D$7)*$G$4+$C$3*($C$4*$E$4*C529*$C$7)*$G$5+$C$3*($C$4*$E$5*E529*$E$7)*$G$5+$C$3*($C$5*$E$4*F529*$F$7)*$H$4+$C$3*($C$5*$E$5*H529*$H$7)*$H$4+$C$3*($C$5*$E$5*I529*$I$7)*$H$5+$C$3*($C$5*$E$4*G529*$G$7)*$H$5</f>
        <v>6291510.4795318134</v>
      </c>
      <c r="K529" s="277">
        <f>ROUND(($C$4*$E$4*B529*$B$7+$C$4*$E$4*C529*$C$7+$C$4*$E$5*D529*$D$7+$C$4*$E$5*E529*$E$7+($C$5*$E$4*F529*$F$7+$C$5*$E$4*G529*$G$7+$C$5*$E$5*H529*$H$7+$C$5*$E$5*I529*$I$7)),2)</f>
        <v>0.72</v>
      </c>
      <c r="L529" s="276">
        <f>Scenario[[#This Row],[Total Cost]]/(Scenario[[#This Row],[Total Coverage]]*100)</f>
        <v>87382.089993497415</v>
      </c>
      <c r="M529" s="295" cm="1">
        <f t="array" ref="M529">IF(AND(K529=MAX(K$10:K529), L529=MIN(IF(K$10:K529=K529, L$10:L529))), 1, 0)</f>
        <v>0</v>
      </c>
      <c r="N529" s="295">
        <f>IF(AND(Scenario[[#This Row],[Total Coverage]]&gt;=70%,Scenario[[#This Row],[Frontier]]=1),1,0)</f>
        <v>0</v>
      </c>
    </row>
    <row r="530" spans="1:14" x14ac:dyDescent="0.25">
      <c r="A530">
        <v>496</v>
      </c>
      <c r="B530">
        <v>0.25</v>
      </c>
      <c r="C530">
        <v>0.75</v>
      </c>
      <c r="D530">
        <v>0</v>
      </c>
      <c r="E530">
        <v>1</v>
      </c>
      <c r="F530">
        <v>0</v>
      </c>
      <c r="G530">
        <v>1</v>
      </c>
      <c r="H530">
        <v>1</v>
      </c>
      <c r="I530">
        <v>0</v>
      </c>
      <c r="J530" s="272">
        <f>$C$3*($C$4*$E$4*B529*$B$7)*$G$4+$C$3*($C$4*$E$5*D530*$D$7)*$G$4+$C$3*($C$4*$E$4*C530*$C$7)*$G$5+$C$3*($C$4*$E$5*E530*$E$7)*$G$5+$C$3*($C$5*$E$4*F530*$F$7)*$H$4+$C$3*($C$5*$E$5*H530*$H$7)*$H$4+$C$3*($C$5*$E$5*I530*$I$7)*$H$5+$C$3*($C$5*$E$4*G530*$G$7)*$H$5</f>
        <v>6132252.0397332311</v>
      </c>
      <c r="K530" s="277">
        <f>ROUND(($C$4*$E$4*B530*$B$7+$C$4*$E$4*C530*$C$7+$C$4*$E$5*D530*$D$7+$C$4*$E$5*E530*$E$7+($C$5*$E$4*F530*$F$7+$C$5*$E$4*G530*$G$7+$C$5*$E$5*H530*$H$7+$C$5*$E$5*I530*$I$7)),2)</f>
        <v>0.72</v>
      </c>
      <c r="L530" s="276">
        <f>Scenario[[#This Row],[Total Cost]]/(Scenario[[#This Row],[Total Coverage]]*100)</f>
        <v>85170.167218517105</v>
      </c>
      <c r="M530" s="295" cm="1">
        <f t="array" ref="M530">IF(AND(K530=MAX(K$10:K530), L530=MIN(IF(K$10:K530=K530, L$10:L530))), 1, 0)</f>
        <v>0</v>
      </c>
      <c r="N530" s="295">
        <f>IF(AND(Scenario[[#This Row],[Total Coverage]]&gt;=70%,Scenario[[#This Row],[Frontier]]=1),1,0)</f>
        <v>0</v>
      </c>
    </row>
    <row r="531" spans="1:14" x14ac:dyDescent="0.25">
      <c r="A531">
        <v>571</v>
      </c>
      <c r="B531">
        <v>0</v>
      </c>
      <c r="C531">
        <v>1</v>
      </c>
      <c r="D531">
        <v>0.5</v>
      </c>
      <c r="E531">
        <v>0.5</v>
      </c>
      <c r="F531">
        <v>0</v>
      </c>
      <c r="G531">
        <v>1</v>
      </c>
      <c r="H531">
        <v>1</v>
      </c>
      <c r="I531">
        <v>0</v>
      </c>
      <c r="J531" s="272">
        <f>$C$3*($C$4*$E$4*B530*$B$7)*$G$4+$C$3*($C$4*$E$5*D531*$D$7)*$G$4+$C$3*($C$4*$E$4*C531*$C$7)*$G$5+$C$3*($C$4*$E$5*E531*$E$7)*$G$5+$C$3*($C$5*$E$4*F531*$F$7)*$H$4+$C$3*($C$5*$E$5*H531*$H$7)*$H$4+$C$3*($C$5*$E$5*I531*$I$7)*$H$5+$C$3*($C$5*$E$4*G531*$G$7)*$H$5</f>
        <v>6363130.7331493199</v>
      </c>
      <c r="K531" s="277">
        <f>ROUND(($C$4*$E$4*B531*$B$7+$C$4*$E$4*C531*$C$7+$C$4*$E$5*D531*$D$7+$C$4*$E$5*E531*$E$7+($C$5*$E$4*F531*$F$7+$C$5*$E$4*G531*$G$7+$C$5*$E$5*H531*$H$7+$C$5*$E$5*I531*$I$7)),2)</f>
        <v>0.72</v>
      </c>
      <c r="L531" s="276">
        <f>Scenario[[#This Row],[Total Cost]]/(Scenario[[#This Row],[Total Coverage]]*100)</f>
        <v>88376.815738185003</v>
      </c>
      <c r="M531" s="295" cm="1">
        <f t="array" ref="M531">IF(AND(K531=MAX(K$10:K531), L531=MIN(IF(K$10:K531=K531, L$10:L531))), 1, 0)</f>
        <v>0</v>
      </c>
      <c r="N531" s="295">
        <f>IF(AND(Scenario[[#This Row],[Total Coverage]]&gt;=70%,Scenario[[#This Row],[Frontier]]=1),1,0)</f>
        <v>0</v>
      </c>
    </row>
    <row r="532" spans="1:14" x14ac:dyDescent="0.25">
      <c r="A532">
        <v>123</v>
      </c>
      <c r="B532">
        <v>1</v>
      </c>
      <c r="C532">
        <v>0</v>
      </c>
      <c r="D532">
        <v>0</v>
      </c>
      <c r="E532">
        <v>1</v>
      </c>
      <c r="F532">
        <v>0</v>
      </c>
      <c r="G532">
        <v>1</v>
      </c>
      <c r="H532">
        <v>0.5</v>
      </c>
      <c r="I532">
        <v>0.5</v>
      </c>
      <c r="J532" s="272">
        <f>$C$3*($C$4*$E$4*B531*$B$7)*$G$4+$C$3*($C$4*$E$5*D532*$D$7)*$G$4+$C$3*($C$4*$E$4*C532*$C$7)*$G$5+$C$3*($C$4*$E$5*E532*$E$7)*$G$5+$C$3*($C$5*$E$4*F532*$F$7)*$H$4+$C$3*($C$5*$E$5*H532*$H$7)*$H$4+$C$3*($C$5*$E$5*I532*$I$7)*$H$5+$C$3*($C$5*$E$4*G532*$G$7)*$H$5</f>
        <v>5413092.6885045823</v>
      </c>
      <c r="K532" s="277">
        <f>ROUND(($C$4*$E$4*B532*$B$7+$C$4*$E$4*C532*$C$7+$C$4*$E$5*D532*$D$7+$C$4*$E$5*E532*$E$7+($C$5*$E$4*F532*$F$7+$C$5*$E$4*G532*$G$7+$C$5*$E$5*H532*$H$7+$C$5*$E$5*I532*$I$7)),2)</f>
        <v>0.73</v>
      </c>
      <c r="L532" s="276">
        <f>Scenario[[#This Row],[Total Cost]]/(Scenario[[#This Row],[Total Coverage]]*100)</f>
        <v>74151.954637049072</v>
      </c>
      <c r="M532" s="295" cm="1">
        <f t="array" ref="M532">IF(AND(K532=MAX(K$10:K532), L532=MIN(IF(K$10:K532=K532, L$10:L532))), 1, 0)</f>
        <v>1</v>
      </c>
      <c r="N532" s="295">
        <f>IF(AND(Scenario[[#This Row],[Total Coverage]]&gt;=70%,Scenario[[#This Row],[Frontier]]=1),1,0)</f>
        <v>1</v>
      </c>
    </row>
    <row r="533" spans="1:14" x14ac:dyDescent="0.25">
      <c r="A533">
        <v>220</v>
      </c>
      <c r="B533">
        <v>0.75</v>
      </c>
      <c r="C533">
        <v>0.25</v>
      </c>
      <c r="D533">
        <v>0.25</v>
      </c>
      <c r="E533">
        <v>0.75</v>
      </c>
      <c r="F533">
        <v>0.25</v>
      </c>
      <c r="G533">
        <v>0.75</v>
      </c>
      <c r="H533">
        <v>0</v>
      </c>
      <c r="I533">
        <v>1</v>
      </c>
      <c r="J533" s="272">
        <f>$C$3*($C$4*$E$4*B532*$B$7)*$G$4+$C$3*($C$4*$E$5*D533*$D$7)*$G$4+$C$3*($C$4*$E$4*C533*$C$7)*$G$5+$C$3*($C$4*$E$5*E533*$E$7)*$G$5+$C$3*($C$5*$E$4*F533*$F$7)*$H$4+$C$3*($C$5*$E$5*H533*$H$7)*$H$4+$C$3*($C$5*$E$5*I533*$I$7)*$H$5+$C$3*($C$5*$E$4*G533*$G$7)*$H$5</f>
        <v>6072733.1161012454</v>
      </c>
      <c r="K533" s="277">
        <f>ROUND(($C$4*$E$4*B533*$B$7+$C$4*$E$4*C533*$C$7+$C$4*$E$5*D533*$D$7+$C$4*$E$5*E533*$E$7+($C$5*$E$4*F533*$F$7+$C$5*$E$4*G533*$G$7+$C$5*$E$5*H533*$H$7+$C$5*$E$5*I533*$I$7)),2)</f>
        <v>0.73</v>
      </c>
      <c r="L533" s="276">
        <f>Scenario[[#This Row],[Total Cost]]/(Scenario[[#This Row],[Total Coverage]]*100)</f>
        <v>83188.124878099246</v>
      </c>
      <c r="M533" s="295" cm="1">
        <f t="array" ref="M533">IF(AND(K533=MAX(K$10:K533), L533=MIN(IF(K$10:K533=K533, L$10:L533))), 1, 0)</f>
        <v>0</v>
      </c>
      <c r="N533" s="295">
        <f>IF(AND(Scenario[[#This Row],[Total Coverage]]&gt;=70%,Scenario[[#This Row],[Frontier]]=1),1,0)</f>
        <v>0</v>
      </c>
    </row>
    <row r="534" spans="1:14" x14ac:dyDescent="0.25">
      <c r="A534">
        <v>149</v>
      </c>
      <c r="B534">
        <v>0.75</v>
      </c>
      <c r="C534">
        <v>0.25</v>
      </c>
      <c r="D534">
        <v>1</v>
      </c>
      <c r="E534">
        <v>0</v>
      </c>
      <c r="F534">
        <v>0</v>
      </c>
      <c r="G534">
        <v>1</v>
      </c>
      <c r="H534">
        <v>0.25</v>
      </c>
      <c r="I534">
        <v>0.75</v>
      </c>
      <c r="J534" s="272">
        <f>$C$3*($C$4*$E$4*B533*$B$7)*$G$4+$C$3*($C$4*$E$5*D534*$D$7)*$G$4+$C$3*($C$4*$E$4*C534*$C$7)*$G$5+$C$3*($C$4*$E$5*E534*$E$7)*$G$5+$C$3*($C$5*$E$4*F534*$F$7)*$H$4+$C$3*($C$5*$E$5*H534*$H$7)*$H$4+$C$3*($C$5*$E$5*I534*$I$7)*$H$5+$C$3*($C$5*$E$4*G534*$G$7)*$H$5</f>
        <v>5868190.8805705123</v>
      </c>
      <c r="K534" s="277">
        <f>ROUND(($C$4*$E$4*B534*$B$7+$C$4*$E$4*C534*$C$7+$C$4*$E$5*D534*$D$7+$C$4*$E$5*E534*$E$7+($C$5*$E$4*F534*$F$7+$C$5*$E$4*G534*$G$7+$C$5*$E$5*H534*$H$7+$C$5*$E$5*I534*$I$7)),2)</f>
        <v>0.73</v>
      </c>
      <c r="L534" s="276">
        <f>Scenario[[#This Row],[Total Cost]]/(Scenario[[#This Row],[Total Coverage]]*100)</f>
        <v>80386.176446171405</v>
      </c>
      <c r="M534" s="295" cm="1">
        <f t="array" ref="M534">IF(AND(K534=MAX(K$10:K534), L534=MIN(IF(K$10:K534=K534, L$10:L534))), 1, 0)</f>
        <v>0</v>
      </c>
      <c r="N534" s="295">
        <f>IF(AND(Scenario[[#This Row],[Total Coverage]]&gt;=70%,Scenario[[#This Row],[Frontier]]=1),1,0)</f>
        <v>0</v>
      </c>
    </row>
    <row r="535" spans="1:14" x14ac:dyDescent="0.25">
      <c r="A535">
        <v>295</v>
      </c>
      <c r="B535">
        <v>0.5</v>
      </c>
      <c r="C535">
        <v>0.5</v>
      </c>
      <c r="D535">
        <v>0.75</v>
      </c>
      <c r="E535">
        <v>0.25</v>
      </c>
      <c r="F535">
        <v>0.25</v>
      </c>
      <c r="G535">
        <v>0.75</v>
      </c>
      <c r="H535">
        <v>0</v>
      </c>
      <c r="I535">
        <v>1</v>
      </c>
      <c r="J535" s="272">
        <f>$C$3*($C$4*$E$4*B534*$B$7)*$G$4+$C$3*($C$4*$E$5*D535*$D$7)*$G$4+$C$3*($C$4*$E$4*C535*$C$7)*$G$5+$C$3*($C$4*$E$5*E535*$E$7)*$G$5+$C$3*($C$5*$E$4*F535*$F$7)*$H$4+$C$3*($C$5*$E$5*H535*$H$7)*$H$4+$C$3*($C$5*$E$5*I535*$I$7)*$H$5+$C$3*($C$5*$E$4*G535*$G$7)*$H$5</f>
        <v>6090792.5517208353</v>
      </c>
      <c r="K535" s="277">
        <f>ROUND(($C$4*$E$4*B535*$B$7+$C$4*$E$4*C535*$C$7+$C$4*$E$5*D535*$D$7+$C$4*$E$5*E535*$E$7+($C$5*$E$4*F535*$F$7+$C$5*$E$4*G535*$G$7+$C$5*$E$5*H535*$H$7+$C$5*$E$5*I535*$I$7)),2)</f>
        <v>0.73</v>
      </c>
      <c r="L535" s="276">
        <f>Scenario[[#This Row],[Total Cost]]/(Scenario[[#This Row],[Total Coverage]]*100)</f>
        <v>83435.514407134731</v>
      </c>
      <c r="M535" s="295" cm="1">
        <f t="array" ref="M535">IF(AND(K535=MAX(K$10:K535), L535=MIN(IF(K$10:K535=K535, L$10:L535))), 1, 0)</f>
        <v>0</v>
      </c>
      <c r="N535" s="295">
        <f>IF(AND(Scenario[[#This Row],[Total Coverage]]&gt;=70%,Scenario[[#This Row],[Frontier]]=1),1,0)</f>
        <v>0</v>
      </c>
    </row>
    <row r="536" spans="1:14" x14ac:dyDescent="0.25">
      <c r="A536">
        <v>369</v>
      </c>
      <c r="B536">
        <v>0.5</v>
      </c>
      <c r="C536">
        <v>0.5</v>
      </c>
      <c r="D536">
        <v>0</v>
      </c>
      <c r="E536">
        <v>1</v>
      </c>
      <c r="F536">
        <v>0.25</v>
      </c>
      <c r="G536">
        <v>0.75</v>
      </c>
      <c r="H536">
        <v>0.25</v>
      </c>
      <c r="I536">
        <v>0.75</v>
      </c>
      <c r="J536" s="272">
        <f>$C$3*($C$4*$E$4*B535*$B$7)*$G$4+$C$3*($C$4*$E$5*D536*$D$7)*$G$4+$C$3*($C$4*$E$4*C536*$C$7)*$G$5+$C$3*($C$4*$E$5*E536*$E$7)*$G$5+$C$3*($C$5*$E$4*F536*$F$7)*$H$4+$C$3*($C$5*$E$5*H536*$H$7)*$H$4+$C$3*($C$5*$E$5*I536*$I$7)*$H$5+$C$3*($C$5*$E$4*G536*$G$7)*$H$5</f>
        <v>6157259.0016601505</v>
      </c>
      <c r="K536" s="277">
        <f>ROUND(($C$4*$E$4*B536*$B$7+$C$4*$E$4*C536*$C$7+$C$4*$E$5*D536*$D$7+$C$4*$E$5*E536*$E$7+($C$5*$E$4*F536*$F$7+$C$5*$E$4*G536*$G$7+$C$5*$E$5*H536*$H$7+$C$5*$E$5*I536*$I$7)),2)</f>
        <v>0.73</v>
      </c>
      <c r="L536" s="276">
        <f>Scenario[[#This Row],[Total Cost]]/(Scenario[[#This Row],[Total Coverage]]*100)</f>
        <v>84346.013721371928</v>
      </c>
      <c r="M536" s="295" cm="1">
        <f t="array" ref="M536">IF(AND(K536=MAX(K$10:K536), L536=MIN(IF(K$10:K536=K536, L$10:L536))), 1, 0)</f>
        <v>0</v>
      </c>
      <c r="N536" s="295">
        <f>IF(AND(Scenario[[#This Row],[Total Coverage]]&gt;=70%,Scenario[[#This Row],[Frontier]]=1),1,0)</f>
        <v>0</v>
      </c>
    </row>
    <row r="537" spans="1:14" x14ac:dyDescent="0.25">
      <c r="A537">
        <v>298</v>
      </c>
      <c r="B537">
        <v>0.5</v>
      </c>
      <c r="C537">
        <v>0.5</v>
      </c>
      <c r="D537">
        <v>0.75</v>
      </c>
      <c r="E537">
        <v>0.25</v>
      </c>
      <c r="F537">
        <v>0</v>
      </c>
      <c r="G537">
        <v>1</v>
      </c>
      <c r="H537">
        <v>0.5</v>
      </c>
      <c r="I537">
        <v>0.5</v>
      </c>
      <c r="J537" s="272">
        <f>$C$3*($C$4*$E$4*B536*$B$7)*$G$4+$C$3*($C$4*$E$5*D537*$D$7)*$G$4+$C$3*($C$4*$E$4*C537*$C$7)*$G$5+$C$3*($C$4*$E$5*E537*$E$7)*$G$5+$C$3*($C$5*$E$4*F537*$F$7)*$H$4+$C$3*($C$5*$E$5*H537*$H$7)*$H$4+$C$3*($C$5*$E$5*I537*$I$7)*$H$5+$C$3*($C$5*$E$4*G537*$G$7)*$H$5</f>
        <v>6059126.3950276673</v>
      </c>
      <c r="K537" s="277">
        <f>ROUND(($C$4*$E$4*B537*$B$7+$C$4*$E$4*C537*$C$7+$C$4*$E$5*D537*$D$7+$C$4*$E$5*E537*$E$7+($C$5*$E$4*F537*$F$7+$C$5*$E$4*G537*$G$7+$C$5*$E$5*H537*$H$7+$C$5*$E$5*I537*$I$7)),2)</f>
        <v>0.73</v>
      </c>
      <c r="L537" s="276">
        <f>Scenario[[#This Row],[Total Cost]]/(Scenario[[#This Row],[Total Coverage]]*100)</f>
        <v>83001.731438735165</v>
      </c>
      <c r="M537" s="295" cm="1">
        <f t="array" ref="M537">IF(AND(K537=MAX(K$10:K537), L537=MIN(IF(K$10:K537=K537, L$10:L537))), 1, 0)</f>
        <v>0</v>
      </c>
      <c r="N537" s="295">
        <f>IF(AND(Scenario[[#This Row],[Total Coverage]]&gt;=70%,Scenario[[#This Row],[Frontier]]=1),1,0)</f>
        <v>0</v>
      </c>
    </row>
    <row r="538" spans="1:14" x14ac:dyDescent="0.25">
      <c r="A538">
        <v>444</v>
      </c>
      <c r="B538">
        <v>0.25</v>
      </c>
      <c r="C538">
        <v>0.75</v>
      </c>
      <c r="D538">
        <v>0.5</v>
      </c>
      <c r="E538">
        <v>0.5</v>
      </c>
      <c r="F538">
        <v>0.25</v>
      </c>
      <c r="G538">
        <v>0.75</v>
      </c>
      <c r="H538">
        <v>0.25</v>
      </c>
      <c r="I538">
        <v>0.75</v>
      </c>
      <c r="J538" s="272">
        <f>$C$3*($C$4*$E$4*B537*$B$7)*$G$4+$C$3*($C$4*$E$5*D538*$D$7)*$G$4+$C$3*($C$4*$E$4*C538*$C$7)*$G$5+$C$3*($C$4*$E$5*E538*$E$7)*$G$5+$C$3*($C$5*$E$4*F538*$F$7)*$H$4+$C$3*($C$5*$E$5*H538*$H$7)*$H$4+$C$3*($C$5*$E$5*I538*$I$7)*$H$5+$C$3*($C$5*$E$4*G538*$G$7)*$H$5</f>
        <v>6281728.0661779903</v>
      </c>
      <c r="K538" s="277">
        <f>ROUND(($C$4*$E$4*B538*$B$7+$C$4*$E$4*C538*$C$7+$C$4*$E$5*D538*$D$7+$C$4*$E$5*E538*$E$7+($C$5*$E$4*F538*$F$7+$C$5*$E$4*G538*$G$7+$C$5*$E$5*H538*$H$7+$C$5*$E$5*I538*$I$7)),2)</f>
        <v>0.73</v>
      </c>
      <c r="L538" s="276">
        <f>Scenario[[#This Row],[Total Cost]]/(Scenario[[#This Row],[Total Coverage]]*100)</f>
        <v>86051.069399698492</v>
      </c>
      <c r="M538" s="295" cm="1">
        <f t="array" ref="M538">IF(AND(K538=MAX(K$10:K538), L538=MIN(IF(K$10:K538=K538, L$10:L538))), 1, 0)</f>
        <v>0</v>
      </c>
      <c r="N538" s="295">
        <f>IF(AND(Scenario[[#This Row],[Total Coverage]]&gt;=70%,Scenario[[#This Row],[Frontier]]=1),1,0)</f>
        <v>0</v>
      </c>
    </row>
    <row r="539" spans="1:14" x14ac:dyDescent="0.25">
      <c r="A539">
        <v>447</v>
      </c>
      <c r="B539">
        <v>0.25</v>
      </c>
      <c r="C539">
        <v>0.75</v>
      </c>
      <c r="D539">
        <v>0.5</v>
      </c>
      <c r="E539">
        <v>0.5</v>
      </c>
      <c r="F539">
        <v>0</v>
      </c>
      <c r="G539">
        <v>1</v>
      </c>
      <c r="H539">
        <v>0.75</v>
      </c>
      <c r="I539">
        <v>0.25</v>
      </c>
      <c r="J539" s="272">
        <f>$C$3*($C$4*$E$4*B538*$B$7)*$G$4+$C$3*($C$4*$E$5*D539*$D$7)*$G$4+$C$3*($C$4*$E$4*C539*$C$7)*$G$5+$C$3*($C$4*$E$5*E539*$E$7)*$G$5+$C$3*($C$5*$E$4*F539*$F$7)*$H$4+$C$3*($C$5*$E$5*H539*$H$7)*$H$4+$C$3*($C$5*$E$5*I539*$I$7)*$H$5+$C$3*($C$5*$E$4*G539*$G$7)*$H$5</f>
        <v>6250061.9094848232</v>
      </c>
      <c r="K539" s="277">
        <f>ROUND(($C$4*$E$4*B539*$B$7+$C$4*$E$4*C539*$C$7+$C$4*$E$5*D539*$D$7+$C$4*$E$5*E539*$E$7+($C$5*$E$4*F539*$F$7+$C$5*$E$4*G539*$G$7+$C$5*$E$5*H539*$H$7+$C$5*$E$5*I539*$I$7)),2)</f>
        <v>0.73</v>
      </c>
      <c r="L539" s="276">
        <f>Scenario[[#This Row],[Total Cost]]/(Scenario[[#This Row],[Total Coverage]]*100)</f>
        <v>85617.286431298955</v>
      </c>
      <c r="M539" s="295" cm="1">
        <f t="array" ref="M539">IF(AND(K539=MAX(K$10:K539), L539=MIN(IF(K$10:K539=K539, L$10:L539))), 1, 0)</f>
        <v>0</v>
      </c>
      <c r="N539" s="295">
        <f>IF(AND(Scenario[[#This Row],[Total Coverage]]&gt;=70%,Scenario[[#This Row],[Frontier]]=1),1,0)</f>
        <v>0</v>
      </c>
    </row>
    <row r="540" spans="1:14" x14ac:dyDescent="0.25">
      <c r="A540">
        <v>522</v>
      </c>
      <c r="B540">
        <v>0</v>
      </c>
      <c r="C540">
        <v>1</v>
      </c>
      <c r="D540">
        <v>1</v>
      </c>
      <c r="E540">
        <v>0</v>
      </c>
      <c r="F540">
        <v>0</v>
      </c>
      <c r="G540">
        <v>1</v>
      </c>
      <c r="H540">
        <v>0.75</v>
      </c>
      <c r="I540">
        <v>0.25</v>
      </c>
      <c r="J540" s="272">
        <f>$C$3*($C$4*$E$4*B539*$B$7)*$G$4+$C$3*($C$4*$E$5*D540*$D$7)*$G$4+$C$3*($C$4*$E$4*C540*$C$7)*$G$5+$C$3*($C$4*$E$5*E540*$E$7)*$G$5+$C$3*($C$5*$E$4*F540*$F$7)*$H$4+$C$3*($C$5*$E$5*H540*$H$7)*$H$4+$C$3*($C$5*$E$5*I540*$I$7)*$H$5+$C$3*($C$5*$E$4*G540*$G$7)*$H$5</f>
        <v>6374530.974002663</v>
      </c>
      <c r="K540" s="277">
        <f>ROUND(($C$4*$E$4*B540*$B$7+$C$4*$E$4*C540*$C$7+$C$4*$E$5*D540*$D$7+$C$4*$E$5*E540*$E$7+($C$5*$E$4*F540*$F$7+$C$5*$E$4*G540*$G$7+$C$5*$E$5*H540*$H$7+$C$5*$E$5*I540*$I$7)),2)</f>
        <v>0.73</v>
      </c>
      <c r="L540" s="276">
        <f>Scenario[[#This Row],[Total Cost]]/(Scenario[[#This Row],[Total Coverage]]*100)</f>
        <v>87322.342109625519</v>
      </c>
      <c r="M540" s="295" cm="1">
        <f t="array" ref="M540">IF(AND(K540=MAX(K$10:K540), L540=MIN(IF(K$10:K540=K540, L$10:L540))), 1, 0)</f>
        <v>0</v>
      </c>
      <c r="N540" s="295">
        <f>IF(AND(Scenario[[#This Row],[Total Coverage]]&gt;=70%,Scenario[[#This Row],[Frontier]]=1),1,0)</f>
        <v>0</v>
      </c>
    </row>
    <row r="541" spans="1:14" x14ac:dyDescent="0.25">
      <c r="A541">
        <v>593</v>
      </c>
      <c r="B541">
        <v>0</v>
      </c>
      <c r="C541">
        <v>1</v>
      </c>
      <c r="D541">
        <v>0.25</v>
      </c>
      <c r="E541">
        <v>0.75</v>
      </c>
      <c r="F541">
        <v>0.25</v>
      </c>
      <c r="G541">
        <v>0.75</v>
      </c>
      <c r="H541">
        <v>0.5</v>
      </c>
      <c r="I541">
        <v>0.5</v>
      </c>
      <c r="J541" s="272">
        <f>$C$3*($C$4*$E$4*B540*$B$7)*$G$4+$C$3*($C$4*$E$5*D541*$D$7)*$G$4+$C$3*($C$4*$E$4*C541*$C$7)*$G$5+$C$3*($C$4*$E$5*E541*$E$7)*$G$5+$C$3*($C$5*$E$4*F541*$F$7)*$H$4+$C$3*($C$5*$E$5*H541*$H$7)*$H$4+$C$3*($C$5*$E$5*I541*$I$7)*$H$5+$C$3*($C$5*$E$4*G541*$G$7)*$H$5</f>
        <v>6366253.9517368972</v>
      </c>
      <c r="K541" s="277">
        <f>ROUND(($C$4*$E$4*B541*$B$7+$C$4*$E$4*C541*$C$7+$C$4*$E$5*D541*$D$7+$C$4*$E$5*E541*$E$7+($C$5*$E$4*F541*$F$7+$C$5*$E$4*G541*$G$7+$C$5*$E$5*H541*$H$7+$C$5*$E$5*I541*$I$7)),2)</f>
        <v>0.73</v>
      </c>
      <c r="L541" s="276">
        <f>Scenario[[#This Row],[Total Cost]]/(Scenario[[#This Row],[Total Coverage]]*100)</f>
        <v>87208.958242971188</v>
      </c>
      <c r="M541" s="295" cm="1">
        <f t="array" ref="M541">IF(AND(K541=MAX(K$10:K541), L541=MIN(IF(K$10:K541=K541, L$10:L541))), 1, 0)</f>
        <v>0</v>
      </c>
      <c r="N541" s="295">
        <f>IF(AND(Scenario[[#This Row],[Total Coverage]]&gt;=70%,Scenario[[#This Row],[Frontier]]=1),1,0)</f>
        <v>0</v>
      </c>
    </row>
    <row r="542" spans="1:14" x14ac:dyDescent="0.25">
      <c r="A542">
        <v>596</v>
      </c>
      <c r="B542">
        <v>0</v>
      </c>
      <c r="C542">
        <v>1</v>
      </c>
      <c r="D542">
        <v>0.25</v>
      </c>
      <c r="E542">
        <v>0.75</v>
      </c>
      <c r="F542">
        <v>0</v>
      </c>
      <c r="G542">
        <v>1</v>
      </c>
      <c r="H542">
        <v>1</v>
      </c>
      <c r="I542">
        <v>0</v>
      </c>
      <c r="J542" s="272">
        <f>$C$3*($C$4*$E$4*B541*$B$7)*$G$4+$C$3*($C$4*$E$5*D542*$D$7)*$G$4+$C$3*($C$4*$E$4*C542*$C$7)*$G$5+$C$3*($C$4*$E$5*E542*$E$7)*$G$5+$C$3*($C$5*$E$4*F542*$F$7)*$H$4+$C$3*($C$5*$E$5*H542*$H$7)*$H$4+$C$3*($C$5*$E$5*I542*$I$7)*$H$5+$C$3*($C$5*$E$4*G542*$G$7)*$H$5</f>
        <v>6440997.4239419792</v>
      </c>
      <c r="K542" s="277">
        <f>ROUND(($C$4*$E$4*B542*$B$7+$C$4*$E$4*C542*$C$7+$C$4*$E$5*D542*$D$7+$C$4*$E$5*E542*$E$7+($C$5*$E$4*F542*$F$7+$C$5*$E$4*G542*$G$7+$C$5*$E$5*H542*$H$7+$C$5*$E$5*I542*$I$7)),2)</f>
        <v>0.73</v>
      </c>
      <c r="L542" s="276">
        <f>Scenario[[#This Row],[Total Cost]]/(Scenario[[#This Row],[Total Coverage]]*100)</f>
        <v>88232.84142386273</v>
      </c>
      <c r="M542" s="295" cm="1">
        <f t="array" ref="M542">IF(AND(K542=MAX(K$10:K542), L542=MIN(IF(K$10:K542=K542, L$10:L542))), 1, 0)</f>
        <v>0</v>
      </c>
      <c r="N542" s="295">
        <f>IF(AND(Scenario[[#This Row],[Total Coverage]]&gt;=70%,Scenario[[#This Row],[Frontier]]=1),1,0)</f>
        <v>0</v>
      </c>
    </row>
    <row r="543" spans="1:14" x14ac:dyDescent="0.25">
      <c r="A543">
        <v>74</v>
      </c>
      <c r="B543">
        <v>1</v>
      </c>
      <c r="C543">
        <v>0</v>
      </c>
      <c r="D543">
        <v>0.5</v>
      </c>
      <c r="E543">
        <v>0.5</v>
      </c>
      <c r="F543">
        <v>0</v>
      </c>
      <c r="G543">
        <v>1</v>
      </c>
      <c r="H543">
        <v>0.25</v>
      </c>
      <c r="I543">
        <v>0.75</v>
      </c>
      <c r="J543" s="272">
        <f>$C$3*($C$4*$E$4*B542*$B$7)*$G$4+$C$3*($C$4*$E$5*D543*$D$7)*$G$4+$C$3*($C$4*$E$4*C543*$C$7)*$G$5+$C$3*($C$4*$E$5*E543*$E$7)*$G$5+$C$3*($C$5*$E$4*F543*$F$7)*$H$4+$C$3*($C$5*$E$5*H543*$H$7)*$H$4+$C$3*($C$5*$E$5*I543*$I$7)*$H$5+$C$3*($C$5*$E$4*G543*$G$7)*$H$5</f>
        <v>5424492.9293579245</v>
      </c>
      <c r="K543" s="277">
        <f>ROUND(($C$4*$E$4*B543*$B$7+$C$4*$E$4*C543*$C$7+$C$4*$E$5*D543*$D$7+$C$4*$E$5*E543*$E$7+($C$5*$E$4*F543*$F$7+$C$5*$E$4*G543*$G$7+$C$5*$E$5*H543*$H$7+$C$5*$E$5*I543*$I$7)),2)</f>
        <v>0.74</v>
      </c>
      <c r="L543" s="276">
        <f>Scenario[[#This Row],[Total Cost]]/(Scenario[[#This Row],[Total Coverage]]*100)</f>
        <v>73303.958504836817</v>
      </c>
      <c r="M543" s="295" cm="1">
        <f t="array" ref="M543">IF(AND(K543=MAX(K$10:K543), L543=MIN(IF(K$10:K543=K543, L$10:L543))), 1, 0)</f>
        <v>1</v>
      </c>
      <c r="N543" s="295">
        <f>IF(AND(Scenario[[#This Row],[Total Coverage]]&gt;=70%,Scenario[[#This Row],[Frontier]]=1),1,0)</f>
        <v>1</v>
      </c>
    </row>
    <row r="544" spans="1:14" x14ac:dyDescent="0.25">
      <c r="A544">
        <v>223</v>
      </c>
      <c r="B544">
        <v>0.75</v>
      </c>
      <c r="C544">
        <v>0.25</v>
      </c>
      <c r="D544">
        <v>0.25</v>
      </c>
      <c r="E544">
        <v>0.75</v>
      </c>
      <c r="F544">
        <v>0</v>
      </c>
      <c r="G544">
        <v>1</v>
      </c>
      <c r="H544">
        <v>0.5</v>
      </c>
      <c r="I544">
        <v>0.5</v>
      </c>
      <c r="J544" s="272">
        <f>$C$3*($C$4*$E$4*B543*$B$7)*$G$4+$C$3*($C$4*$E$5*D544*$D$7)*$G$4+$C$3*($C$4*$E$4*C544*$C$7)*$G$5+$C$3*($C$4*$E$5*E544*$E$7)*$G$5+$C$3*($C$5*$E$4*F544*$F$7)*$H$4+$C$3*($C$5*$E$5*H544*$H$7)*$H$4+$C$3*($C$5*$E$5*I544*$I$7)*$H$5+$C$3*($C$5*$E$4*G544*$G$7)*$H$5</f>
        <v>6147476.5883063274</v>
      </c>
      <c r="K544" s="277">
        <f>ROUND(($C$4*$E$4*B544*$B$7+$C$4*$E$4*C544*$C$7+$C$4*$E$5*D544*$D$7+$C$4*$E$5*E544*$E$7+($C$5*$E$4*F544*$F$7+$C$5*$E$4*G544*$G$7+$C$5*$E$5*H544*$H$7+$C$5*$E$5*I544*$I$7)),2)</f>
        <v>0.74</v>
      </c>
      <c r="L544" s="276">
        <f>Scenario[[#This Row],[Total Cost]]/(Scenario[[#This Row],[Total Coverage]]*100)</f>
        <v>83074.007950085506</v>
      </c>
      <c r="M544" s="295" cm="1">
        <f t="array" ref="M544">IF(AND(K544=MAX(K$10:K544), L544=MIN(IF(K$10:K544=K544, L$10:L544))), 1, 0)</f>
        <v>0</v>
      </c>
      <c r="N544" s="295">
        <f>IF(AND(Scenario[[#This Row],[Total Coverage]]&gt;=70%,Scenario[[#This Row],[Frontier]]=1),1,0)</f>
        <v>0</v>
      </c>
    </row>
    <row r="545" spans="1:14" x14ac:dyDescent="0.25">
      <c r="A545">
        <v>372</v>
      </c>
      <c r="B545">
        <v>0.5</v>
      </c>
      <c r="C545">
        <v>0.5</v>
      </c>
      <c r="D545">
        <v>0</v>
      </c>
      <c r="E545">
        <v>1</v>
      </c>
      <c r="F545">
        <v>0</v>
      </c>
      <c r="G545">
        <v>1</v>
      </c>
      <c r="H545">
        <v>0.75</v>
      </c>
      <c r="I545">
        <v>0.25</v>
      </c>
      <c r="J545" s="272">
        <f>$C$3*($C$4*$E$4*B544*$B$7)*$G$4+$C$3*($C$4*$E$5*D545*$D$7)*$G$4+$C$3*($C$4*$E$4*C545*$C$7)*$G$5+$C$3*($C$4*$E$5*E545*$E$7)*$G$5+$C$3*($C$5*$E$4*F545*$F$7)*$H$4+$C$3*($C$5*$E$5*H545*$H$7)*$H$4+$C$3*($C$5*$E$5*I545*$I$7)*$H$5+$C$3*($C$5*$E$4*G545*$G$7)*$H$5</f>
        <v>6338412.1027634833</v>
      </c>
      <c r="K545" s="277">
        <f>ROUND(($C$4*$E$4*B545*$B$7+$C$4*$E$4*C545*$C$7+$C$4*$E$5*D545*$D$7+$C$4*$E$5*E545*$E$7+($C$5*$E$4*F545*$F$7+$C$5*$E$4*G545*$G$7+$C$5*$E$5*H545*$H$7+$C$5*$E$5*I545*$I$7)),2)</f>
        <v>0.74</v>
      </c>
      <c r="L545" s="276">
        <f>Scenario[[#This Row],[Total Cost]]/(Scenario[[#This Row],[Total Coverage]]*100)</f>
        <v>85654.21760491193</v>
      </c>
      <c r="M545" s="295" cm="1">
        <f t="array" ref="M545">IF(AND(K545=MAX(K$10:K545), L545=MIN(IF(K$10:K545=K545, L$10:L545))), 1, 0)</f>
        <v>0</v>
      </c>
      <c r="N545" s="295">
        <f>IF(AND(Scenario[[#This Row],[Total Coverage]]&gt;=70%,Scenario[[#This Row],[Frontier]]=1),1,0)</f>
        <v>0</v>
      </c>
    </row>
    <row r="546" spans="1:14" x14ac:dyDescent="0.25">
      <c r="A546">
        <v>320</v>
      </c>
      <c r="B546">
        <v>0.5</v>
      </c>
      <c r="C546">
        <v>0.5</v>
      </c>
      <c r="D546">
        <v>0.5</v>
      </c>
      <c r="E546">
        <v>0.5</v>
      </c>
      <c r="F546">
        <v>0.25</v>
      </c>
      <c r="G546">
        <v>0.75</v>
      </c>
      <c r="H546">
        <v>0</v>
      </c>
      <c r="I546">
        <v>1</v>
      </c>
      <c r="J546" s="272">
        <f>$C$3*($C$4*$E$4*B545*$B$7)*$G$4+$C$3*($C$4*$E$5*D546*$D$7)*$G$4+$C$3*($C$4*$E$4*C546*$C$7)*$G$5+$C$3*($C$4*$E$5*E546*$E$7)*$G$5+$C$3*($C$5*$E$4*F546*$F$7)*$H$4+$C$3*($C$5*$E$5*H546*$H$7)*$H$4+$C$3*($C$5*$E$5*I546*$I$7)*$H$5+$C$3*($C$5*$E$4*G546*$G$7)*$H$5</f>
        <v>6168659.2425134946</v>
      </c>
      <c r="K546" s="277">
        <f>ROUND(($C$4*$E$4*B546*$B$7+$C$4*$E$4*C546*$C$7+$C$4*$E$5*D546*$D$7+$C$4*$E$5*E546*$E$7+($C$5*$E$4*F546*$F$7+$C$5*$E$4*G546*$G$7+$C$5*$E$5*H546*$H$7+$C$5*$E$5*I546*$I$7)),2)</f>
        <v>0.74</v>
      </c>
      <c r="L546" s="276">
        <f>Scenario[[#This Row],[Total Cost]]/(Scenario[[#This Row],[Total Coverage]]*100)</f>
        <v>83360.260033966144</v>
      </c>
      <c r="M546" s="295" cm="1">
        <f t="array" ref="M546">IF(AND(K546=MAX(K$10:K546), L546=MIN(IF(K$10:K546=K546, L$10:L546))), 1, 0)</f>
        <v>0</v>
      </c>
      <c r="N546" s="295">
        <f>IF(AND(Scenario[[#This Row],[Total Coverage]]&gt;=70%,Scenario[[#This Row],[Frontier]]=1),1,0)</f>
        <v>0</v>
      </c>
    </row>
    <row r="547" spans="1:14" x14ac:dyDescent="0.25">
      <c r="A547">
        <v>469</v>
      </c>
      <c r="B547">
        <v>0.25</v>
      </c>
      <c r="C547">
        <v>0.75</v>
      </c>
      <c r="D547">
        <v>0.25</v>
      </c>
      <c r="E547">
        <v>0.75</v>
      </c>
      <c r="F547">
        <v>0.25</v>
      </c>
      <c r="G547">
        <v>0.75</v>
      </c>
      <c r="H547">
        <v>0.25</v>
      </c>
      <c r="I547">
        <v>0.75</v>
      </c>
      <c r="J547" s="272">
        <f>$C$3*($C$4*$E$4*B546*$B$7)*$G$4+$C$3*($C$4*$E$5*D547*$D$7)*$G$4+$C$3*($C$4*$E$4*C547*$C$7)*$G$5+$C$3*($C$4*$E$5*E547*$E$7)*$G$5+$C$3*($C$5*$E$4*F547*$F$7)*$H$4+$C$3*($C$5*$E$5*H547*$H$7)*$H$4+$C$3*($C$5*$E$5*I547*$I$7)*$H$5+$C$3*($C$5*$E$4*G547*$G$7)*$H$5</f>
        <v>6466004.3858688986</v>
      </c>
      <c r="K547" s="277">
        <f>ROUND(($C$4*$E$4*B547*$B$7+$C$4*$E$4*C547*$C$7+$C$4*$E$5*D547*$D$7+$C$4*$E$5*E547*$E$7+($C$5*$E$4*F547*$F$7+$C$5*$E$4*G547*$G$7+$C$5*$E$5*H547*$H$7+$C$5*$E$5*I547*$I$7)),2)</f>
        <v>0.74</v>
      </c>
      <c r="L547" s="276">
        <f>Scenario[[#This Row],[Total Cost]]/(Scenario[[#This Row],[Total Coverage]]*100)</f>
        <v>87378.437646877006</v>
      </c>
      <c r="M547" s="295" cm="1">
        <f t="array" ref="M547">IF(AND(K547=MAX(K$10:K547), L547=MIN(IF(K$10:K547=K547, L$10:L547))), 1, 0)</f>
        <v>0</v>
      </c>
      <c r="N547" s="295">
        <f>IF(AND(Scenario[[#This Row],[Total Coverage]]&gt;=70%,Scenario[[#This Row],[Frontier]]=1),1,0)</f>
        <v>0</v>
      </c>
    </row>
    <row r="548" spans="1:14" x14ac:dyDescent="0.25">
      <c r="A548">
        <v>398</v>
      </c>
      <c r="B548">
        <v>0.25</v>
      </c>
      <c r="C548">
        <v>0.75</v>
      </c>
      <c r="D548">
        <v>1</v>
      </c>
      <c r="E548">
        <v>0</v>
      </c>
      <c r="F548">
        <v>0</v>
      </c>
      <c r="G548">
        <v>1</v>
      </c>
      <c r="H548">
        <v>0.5</v>
      </c>
      <c r="I548">
        <v>0.5</v>
      </c>
      <c r="J548" s="272">
        <f>$C$3*($C$4*$E$4*B547*$B$7)*$G$4+$C$3*($C$4*$E$5*D548*$D$7)*$G$4+$C$3*($C$4*$E$4*C548*$C$7)*$G$5+$C$3*($C$4*$E$5*E548*$E$7)*$G$5+$C$3*($C$5*$E$4*F548*$F$7)*$H$4+$C$3*($C$5*$E$5*H548*$H$7)*$H$4+$C$3*($C$5*$E$5*I548*$I$7)*$H$5+$C$3*($C$5*$E$4*G548*$G$7)*$H$5</f>
        <v>6261462.1503381664</v>
      </c>
      <c r="K548" s="277">
        <f>ROUND(($C$4*$E$4*B548*$B$7+$C$4*$E$4*C548*$C$7+$C$4*$E$5*D548*$D$7+$C$4*$E$5*E548*$E$7+($C$5*$E$4*F548*$F$7+$C$5*$E$4*G548*$G$7+$C$5*$E$5*H548*$H$7+$C$5*$E$5*I548*$I$7)),2)</f>
        <v>0.74</v>
      </c>
      <c r="L548" s="276">
        <f>Scenario[[#This Row],[Total Cost]]/(Scenario[[#This Row],[Total Coverage]]*100)</f>
        <v>84614.353382948189</v>
      </c>
      <c r="M548" s="295" cm="1">
        <f t="array" ref="M548">IF(AND(K548=MAX(K$10:K548), L548=MIN(IF(K$10:K548=K548, L$10:L548))), 1, 0)</f>
        <v>0</v>
      </c>
      <c r="N548" s="295">
        <f>IF(AND(Scenario[[#This Row],[Total Coverage]]&gt;=70%,Scenario[[#This Row],[Frontier]]=1),1,0)</f>
        <v>0</v>
      </c>
    </row>
    <row r="549" spans="1:14" x14ac:dyDescent="0.25">
      <c r="A549">
        <v>395</v>
      </c>
      <c r="B549">
        <v>0.25</v>
      </c>
      <c r="C549">
        <v>0.75</v>
      </c>
      <c r="D549">
        <v>1</v>
      </c>
      <c r="E549">
        <v>0</v>
      </c>
      <c r="F549">
        <v>0.25</v>
      </c>
      <c r="G549">
        <v>0.75</v>
      </c>
      <c r="H549">
        <v>0</v>
      </c>
      <c r="I549">
        <v>1</v>
      </c>
      <c r="J549" s="272">
        <f>$C$3*($C$4*$E$4*B548*$B$7)*$G$4+$C$3*($C$4*$E$5*D549*$D$7)*$G$4+$C$3*($C$4*$E$4*C549*$C$7)*$G$5+$C$3*($C$4*$E$5*E549*$E$7)*$G$5+$C$3*($C$5*$E$4*F549*$F$7)*$H$4+$C$3*($C$5*$E$5*H549*$H$7)*$H$4+$C$3*($C$5*$E$5*I549*$I$7)*$H$5+$C$3*($C$5*$E$4*G549*$G$7)*$H$5</f>
        <v>6186718.6781330844</v>
      </c>
      <c r="K549" s="277">
        <f>ROUND(($C$4*$E$4*B549*$B$7+$C$4*$E$4*C549*$C$7+$C$4*$E$5*D549*$D$7+$C$4*$E$5*E549*$E$7+($C$5*$E$4*F549*$F$7+$C$5*$E$4*G549*$G$7+$C$5*$E$5*H549*$H$7+$C$5*$E$5*I549*$I$7)),2)</f>
        <v>0.74</v>
      </c>
      <c r="L549" s="276">
        <f>Scenario[[#This Row],[Total Cost]]/(Scenario[[#This Row],[Total Coverage]]*100)</f>
        <v>83604.306461257904</v>
      </c>
      <c r="M549" s="295" cm="1">
        <f t="array" ref="M549">IF(AND(K549=MAX(K$10:K549), L549=MIN(IF(K$10:K549=K549, L$10:L549))), 1, 0)</f>
        <v>0</v>
      </c>
      <c r="N549" s="295">
        <f>IF(AND(Scenario[[#This Row],[Total Coverage]]&gt;=70%,Scenario[[#This Row],[Frontier]]=1),1,0)</f>
        <v>0</v>
      </c>
    </row>
    <row r="550" spans="1:14" x14ac:dyDescent="0.25">
      <c r="A550">
        <v>544</v>
      </c>
      <c r="B550">
        <v>0</v>
      </c>
      <c r="C550">
        <v>1</v>
      </c>
      <c r="D550">
        <v>0.75</v>
      </c>
      <c r="E550">
        <v>0.25</v>
      </c>
      <c r="F550">
        <v>0.25</v>
      </c>
      <c r="G550">
        <v>0.75</v>
      </c>
      <c r="H550">
        <v>0.25</v>
      </c>
      <c r="I550">
        <v>0.75</v>
      </c>
      <c r="J550" s="272">
        <f>$C$3*($C$4*$E$4*B549*$B$7)*$G$4+$C$3*($C$4*$E$5*D550*$D$7)*$G$4+$C$3*($C$4*$E$4*C550*$C$7)*$G$5+$C$3*($C$4*$E$5*E550*$E$7)*$G$5+$C$3*($C$5*$E$4*F550*$F$7)*$H$4+$C$3*($C$5*$E$5*H550*$H$7)*$H$4+$C$3*($C$5*$E$5*I550*$I$7)*$H$5+$C$3*($C$5*$E$4*G550*$G$7)*$H$5</f>
        <v>6484063.8214884885</v>
      </c>
      <c r="K550" s="277">
        <f>ROUND(($C$4*$E$4*B550*$B$7+$C$4*$E$4*C550*$C$7+$C$4*$E$5*D550*$D$7+$C$4*$E$5*E550*$E$7+($C$5*$E$4*F550*$F$7+$C$5*$E$4*G550*$G$7+$C$5*$E$5*H550*$H$7+$C$5*$E$5*I550*$I$7)),2)</f>
        <v>0.74</v>
      </c>
      <c r="L550" s="276">
        <f>Scenario[[#This Row],[Total Cost]]/(Scenario[[#This Row],[Total Coverage]]*100)</f>
        <v>87622.484074168766</v>
      </c>
      <c r="M550" s="295" cm="1">
        <f t="array" ref="M550">IF(AND(K550=MAX(K$10:K550), L550=MIN(IF(K$10:K550=K550, L$10:L550))), 1, 0)</f>
        <v>0</v>
      </c>
      <c r="N550" s="295">
        <f>IF(AND(Scenario[[#This Row],[Total Coverage]]&gt;=70%,Scenario[[#This Row],[Frontier]]=1),1,0)</f>
        <v>0</v>
      </c>
    </row>
    <row r="551" spans="1:14" x14ac:dyDescent="0.25">
      <c r="A551">
        <v>547</v>
      </c>
      <c r="B551">
        <v>0</v>
      </c>
      <c r="C551">
        <v>1</v>
      </c>
      <c r="D551">
        <v>0.75</v>
      </c>
      <c r="E551">
        <v>0.25</v>
      </c>
      <c r="F551">
        <v>0</v>
      </c>
      <c r="G551">
        <v>1</v>
      </c>
      <c r="H551">
        <v>0.75</v>
      </c>
      <c r="I551">
        <v>0.25</v>
      </c>
      <c r="J551" s="272">
        <f>$C$3*($C$4*$E$4*B550*$B$7)*$G$4+$C$3*($C$4*$E$5*D551*$D$7)*$G$4+$C$3*($C$4*$E$4*C551*$C$7)*$G$5+$C$3*($C$4*$E$5*E551*$E$7)*$G$5+$C$3*($C$5*$E$4*F551*$F$7)*$H$4+$C$3*($C$5*$E$5*H551*$H$7)*$H$4+$C$3*($C$5*$E$5*I551*$I$7)*$H$5+$C$3*($C$5*$E$4*G551*$G$7)*$H$5</f>
        <v>6452397.6647953214</v>
      </c>
      <c r="K551" s="277">
        <f>ROUND(($C$4*$E$4*B551*$B$7+$C$4*$E$4*C551*$C$7+$C$4*$E$5*D551*$D$7+$C$4*$E$5*E551*$E$7+($C$5*$E$4*F551*$F$7+$C$5*$E$4*G551*$G$7+$C$5*$E$5*H551*$H$7+$C$5*$E$5*I551*$I$7)),2)</f>
        <v>0.74</v>
      </c>
      <c r="L551" s="276">
        <f>Scenario[[#This Row],[Total Cost]]/(Scenario[[#This Row],[Total Coverage]]*100)</f>
        <v>87194.563037774613</v>
      </c>
      <c r="M551" s="295" cm="1">
        <f t="array" ref="M551">IF(AND(K551=MAX(K$10:K551), L551=MIN(IF(K$10:K551=K551, L$10:L551))), 1, 0)</f>
        <v>0</v>
      </c>
      <c r="N551" s="295">
        <f>IF(AND(Scenario[[#This Row],[Total Coverage]]&gt;=70%,Scenario[[#This Row],[Frontier]]=1),1,0)</f>
        <v>0</v>
      </c>
    </row>
    <row r="552" spans="1:14" x14ac:dyDescent="0.25">
      <c r="A552">
        <v>615</v>
      </c>
      <c r="B552">
        <v>0</v>
      </c>
      <c r="C552">
        <v>1</v>
      </c>
      <c r="D552">
        <v>0</v>
      </c>
      <c r="E552">
        <v>1</v>
      </c>
      <c r="F552">
        <v>0.5</v>
      </c>
      <c r="G552">
        <v>0.5</v>
      </c>
      <c r="H552">
        <v>0</v>
      </c>
      <c r="I552">
        <v>1</v>
      </c>
      <c r="J552" s="272">
        <f>$C$3*($C$4*$E$4*B551*$B$7)*$G$4+$C$3*($C$4*$E$5*D552*$D$7)*$G$4+$C$3*($C$4*$E$4*C552*$C$7)*$G$5+$C$3*($C$4*$E$5*E552*$E$7)*$G$5+$C$3*($C$5*$E$4*F552*$F$7)*$H$4+$C$3*($C$5*$E$5*H552*$H$7)*$H$4+$C$3*($C$5*$E$5*I552*$I$7)*$H$5+$C$3*($C$5*$E$4*G552*$G$7)*$H$5</f>
        <v>6475786.7992227208</v>
      </c>
      <c r="K552" s="277">
        <f>ROUND(($C$4*$E$4*B552*$B$7+$C$4*$E$4*C552*$C$7+$C$4*$E$5*D552*$D$7+$C$4*$E$5*E552*$E$7+($C$5*$E$4*F552*$F$7+$C$5*$E$4*G552*$G$7+$C$5*$E$5*H552*$H$7+$C$5*$E$5*I552*$I$7)),2)</f>
        <v>0.74</v>
      </c>
      <c r="L552" s="276">
        <f>Scenario[[#This Row],[Total Cost]]/(Scenario[[#This Row],[Total Coverage]]*100)</f>
        <v>87510.632421928662</v>
      </c>
      <c r="M552" s="295" cm="1">
        <f t="array" ref="M552">IF(AND(K552=MAX(K$10:K552), L552=MIN(IF(K$10:K552=K552, L$10:L552))), 1, 0)</f>
        <v>0</v>
      </c>
      <c r="N552" s="295">
        <f>IF(AND(Scenario[[#This Row],[Total Coverage]]&gt;=70%,Scenario[[#This Row],[Frontier]]=1),1,0)</f>
        <v>0</v>
      </c>
    </row>
    <row r="553" spans="1:14" x14ac:dyDescent="0.25">
      <c r="A553">
        <v>618</v>
      </c>
      <c r="B553">
        <v>0</v>
      </c>
      <c r="C553">
        <v>1</v>
      </c>
      <c r="D553">
        <v>0</v>
      </c>
      <c r="E553">
        <v>1</v>
      </c>
      <c r="F553">
        <v>0.25</v>
      </c>
      <c r="G553">
        <v>0.75</v>
      </c>
      <c r="H553">
        <v>0.5</v>
      </c>
      <c r="I553">
        <v>0.5</v>
      </c>
      <c r="J553" s="272">
        <f>$C$3*($C$4*$E$4*B552*$B$7)*$G$4+$C$3*($C$4*$E$5*D553*$D$7)*$G$4+$C$3*($C$4*$E$4*C553*$C$7)*$G$5+$C$3*($C$4*$E$5*E553*$E$7)*$G$5+$C$3*($C$5*$E$4*F553*$F$7)*$H$4+$C$3*($C$5*$E$5*H553*$H$7)*$H$4+$C$3*($C$5*$E$5*I553*$I$7)*$H$5+$C$3*($C$5*$E$4*G553*$G$7)*$H$5</f>
        <v>6550530.2714278046</v>
      </c>
      <c r="K553" s="277">
        <f>ROUND(($C$4*$E$4*B553*$B$7+$C$4*$E$4*C553*$C$7+$C$4*$E$5*D553*$D$7+$C$4*$E$5*E553*$E$7+($C$5*$E$4*F553*$F$7+$C$5*$E$4*G553*$G$7+$C$5*$E$5*H553*$H$7+$C$5*$E$5*I553*$I$7)),2)</f>
        <v>0.74</v>
      </c>
      <c r="L553" s="276">
        <f>Scenario[[#This Row],[Total Cost]]/(Scenario[[#This Row],[Total Coverage]]*100)</f>
        <v>88520.679343618976</v>
      </c>
      <c r="M553" s="295" cm="1">
        <f t="array" ref="M553">IF(AND(K553=MAX(K$10:K553), L553=MIN(IF(K$10:K553=K553, L$10:L553))), 1, 0)</f>
        <v>0</v>
      </c>
      <c r="N553" s="295">
        <f>IF(AND(Scenario[[#This Row],[Total Coverage]]&gt;=70%,Scenario[[#This Row],[Frontier]]=1),1,0)</f>
        <v>0</v>
      </c>
    </row>
    <row r="554" spans="1:14" x14ac:dyDescent="0.25">
      <c r="A554">
        <v>25</v>
      </c>
      <c r="B554">
        <v>1</v>
      </c>
      <c r="C554">
        <v>0</v>
      </c>
      <c r="D554">
        <v>1</v>
      </c>
      <c r="E554">
        <v>0</v>
      </c>
      <c r="F554">
        <v>0</v>
      </c>
      <c r="G554">
        <v>1</v>
      </c>
      <c r="H554">
        <v>0</v>
      </c>
      <c r="I554">
        <v>1</v>
      </c>
      <c r="J554" s="272">
        <f>$C$3*($C$4*$E$4*B553*$B$7)*$G$4+$C$3*($C$4*$E$5*D554*$D$7)*$G$4+$C$3*($C$4*$E$4*C554*$C$7)*$G$5+$C$3*($C$4*$E$5*E554*$E$7)*$G$5+$C$3*($C$5*$E$4*F554*$F$7)*$H$4+$C$3*($C$5*$E$5*H554*$H$7)*$H$4+$C$3*($C$5*$E$5*I554*$I$7)*$H$5+$C$3*($C$5*$E$4*G554*$G$7)*$H$5</f>
        <v>5435893.1702112686</v>
      </c>
      <c r="K554" s="277">
        <f>ROUND(($C$4*$E$4*B554*$B$7+$C$4*$E$4*C554*$C$7+$C$4*$E$5*D554*$D$7+$C$4*$E$5*E554*$E$7+($C$5*$E$4*F554*$F$7+$C$5*$E$4*G554*$G$7+$C$5*$E$5*H554*$H$7+$C$5*$E$5*I554*$I$7)),2)</f>
        <v>0.75</v>
      </c>
      <c r="L554" s="276">
        <f>Scenario[[#This Row],[Total Cost]]/(Scenario[[#This Row],[Total Coverage]]*100)</f>
        <v>72478.575602816913</v>
      </c>
      <c r="M554" s="295" cm="1">
        <f t="array" ref="M554">IF(AND(K554=MAX(K$10:K554), L554=MIN(IF(K$10:K554=K554, L$10:L554))), 1, 0)</f>
        <v>1</v>
      </c>
      <c r="N554" s="295">
        <f>IF(AND(Scenario[[#This Row],[Total Coverage]]&gt;=70%,Scenario[[#This Row],[Frontier]]=1),1,0)</f>
        <v>1</v>
      </c>
    </row>
    <row r="555" spans="1:14" x14ac:dyDescent="0.25">
      <c r="A555">
        <v>99</v>
      </c>
      <c r="B555">
        <v>1</v>
      </c>
      <c r="C555">
        <v>0</v>
      </c>
      <c r="D555">
        <v>0.25</v>
      </c>
      <c r="E555">
        <v>0.75</v>
      </c>
      <c r="F555">
        <v>0</v>
      </c>
      <c r="G555">
        <v>1</v>
      </c>
      <c r="H555">
        <v>0.25</v>
      </c>
      <c r="I555">
        <v>0.75</v>
      </c>
      <c r="J555" s="272">
        <f>$C$3*($C$4*$E$4*B554*$B$7)*$G$4+$C$3*($C$4*$E$5*D555*$D$7)*$G$4+$C$3*($C$4*$E$4*C555*$C$7)*$G$5+$C$3*($C$4*$E$5*E555*$E$7)*$G$5+$C$3*($C$5*$E$4*F555*$F$7)*$H$4+$C$3*($C$5*$E$5*H555*$H$7)*$H$4+$C$3*($C$5*$E$5*I555*$I$7)*$H$5+$C$3*($C$5*$E$4*G555*$G$7)*$H$5</f>
        <v>6034407.7646418307</v>
      </c>
      <c r="K555" s="277">
        <f>ROUND(($C$4*$E$4*B555*$B$7+$C$4*$E$4*C555*$C$7+$C$4*$E$5*D555*$D$7+$C$4*$E$5*E555*$E$7+($C$5*$E$4*F555*$F$7+$C$5*$E$4*G555*$G$7+$C$5*$E$5*H555*$H$7+$C$5*$E$5*I555*$I$7)),2)</f>
        <v>0.75</v>
      </c>
      <c r="L555" s="276">
        <f>Scenario[[#This Row],[Total Cost]]/(Scenario[[#This Row],[Total Coverage]]*100)</f>
        <v>80458.77019522441</v>
      </c>
      <c r="M555" s="295" cm="1">
        <f t="array" ref="M555">IF(AND(K555=MAX(K$10:K555), L555=MIN(IF(K$10:K555=K555, L$10:L555))), 1, 0)</f>
        <v>0</v>
      </c>
      <c r="N555" s="295">
        <f>IF(AND(Scenario[[#This Row],[Total Coverage]]&gt;=70%,Scenario[[#This Row],[Frontier]]=1),1,0)</f>
        <v>0</v>
      </c>
    </row>
    <row r="556" spans="1:14" x14ac:dyDescent="0.25">
      <c r="A556">
        <v>248</v>
      </c>
      <c r="B556">
        <v>0.75</v>
      </c>
      <c r="C556">
        <v>0.25</v>
      </c>
      <c r="D556">
        <v>0</v>
      </c>
      <c r="E556">
        <v>1</v>
      </c>
      <c r="F556">
        <v>0</v>
      </c>
      <c r="G556">
        <v>1</v>
      </c>
      <c r="H556">
        <v>0.5</v>
      </c>
      <c r="I556">
        <v>0.5</v>
      </c>
      <c r="J556" s="272">
        <f>$C$3*($C$4*$E$4*B555*$B$7)*$G$4+$C$3*($C$4*$E$5*D556*$D$7)*$G$4+$C$3*($C$4*$E$4*C556*$C$7)*$G$5+$C$3*($C$4*$E$5*E556*$E$7)*$G$5+$C$3*($C$5*$E$4*F556*$F$7)*$H$4+$C$3*($C$5*$E$5*H556*$H$7)*$H$4+$C$3*($C$5*$E$5*I556*$I$7)*$H$5+$C$3*($C$5*$E$4*G556*$G$7)*$H$5</f>
        <v>6331752.9079972357</v>
      </c>
      <c r="K556" s="277">
        <f>ROUND(($C$4*$E$4*B556*$B$7+$C$4*$E$4*C556*$C$7+$C$4*$E$5*D556*$D$7+$C$4*$E$5*E556*$E$7+($C$5*$E$4*F556*$F$7+$C$5*$E$4*G556*$G$7+$C$5*$E$5*H556*$H$7+$C$5*$E$5*I556*$I$7)),2)</f>
        <v>0.75</v>
      </c>
      <c r="L556" s="276">
        <f>Scenario[[#This Row],[Total Cost]]/(Scenario[[#This Row],[Total Coverage]]*100)</f>
        <v>84423.372106629802</v>
      </c>
      <c r="M556" s="295" cm="1">
        <f t="array" ref="M556">IF(AND(K556=MAX(K$10:K556), L556=MIN(IF(K$10:K556=K556, L$10:L556))), 1, 0)</f>
        <v>0</v>
      </c>
      <c r="N556" s="295">
        <f>IF(AND(Scenario[[#This Row],[Total Coverage]]&gt;=70%,Scenario[[#This Row],[Frontier]]=1),1,0)</f>
        <v>0</v>
      </c>
    </row>
    <row r="557" spans="1:14" x14ac:dyDescent="0.25">
      <c r="A557">
        <v>245</v>
      </c>
      <c r="B557">
        <v>0.75</v>
      </c>
      <c r="C557">
        <v>0.25</v>
      </c>
      <c r="D557">
        <v>0</v>
      </c>
      <c r="E557">
        <v>1</v>
      </c>
      <c r="F557">
        <v>0.25</v>
      </c>
      <c r="G557">
        <v>0.75</v>
      </c>
      <c r="H557">
        <v>0</v>
      </c>
      <c r="I557">
        <v>1</v>
      </c>
      <c r="J557" s="272">
        <f>$C$3*($C$4*$E$4*B556*$B$7)*$G$4+$C$3*($C$4*$E$5*D557*$D$7)*$G$4+$C$3*($C$4*$E$4*C557*$C$7)*$G$5+$C$3*($C$4*$E$5*E557*$E$7)*$G$5+$C$3*($C$5*$E$4*F557*$F$7)*$H$4+$C$3*($C$5*$E$5*H557*$H$7)*$H$4+$C$3*($C$5*$E$5*I557*$I$7)*$H$5+$C$3*($C$5*$E$4*G557*$G$7)*$H$5</f>
        <v>6150599.8068939038</v>
      </c>
      <c r="K557" s="277">
        <f>ROUND(($C$4*$E$4*B557*$B$7+$C$4*$E$4*C557*$C$7+$C$4*$E$5*D557*$D$7+$C$4*$E$5*E557*$E$7+($C$5*$E$4*F557*$F$7+$C$5*$E$4*G557*$G$7+$C$5*$E$5*H557*$H$7+$C$5*$E$5*I557*$I$7)),2)</f>
        <v>0.75</v>
      </c>
      <c r="L557" s="276">
        <f>Scenario[[#This Row],[Total Cost]]/(Scenario[[#This Row],[Total Coverage]]*100)</f>
        <v>82007.997425252048</v>
      </c>
      <c r="M557" s="295" cm="1">
        <f t="array" ref="M557">IF(AND(K557=MAX(K$10:K557), L557=MIN(IF(K$10:K557=K557, L$10:L557))), 1, 0)</f>
        <v>0</v>
      </c>
      <c r="N557" s="295">
        <f>IF(AND(Scenario[[#This Row],[Total Coverage]]&gt;=70%,Scenario[[#This Row],[Frontier]]=1),1,0)</f>
        <v>0</v>
      </c>
    </row>
    <row r="558" spans="1:14" x14ac:dyDescent="0.25">
      <c r="A558">
        <v>174</v>
      </c>
      <c r="B558">
        <v>0.75</v>
      </c>
      <c r="C558">
        <v>0.25</v>
      </c>
      <c r="D558">
        <v>0.75</v>
      </c>
      <c r="E558">
        <v>0.25</v>
      </c>
      <c r="F558">
        <v>0</v>
      </c>
      <c r="G558">
        <v>1</v>
      </c>
      <c r="H558">
        <v>0.25</v>
      </c>
      <c r="I558">
        <v>0.75</v>
      </c>
      <c r="J558" s="272">
        <f>$C$3*($C$4*$E$4*B557*$B$7)*$G$4+$C$3*($C$4*$E$5*D558*$D$7)*$G$4+$C$3*($C$4*$E$4*C558*$C$7)*$G$5+$C$3*($C$4*$E$5*E558*$E$7)*$G$5+$C$3*($C$5*$E$4*F558*$F$7)*$H$4+$C$3*($C$5*$E$5*H558*$H$7)*$H$4+$C$3*($C$5*$E$5*I558*$I$7)*$H$5+$C$3*($C$5*$E$4*G558*$G$7)*$H$5</f>
        <v>6052467.2002614215</v>
      </c>
      <c r="K558" s="277">
        <f>ROUND(($C$4*$E$4*B558*$B$7+$C$4*$E$4*C558*$C$7+$C$4*$E$5*D558*$D$7+$C$4*$E$5*E558*$E$7+($C$5*$E$4*F558*$F$7+$C$5*$E$4*G558*$G$7+$C$5*$E$5*H558*$H$7+$C$5*$E$5*I558*$I$7)),2)</f>
        <v>0.75</v>
      </c>
      <c r="L558" s="276">
        <f>Scenario[[#This Row],[Total Cost]]/(Scenario[[#This Row],[Total Coverage]]*100)</f>
        <v>80699.562670152285</v>
      </c>
      <c r="M558" s="295" cm="1">
        <f t="array" ref="M558">IF(AND(K558=MAX(K$10:K558), L558=MIN(IF(K$10:K558=K558, L$10:L558))), 1, 0)</f>
        <v>0</v>
      </c>
      <c r="N558" s="295">
        <f>IF(AND(Scenario[[#This Row],[Total Coverage]]&gt;=70%,Scenario[[#This Row],[Frontier]]=1),1,0)</f>
        <v>0</v>
      </c>
    </row>
    <row r="559" spans="1:14" x14ac:dyDescent="0.25">
      <c r="A559">
        <v>323</v>
      </c>
      <c r="B559">
        <v>0.5</v>
      </c>
      <c r="C559">
        <v>0.5</v>
      </c>
      <c r="D559">
        <v>0.5</v>
      </c>
      <c r="E559">
        <v>0.5</v>
      </c>
      <c r="F559">
        <v>0</v>
      </c>
      <c r="G559">
        <v>1</v>
      </c>
      <c r="H559">
        <v>0.5</v>
      </c>
      <c r="I559">
        <v>0.5</v>
      </c>
      <c r="J559" s="272">
        <f>$C$3*($C$4*$E$4*B558*$B$7)*$G$4+$C$3*($C$4*$E$5*D559*$D$7)*$G$4+$C$3*($C$4*$E$4*C559*$C$7)*$G$5+$C$3*($C$4*$E$5*E559*$E$7)*$G$5+$C$3*($C$5*$E$4*F559*$F$7)*$H$4+$C$3*($C$5*$E$5*H559*$H$7)*$H$4+$C$3*($C$5*$E$5*I559*$I$7)*$H$5+$C$3*($C$5*$E$4*G559*$G$7)*$H$5</f>
        <v>6349812.3436168265</v>
      </c>
      <c r="K559" s="277">
        <f>ROUND(($C$4*$E$4*B559*$B$7+$C$4*$E$4*C559*$C$7+$C$4*$E$5*D559*$D$7+$C$4*$E$5*E559*$E$7+($C$5*$E$4*F559*$F$7+$C$5*$E$4*G559*$G$7+$C$5*$E$5*H559*$H$7+$C$5*$E$5*I559*$I$7)),2)</f>
        <v>0.75</v>
      </c>
      <c r="L559" s="276">
        <f>Scenario[[#This Row],[Total Cost]]/(Scenario[[#This Row],[Total Coverage]]*100)</f>
        <v>84664.164581557692</v>
      </c>
      <c r="M559" s="295" cm="1">
        <f t="array" ref="M559">IF(AND(K559=MAX(K$10:K559), L559=MIN(IF(K$10:K559=K559, L$10:L559))), 1, 0)</f>
        <v>0</v>
      </c>
      <c r="N559" s="295">
        <f>IF(AND(Scenario[[#This Row],[Total Coverage]]&gt;=70%,Scenario[[#This Row],[Frontier]]=1),1,0)</f>
        <v>0</v>
      </c>
    </row>
    <row r="560" spans="1:14" x14ac:dyDescent="0.25">
      <c r="A560">
        <v>420</v>
      </c>
      <c r="B560">
        <v>0.25</v>
      </c>
      <c r="C560">
        <v>0.75</v>
      </c>
      <c r="D560">
        <v>0.75</v>
      </c>
      <c r="E560">
        <v>0.25</v>
      </c>
      <c r="F560">
        <v>0.25</v>
      </c>
      <c r="G560">
        <v>0.75</v>
      </c>
      <c r="H560">
        <v>0</v>
      </c>
      <c r="I560">
        <v>1</v>
      </c>
      <c r="J560" s="272">
        <f>$C$3*($C$4*$E$4*B559*$B$7)*$G$4+$C$3*($C$4*$E$5*D560*$D$7)*$G$4+$C$3*($C$4*$E$4*C560*$C$7)*$G$5+$C$3*($C$4*$E$5*E560*$E$7)*$G$5+$C$3*($C$5*$E$4*F560*$F$7)*$H$4+$C$3*($C$5*$E$5*H560*$H$7)*$H$4+$C$3*($C$5*$E$5*I560*$I$7)*$H$5+$C$3*($C$5*$E$4*G560*$G$7)*$H$5</f>
        <v>6477404.6267222427</v>
      </c>
      <c r="K560" s="277">
        <f>ROUND(($C$4*$E$4*B560*$B$7+$C$4*$E$4*C560*$C$7+$C$4*$E$5*D560*$D$7+$C$4*$E$5*E560*$E$7+($C$5*$E$4*F560*$F$7+$C$5*$E$4*G560*$G$7+$C$5*$E$5*H560*$H$7+$C$5*$E$5*I560*$I$7)),2)</f>
        <v>0.75</v>
      </c>
      <c r="L560" s="276">
        <f>Scenario[[#This Row],[Total Cost]]/(Scenario[[#This Row],[Total Coverage]]*100)</f>
        <v>86365.395022963232</v>
      </c>
      <c r="M560" s="295" cm="1">
        <f t="array" ref="M560">IF(AND(K560=MAX(K$10:K560), L560=MIN(IF(K$10:K560=K560, L$10:L560))), 1, 0)</f>
        <v>0</v>
      </c>
      <c r="N560" s="295">
        <f>IF(AND(Scenario[[#This Row],[Total Coverage]]&gt;=70%,Scenario[[#This Row],[Frontier]]=1),1,0)</f>
        <v>0</v>
      </c>
    </row>
    <row r="561" spans="1:14" x14ac:dyDescent="0.25">
      <c r="A561">
        <v>472</v>
      </c>
      <c r="B561">
        <v>0.25</v>
      </c>
      <c r="C561">
        <v>0.75</v>
      </c>
      <c r="D561">
        <v>0.25</v>
      </c>
      <c r="E561">
        <v>0.75</v>
      </c>
      <c r="F561">
        <v>0</v>
      </c>
      <c r="G561">
        <v>1</v>
      </c>
      <c r="H561">
        <v>0.75</v>
      </c>
      <c r="I561">
        <v>0.25</v>
      </c>
      <c r="J561" s="272">
        <f>$C$3*($C$4*$E$4*B560*$B$7)*$G$4+$C$3*($C$4*$E$5*D561*$D$7)*$G$4+$C$3*($C$4*$E$4*C561*$C$7)*$G$5+$C$3*($C$4*$E$5*E561*$E$7)*$G$5+$C$3*($C$5*$E$4*F561*$F$7)*$H$4+$C$3*($C$5*$E$5*H561*$H$7)*$H$4+$C$3*($C$5*$E$5*I561*$I$7)*$H$5+$C$3*($C$5*$E$4*G561*$G$7)*$H$5</f>
        <v>6434338.2291757315</v>
      </c>
      <c r="K561" s="277">
        <f>ROUND(($C$4*$E$4*B561*$B$7+$C$4*$E$4*C561*$C$7+$C$4*$E$5*D561*$D$7+$C$4*$E$5*E561*$E$7+($C$5*$E$4*F561*$F$7+$C$5*$E$4*G561*$G$7+$C$5*$E$5*H561*$H$7+$C$5*$E$5*I561*$I$7)),2)</f>
        <v>0.75</v>
      </c>
      <c r="L561" s="276">
        <f>Scenario[[#This Row],[Total Cost]]/(Scenario[[#This Row],[Total Coverage]]*100)</f>
        <v>85791.17638900975</v>
      </c>
      <c r="M561" s="295" cm="1">
        <f t="array" ref="M561">IF(AND(K561=MAX(K$10:K561), L561=MIN(IF(K$10:K561=K561, L$10:L561))), 1, 0)</f>
        <v>0</v>
      </c>
      <c r="N561" s="295">
        <f>IF(AND(Scenario[[#This Row],[Total Coverage]]&gt;=70%,Scenario[[#This Row],[Frontier]]=1),1,0)</f>
        <v>0</v>
      </c>
    </row>
    <row r="562" spans="1:14" x14ac:dyDescent="0.25">
      <c r="A562">
        <v>621</v>
      </c>
      <c r="B562">
        <v>0</v>
      </c>
      <c r="C562">
        <v>1</v>
      </c>
      <c r="D562">
        <v>0</v>
      </c>
      <c r="E562">
        <v>1</v>
      </c>
      <c r="F562">
        <v>0</v>
      </c>
      <c r="G562">
        <v>1</v>
      </c>
      <c r="H562">
        <v>1</v>
      </c>
      <c r="I562">
        <v>0</v>
      </c>
      <c r="J562" s="272">
        <f>$C$3*($C$4*$E$4*B561*$B$7)*$G$4+$C$3*($C$4*$E$5*D562*$D$7)*$G$4+$C$3*($C$4*$E$4*C562*$C$7)*$G$5+$C$3*($C$4*$E$5*E562*$E$7)*$G$5+$C$3*($C$5*$E$4*F562*$F$7)*$H$4+$C$3*($C$5*$E$5*H562*$H$7)*$H$4+$C$3*($C$5*$E$5*I562*$I$7)*$H$5+$C$3*($C$5*$E$4*G562*$G$7)*$H$5</f>
        <v>6731683.3725311365</v>
      </c>
      <c r="K562" s="277">
        <f>ROUND(($C$4*$E$4*B562*$B$7+$C$4*$E$4*C562*$C$7+$C$4*$E$5*D562*$D$7+$C$4*$E$5*E562*$E$7+($C$5*$E$4*F562*$F$7+$C$5*$E$4*G562*$G$7+$C$5*$E$5*H562*$H$7+$C$5*$E$5*I562*$I$7)),2)</f>
        <v>0.75</v>
      </c>
      <c r="L562" s="276">
        <f>Scenario[[#This Row],[Total Cost]]/(Scenario[[#This Row],[Total Coverage]]*100)</f>
        <v>89755.778300415157</v>
      </c>
      <c r="M562" s="295" cm="1">
        <f t="array" ref="M562">IF(AND(K562=MAX(K$10:K562), L562=MIN(IF(K$10:K562=K562, L$10:L562))), 1, 0)</f>
        <v>0</v>
      </c>
      <c r="N562" s="295">
        <f>IF(AND(Scenario[[#This Row],[Total Coverage]]&gt;=70%,Scenario[[#This Row],[Frontier]]=1),1,0)</f>
        <v>0</v>
      </c>
    </row>
    <row r="563" spans="1:14" x14ac:dyDescent="0.25">
      <c r="A563">
        <v>569</v>
      </c>
      <c r="B563">
        <v>0</v>
      </c>
      <c r="C563">
        <v>1</v>
      </c>
      <c r="D563">
        <v>0.5</v>
      </c>
      <c r="E563">
        <v>0.5</v>
      </c>
      <c r="F563">
        <v>0.25</v>
      </c>
      <c r="G563">
        <v>0.75</v>
      </c>
      <c r="H563">
        <v>0.25</v>
      </c>
      <c r="I563">
        <v>0.75</v>
      </c>
      <c r="J563" s="272">
        <f>$C$3*($C$4*$E$4*B562*$B$7)*$G$4+$C$3*($C$4*$E$5*D563*$D$7)*$G$4+$C$3*($C$4*$E$4*C563*$C$7)*$G$5+$C$3*($C$4*$E$5*E563*$E$7)*$G$5+$C$3*($C$5*$E$4*F563*$F$7)*$H$4+$C$3*($C$5*$E$5*H563*$H$7)*$H$4+$C$3*($C$5*$E$5*I563*$I$7)*$H$5+$C$3*($C$5*$E$4*G563*$G$7)*$H$5</f>
        <v>6561930.5122811478</v>
      </c>
      <c r="K563" s="277">
        <f>ROUND(($C$4*$E$4*B563*$B$7+$C$4*$E$4*C563*$C$7+$C$4*$E$5*D563*$D$7+$C$4*$E$5*E563*$E$7+($C$5*$E$4*F563*$F$7+$C$5*$E$4*G563*$G$7+$C$5*$E$5*H563*$H$7+$C$5*$E$5*I563*$I$7)),2)</f>
        <v>0.75</v>
      </c>
      <c r="L563" s="276">
        <f>Scenario[[#This Row],[Total Cost]]/(Scenario[[#This Row],[Total Coverage]]*100)</f>
        <v>87492.406830415304</v>
      </c>
      <c r="M563" s="295" cm="1">
        <f t="array" ref="M563">IF(AND(K563=MAX(K$10:K563), L563=MIN(IF(K$10:K563=K563, L$10:L563))), 1, 0)</f>
        <v>0</v>
      </c>
      <c r="N563" s="295">
        <f>IF(AND(Scenario[[#This Row],[Total Coverage]]&gt;=70%,Scenario[[#This Row],[Frontier]]=1),1,0)</f>
        <v>0</v>
      </c>
    </row>
    <row r="564" spans="1:14" x14ac:dyDescent="0.25">
      <c r="A564">
        <v>50</v>
      </c>
      <c r="B564">
        <v>1</v>
      </c>
      <c r="C564">
        <v>0</v>
      </c>
      <c r="D564">
        <v>0.75</v>
      </c>
      <c r="E564">
        <v>0.25</v>
      </c>
      <c r="F564">
        <v>0</v>
      </c>
      <c r="G564">
        <v>1</v>
      </c>
      <c r="H564">
        <v>0</v>
      </c>
      <c r="I564">
        <v>1</v>
      </c>
      <c r="J564" s="272">
        <f>$C$3*($C$4*$E$4*B563*$B$7)*$G$4+$C$3*($C$4*$E$5*D564*$D$7)*$G$4+$C$3*($C$4*$E$4*C564*$C$7)*$G$5+$C$3*($C$4*$E$5*E564*$E$7)*$G$5+$C$3*($C$5*$E$4*F564*$F$7)*$H$4+$C$3*($C$5*$E$5*H564*$H$7)*$H$4+$C$3*($C$5*$E$5*I564*$I$7)*$H$5+$C$3*($C$5*$E$4*G564*$G$7)*$H$5</f>
        <v>5620169.489902176</v>
      </c>
      <c r="K564" s="277">
        <f>ROUND(($C$4*$E$4*B564*$B$7+$C$4*$E$4*C564*$C$7+$C$4*$E$5*D564*$D$7+$C$4*$E$5*E564*$E$7+($C$5*$E$4*F564*$F$7+$C$5*$E$4*G564*$G$7+$C$5*$E$5*H564*$H$7+$C$5*$E$5*I564*$I$7)),2)</f>
        <v>0.76</v>
      </c>
      <c r="L564" s="276">
        <f>Scenario[[#This Row],[Total Cost]]/(Scenario[[#This Row],[Total Coverage]]*100)</f>
        <v>73949.598551344418</v>
      </c>
      <c r="M564" s="295" cm="1">
        <f t="array" ref="M564">IF(AND(K564=MAX(K$10:K564), L564=MIN(IF(K$10:K564=K564, L$10:L564))), 1, 0)</f>
        <v>1</v>
      </c>
      <c r="N564" s="295">
        <f>IF(AND(Scenario[[#This Row],[Total Coverage]]&gt;=70%,Scenario[[#This Row],[Frontier]]=1),1,0)</f>
        <v>1</v>
      </c>
    </row>
    <row r="565" spans="1:14" x14ac:dyDescent="0.25">
      <c r="A565">
        <v>199</v>
      </c>
      <c r="B565">
        <v>0.75</v>
      </c>
      <c r="C565">
        <v>0.25</v>
      </c>
      <c r="D565">
        <v>0.5</v>
      </c>
      <c r="E565">
        <v>0.5</v>
      </c>
      <c r="F565">
        <v>0</v>
      </c>
      <c r="G565">
        <v>1</v>
      </c>
      <c r="H565">
        <v>0.25</v>
      </c>
      <c r="I565">
        <v>0.75</v>
      </c>
      <c r="J565" s="272">
        <f>$C$3*($C$4*$E$4*B564*$B$7)*$G$4+$C$3*($C$4*$E$5*D565*$D$7)*$G$4+$C$3*($C$4*$E$4*C565*$C$7)*$G$5+$C$3*($C$4*$E$5*E565*$E$7)*$G$5+$C$3*($C$5*$E$4*F565*$F$7)*$H$4+$C$3*($C$5*$E$5*H565*$H$7)*$H$4+$C$3*($C$5*$E$5*I565*$I$7)*$H$5+$C$3*($C$5*$E$4*G565*$G$7)*$H$5</f>
        <v>6343153.1488505788</v>
      </c>
      <c r="K565" s="277">
        <f>ROUND(($C$4*$E$4*B565*$B$7+$C$4*$E$4*C565*$C$7+$C$4*$E$5*D565*$D$7+$C$4*$E$5*E565*$E$7+($C$5*$E$4*F565*$F$7+$C$5*$E$4*G565*$G$7+$C$5*$E$5*H565*$H$7+$C$5*$E$5*I565*$I$7)),2)</f>
        <v>0.76</v>
      </c>
      <c r="L565" s="276">
        <f>Scenario[[#This Row],[Total Cost]]/(Scenario[[#This Row],[Total Coverage]]*100)</f>
        <v>83462.541432244456</v>
      </c>
      <c r="M565" s="295" cm="1">
        <f t="array" ref="M565">IF(AND(K565=MAX(K$10:K565), L565=MIN(IF(K$10:K565=K565, L$10:L565))), 1, 0)</f>
        <v>0</v>
      </c>
      <c r="N565" s="295">
        <f>IF(AND(Scenario[[#This Row],[Total Coverage]]&gt;=70%,Scenario[[#This Row],[Frontier]]=1),1,0)</f>
        <v>0</v>
      </c>
    </row>
    <row r="566" spans="1:14" x14ac:dyDescent="0.25">
      <c r="A566">
        <v>348</v>
      </c>
      <c r="B566">
        <v>0.5</v>
      </c>
      <c r="C566">
        <v>0.5</v>
      </c>
      <c r="D566">
        <v>0.25</v>
      </c>
      <c r="E566">
        <v>0.75</v>
      </c>
      <c r="F566">
        <v>0</v>
      </c>
      <c r="G566">
        <v>1</v>
      </c>
      <c r="H566">
        <v>0.5</v>
      </c>
      <c r="I566">
        <v>0.5</v>
      </c>
      <c r="J566" s="272">
        <f>$C$3*($C$4*$E$4*B565*$B$7)*$G$4+$C$3*($C$4*$E$5*D566*$D$7)*$G$4+$C$3*($C$4*$E$4*C566*$C$7)*$G$5+$C$3*($C$4*$E$5*E566*$E$7)*$G$5+$C$3*($C$5*$E$4*F566*$F$7)*$H$4+$C$3*($C$5*$E$5*H566*$H$7)*$H$4+$C$3*($C$5*$E$5*I566*$I$7)*$H$5+$C$3*($C$5*$E$4*G566*$G$7)*$H$5</f>
        <v>6534088.6633077338</v>
      </c>
      <c r="K566" s="277">
        <f>ROUND(($C$4*$E$4*B566*$B$7+$C$4*$E$4*C566*$C$7+$C$4*$E$5*D566*$D$7+$C$4*$E$5*E566*$E$7+($C$5*$E$4*F566*$F$7+$C$5*$E$4*G566*$G$7+$C$5*$E$5*H566*$H$7+$C$5*$E$5*I566*$I$7)),2)</f>
        <v>0.76</v>
      </c>
      <c r="L566" s="276">
        <f>Scenario[[#This Row],[Total Cost]]/(Scenario[[#This Row],[Total Coverage]]*100)</f>
        <v>85974.850832996497</v>
      </c>
      <c r="M566" s="295" cm="1">
        <f t="array" ref="M566">IF(AND(K566=MAX(K$10:K566), L566=MIN(IF(K$10:K566=K566, L$10:L566))), 1, 0)</f>
        <v>0</v>
      </c>
      <c r="N566" s="295">
        <f>IF(AND(Scenario[[#This Row],[Total Coverage]]&gt;=70%,Scenario[[#This Row],[Frontier]]=1),1,0)</f>
        <v>0</v>
      </c>
    </row>
    <row r="567" spans="1:14" x14ac:dyDescent="0.25">
      <c r="A567">
        <v>345</v>
      </c>
      <c r="B567">
        <v>0.5</v>
      </c>
      <c r="C567">
        <v>0.5</v>
      </c>
      <c r="D567">
        <v>0.25</v>
      </c>
      <c r="E567">
        <v>0.75</v>
      </c>
      <c r="F567">
        <v>0.25</v>
      </c>
      <c r="G567">
        <v>0.75</v>
      </c>
      <c r="H567">
        <v>0</v>
      </c>
      <c r="I567">
        <v>1</v>
      </c>
      <c r="J567" s="272">
        <f>$C$3*($C$4*$E$4*B566*$B$7)*$G$4+$C$3*($C$4*$E$5*D567*$D$7)*$G$4+$C$3*($C$4*$E$4*C567*$C$7)*$G$5+$C$3*($C$4*$E$5*E567*$E$7)*$G$5+$C$3*($C$5*$E$4*F567*$F$7)*$H$4+$C$3*($C$5*$E$5*H567*$H$7)*$H$4+$C$3*($C$5*$E$5*I567*$I$7)*$H$5+$C$3*($C$5*$E$4*G567*$G$7)*$H$5</f>
        <v>6352935.5622044029</v>
      </c>
      <c r="K567" s="277">
        <f>ROUND(($C$4*$E$4*B567*$B$7+$C$4*$E$4*C567*$C$7+$C$4*$E$5*D567*$D$7+$C$4*$E$5*E567*$E$7+($C$5*$E$4*F567*$F$7+$C$5*$E$4*G567*$G$7+$C$5*$E$5*H567*$H$7+$C$5*$E$5*I567*$I$7)),2)</f>
        <v>0.76</v>
      </c>
      <c r="L567" s="276">
        <f>Scenario[[#This Row],[Total Cost]]/(Scenario[[#This Row],[Total Coverage]]*100)</f>
        <v>83591.257397426351</v>
      </c>
      <c r="M567" s="295" cm="1">
        <f t="array" ref="M567">IF(AND(K567=MAX(K$10:K567), L567=MIN(IF(K$10:K567=K567, L$10:L567))), 1, 0)</f>
        <v>0</v>
      </c>
      <c r="N567" s="295">
        <f>IF(AND(Scenario[[#This Row],[Total Coverage]]&gt;=70%,Scenario[[#This Row],[Frontier]]=1),1,0)</f>
        <v>0</v>
      </c>
    </row>
    <row r="568" spans="1:14" x14ac:dyDescent="0.25">
      <c r="A568">
        <v>274</v>
      </c>
      <c r="B568">
        <v>0.5</v>
      </c>
      <c r="C568">
        <v>0.5</v>
      </c>
      <c r="D568">
        <v>1</v>
      </c>
      <c r="E568">
        <v>0</v>
      </c>
      <c r="F568">
        <v>0</v>
      </c>
      <c r="G568">
        <v>1</v>
      </c>
      <c r="H568">
        <v>0.25</v>
      </c>
      <c r="I568">
        <v>0.75</v>
      </c>
      <c r="J568" s="272">
        <f>$C$3*($C$4*$E$4*B567*$B$7)*$G$4+$C$3*($C$4*$E$5*D568*$D$7)*$G$4+$C$3*($C$4*$E$4*C568*$C$7)*$G$5+$C$3*($C$4*$E$5*E568*$E$7)*$G$5+$C$3*($C$5*$E$4*F568*$F$7)*$H$4+$C$3*($C$5*$E$5*H568*$H$7)*$H$4+$C$3*($C$5*$E$5*I568*$I$7)*$H$5+$C$3*($C$5*$E$4*G568*$G$7)*$H$5</f>
        <v>6254802.9555719197</v>
      </c>
      <c r="K568" s="277">
        <f>ROUND(($C$4*$E$4*B568*$B$7+$C$4*$E$4*C568*$C$7+$C$4*$E$5*D568*$D$7+$C$4*$E$5*E568*$E$7+($C$5*$E$4*F568*$F$7+$C$5*$E$4*G568*$G$7+$C$5*$E$5*H568*$H$7+$C$5*$E$5*I568*$I$7)),2)</f>
        <v>0.76</v>
      </c>
      <c r="L568" s="276">
        <f>Scenario[[#This Row],[Total Cost]]/(Scenario[[#This Row],[Total Coverage]]*100)</f>
        <v>82300.038889104209</v>
      </c>
      <c r="M568" s="295" cm="1">
        <f t="array" ref="M568">IF(AND(K568=MAX(K$10:K568), L568=MIN(IF(K$10:K568=K568, L$10:L568))), 1, 0)</f>
        <v>0</v>
      </c>
      <c r="N568" s="295">
        <f>IF(AND(Scenario[[#This Row],[Total Coverage]]&gt;=70%,Scenario[[#This Row],[Frontier]]=1),1,0)</f>
        <v>0</v>
      </c>
    </row>
    <row r="569" spans="1:14" x14ac:dyDescent="0.25">
      <c r="A569">
        <v>494</v>
      </c>
      <c r="B569">
        <v>0.25</v>
      </c>
      <c r="C569">
        <v>0.75</v>
      </c>
      <c r="D569">
        <v>0</v>
      </c>
      <c r="E569">
        <v>1</v>
      </c>
      <c r="F569">
        <v>0.25</v>
      </c>
      <c r="G569">
        <v>0.75</v>
      </c>
      <c r="H569">
        <v>0.25</v>
      </c>
      <c r="I569">
        <v>0.75</v>
      </c>
      <c r="J569" s="272">
        <f>$C$3*($C$4*$E$4*B568*$B$7)*$G$4+$C$3*($C$4*$E$5*D569*$D$7)*$G$4+$C$3*($C$4*$E$4*C569*$C$7)*$G$5+$C$3*($C$4*$E$5*E569*$E$7)*$G$5+$C$3*($C$5*$E$4*F569*$F$7)*$H$4+$C$3*($C$5*$E$5*H569*$H$7)*$H$4+$C$3*($C$5*$E$5*I569*$I$7)*$H$5+$C$3*($C$5*$E$4*G569*$G$7)*$H$5</f>
        <v>6650280.7055598069</v>
      </c>
      <c r="K569" s="277">
        <f>ROUND(($C$4*$E$4*B569*$B$7+$C$4*$E$4*C569*$C$7+$C$4*$E$5*D569*$D$7+$C$4*$E$5*E569*$E$7+($C$5*$E$4*F569*$F$7+$C$5*$E$4*G569*$G$7+$C$5*$E$5*H569*$H$7+$C$5*$E$5*I569*$I$7)),2)</f>
        <v>0.76</v>
      </c>
      <c r="L569" s="276">
        <f>Scenario[[#This Row],[Total Cost]]/(Scenario[[#This Row],[Total Coverage]]*100)</f>
        <v>87503.693494207982</v>
      </c>
      <c r="M569" s="295" cm="1">
        <f t="array" ref="M569">IF(AND(K569=MAX(K$10:K569), L569=MIN(IF(K$10:K569=K569, L$10:L569))), 1, 0)</f>
        <v>0</v>
      </c>
      <c r="N569" s="295">
        <f>IF(AND(Scenario[[#This Row],[Total Coverage]]&gt;=70%,Scenario[[#This Row],[Frontier]]=1),1,0)</f>
        <v>0</v>
      </c>
    </row>
    <row r="570" spans="1:14" x14ac:dyDescent="0.25">
      <c r="A570">
        <v>423</v>
      </c>
      <c r="B570">
        <v>0.25</v>
      </c>
      <c r="C570">
        <v>0.75</v>
      </c>
      <c r="D570">
        <v>0.75</v>
      </c>
      <c r="E570">
        <v>0.25</v>
      </c>
      <c r="F570">
        <v>0</v>
      </c>
      <c r="G570">
        <v>1</v>
      </c>
      <c r="H570">
        <v>0.5</v>
      </c>
      <c r="I570">
        <v>0.5</v>
      </c>
      <c r="J570" s="272">
        <f>$C$3*($C$4*$E$4*B569*$B$7)*$G$4+$C$3*($C$4*$E$5*D570*$D$7)*$G$4+$C$3*($C$4*$E$4*C570*$C$7)*$G$5+$C$3*($C$4*$E$5*E570*$E$7)*$G$5+$C$3*($C$5*$E$4*F570*$F$7)*$H$4+$C$3*($C$5*$E$5*H570*$H$7)*$H$4+$C$3*($C$5*$E$5*I570*$I$7)*$H$5+$C$3*($C$5*$E$4*G570*$G$7)*$H$5</f>
        <v>6445738.4700290747</v>
      </c>
      <c r="K570" s="277">
        <f>ROUND(($C$4*$E$4*B570*$B$7+$C$4*$E$4*C570*$C$7+$C$4*$E$5*D570*$D$7+$C$4*$E$5*E570*$E$7+($C$5*$E$4*F570*$F$7+$C$5*$E$4*G570*$G$7+$C$5*$E$5*H570*$H$7+$C$5*$E$5*I570*$I$7)),2)</f>
        <v>0.76</v>
      </c>
      <c r="L570" s="276">
        <f>Scenario[[#This Row],[Total Cost]]/(Scenario[[#This Row],[Total Coverage]]*100)</f>
        <v>84812.348289856251</v>
      </c>
      <c r="M570" s="295" cm="1">
        <f t="array" ref="M570">IF(AND(K570=MAX(K$10:K570), L570=MIN(IF(K$10:K570=K570, L$10:L570))), 1, 0)</f>
        <v>0</v>
      </c>
      <c r="N570" s="295">
        <f>IF(AND(Scenario[[#This Row],[Total Coverage]]&gt;=70%,Scenario[[#This Row],[Frontier]]=1),1,0)</f>
        <v>0</v>
      </c>
    </row>
    <row r="571" spans="1:14" x14ac:dyDescent="0.25">
      <c r="A571">
        <v>520</v>
      </c>
      <c r="B571">
        <v>0</v>
      </c>
      <c r="C571">
        <v>1</v>
      </c>
      <c r="D571">
        <v>1</v>
      </c>
      <c r="E571">
        <v>0</v>
      </c>
      <c r="F571">
        <v>0.25</v>
      </c>
      <c r="G571">
        <v>0.75</v>
      </c>
      <c r="H571">
        <v>0</v>
      </c>
      <c r="I571">
        <v>1</v>
      </c>
      <c r="J571" s="272">
        <f>$C$3*($C$4*$E$4*B570*$B$7)*$G$4+$C$3*($C$4*$E$5*D571*$D$7)*$G$4+$C$3*($C$4*$E$4*C571*$C$7)*$G$5+$C$3*($C$4*$E$5*E571*$E$7)*$G$5+$C$3*($C$5*$E$4*F571*$F$7)*$H$4+$C$3*($C$5*$E$5*H571*$H$7)*$H$4+$C$3*($C$5*$E$5*I571*$I$7)*$H$5+$C$3*($C$5*$E$4*G571*$G$7)*$H$5</f>
        <v>6679740.3820327409</v>
      </c>
      <c r="K571" s="277">
        <f>ROUND(($C$4*$E$4*B571*$B$7+$C$4*$E$4*C571*$C$7+$C$4*$E$5*D571*$D$7+$C$4*$E$5*E571*$E$7+($C$5*$E$4*F571*$F$7+$C$5*$E$4*G571*$G$7+$C$5*$E$5*H571*$H$7+$C$5*$E$5*I571*$I$7)),2)</f>
        <v>0.76</v>
      </c>
      <c r="L571" s="276">
        <f>Scenario[[#This Row],[Total Cost]]/(Scenario[[#This Row],[Total Coverage]]*100)</f>
        <v>87891.320816220279</v>
      </c>
      <c r="M571" s="295" cm="1">
        <f t="array" ref="M571">IF(AND(K571=MAX(K$10:K571), L571=MIN(IF(K$10:K571=K571, L$10:L571))), 1, 0)</f>
        <v>0</v>
      </c>
      <c r="N571" s="295">
        <f>IF(AND(Scenario[[#This Row],[Total Coverage]]&gt;=70%,Scenario[[#This Row],[Frontier]]=1),1,0)</f>
        <v>0</v>
      </c>
    </row>
    <row r="572" spans="1:14" x14ac:dyDescent="0.25">
      <c r="A572">
        <v>497</v>
      </c>
      <c r="B572">
        <v>0.25</v>
      </c>
      <c r="C572">
        <v>0.75</v>
      </c>
      <c r="D572">
        <v>0</v>
      </c>
      <c r="E572">
        <v>1</v>
      </c>
      <c r="F572">
        <v>0</v>
      </c>
      <c r="G572">
        <v>1</v>
      </c>
      <c r="H572">
        <v>0.75</v>
      </c>
      <c r="I572">
        <v>0.25</v>
      </c>
      <c r="J572" s="272">
        <f>$C$3*($C$4*$E$4*B571*$B$7)*$G$4+$C$3*($C$4*$E$5*D572*$D$7)*$G$4+$C$3*($C$4*$E$4*C572*$C$7)*$G$5+$C$3*($C$4*$E$5*E572*$E$7)*$G$5+$C$3*($C$5*$E$4*F572*$F$7)*$H$4+$C$3*($C$5*$E$5*H572*$H$7)*$H$4+$C$3*($C$5*$E$5*I572*$I$7)*$H$5+$C$3*($C$5*$E$4*G572*$G$7)*$H$5</f>
        <v>6512204.9199683908</v>
      </c>
      <c r="K572" s="277">
        <f>ROUND(($C$4*$E$4*B572*$B$7+$C$4*$E$4*C572*$C$7+$C$4*$E$5*D572*$D$7+$C$4*$E$5*E572*$E$7+($C$5*$E$4*F572*$F$7+$C$5*$E$4*G572*$G$7+$C$5*$E$5*H572*$H$7+$C$5*$E$5*I572*$I$7)),2)</f>
        <v>0.76</v>
      </c>
      <c r="L572" s="276">
        <f>Scenario[[#This Row],[Total Cost]]/(Scenario[[#This Row],[Total Coverage]]*100)</f>
        <v>85686.906841689357</v>
      </c>
      <c r="M572" s="295" cm="1">
        <f t="array" ref="M572">IF(AND(K572=MAX(K$10:K572), L572=MIN(IF(K$10:K572=K572, L$10:L572))), 1, 0)</f>
        <v>0</v>
      </c>
      <c r="N572" s="295">
        <f>IF(AND(Scenario[[#This Row],[Total Coverage]]&gt;=70%,Scenario[[#This Row],[Frontier]]=1),1,0)</f>
        <v>0</v>
      </c>
    </row>
    <row r="573" spans="1:14" x14ac:dyDescent="0.25">
      <c r="A573">
        <v>572</v>
      </c>
      <c r="B573">
        <v>0</v>
      </c>
      <c r="C573">
        <v>1</v>
      </c>
      <c r="D573">
        <v>0.5</v>
      </c>
      <c r="E573">
        <v>0.5</v>
      </c>
      <c r="F573">
        <v>0</v>
      </c>
      <c r="G573">
        <v>1</v>
      </c>
      <c r="H573">
        <v>0.75</v>
      </c>
      <c r="I573">
        <v>0.25</v>
      </c>
      <c r="J573" s="272">
        <f>$C$3*($C$4*$E$4*B572*$B$7)*$G$4+$C$3*($C$4*$E$5*D573*$D$7)*$G$4+$C$3*($C$4*$E$4*C573*$C$7)*$G$5+$C$3*($C$4*$E$5*E573*$E$7)*$G$5+$C$3*($C$5*$E$4*F573*$F$7)*$H$4+$C$3*($C$5*$E$5*H573*$H$7)*$H$4+$C$3*($C$5*$E$5*I573*$I$7)*$H$5+$C$3*($C$5*$E$4*G573*$G$7)*$H$5</f>
        <v>6743083.6133844797</v>
      </c>
      <c r="K573" s="277">
        <f>ROUND(($C$4*$E$4*B573*$B$7+$C$4*$E$4*C573*$C$7+$C$4*$E$5*D573*$D$7+$C$4*$E$5*E573*$E$7+($C$5*$E$4*F573*$F$7+$C$5*$E$4*G573*$G$7+$C$5*$E$5*H573*$H$7+$C$5*$E$5*I573*$I$7)),2)</f>
        <v>0.76</v>
      </c>
      <c r="L573" s="276">
        <f>Scenario[[#This Row],[Total Cost]]/(Scenario[[#This Row],[Total Coverage]]*100)</f>
        <v>88724.784386637897</v>
      </c>
      <c r="M573" s="295" cm="1">
        <f t="array" ref="M573">IF(AND(K573=MAX(K$10:K573), L573=MIN(IF(K$10:K573=K573, L$10:L573))), 1, 0)</f>
        <v>0</v>
      </c>
      <c r="N573" s="295">
        <f>IF(AND(Scenario[[#This Row],[Total Coverage]]&gt;=70%,Scenario[[#This Row],[Frontier]]=1),1,0)</f>
        <v>0</v>
      </c>
    </row>
    <row r="574" spans="1:14" x14ac:dyDescent="0.25">
      <c r="A574">
        <v>124</v>
      </c>
      <c r="B574">
        <v>1</v>
      </c>
      <c r="C574">
        <v>0</v>
      </c>
      <c r="D574">
        <v>0</v>
      </c>
      <c r="E574">
        <v>1</v>
      </c>
      <c r="F574">
        <v>0</v>
      </c>
      <c r="G574">
        <v>1</v>
      </c>
      <c r="H574">
        <v>0.25</v>
      </c>
      <c r="I574">
        <v>0.75</v>
      </c>
      <c r="J574" s="272">
        <f>$C$3*($C$4*$E$4*B573*$B$7)*$G$4+$C$3*($C$4*$E$5*D574*$D$7)*$G$4+$C$3*($C$4*$E$4*C574*$C$7)*$G$5+$C$3*($C$4*$E$5*E574*$E$7)*$G$5+$C$3*($C$5*$E$4*F574*$F$7)*$H$4+$C$3*($C$5*$E$5*H574*$H$7)*$H$4+$C$3*($C$5*$E$5*I574*$I$7)*$H$5+$C$3*($C$5*$E$4*G574*$G$7)*$H$5</f>
        <v>5793045.568739742</v>
      </c>
      <c r="K574" s="277">
        <f>ROUND(($C$4*$E$4*B574*$B$7+$C$4*$E$4*C574*$C$7+$C$4*$E$5*D574*$D$7+$C$4*$E$5*E574*$E$7+($C$5*$E$4*F574*$F$7+$C$5*$E$4*G574*$G$7+$C$5*$E$5*H574*$H$7+$C$5*$E$5*I574*$I$7)),2)</f>
        <v>0.77</v>
      </c>
      <c r="L574" s="276">
        <f>Scenario[[#This Row],[Total Cost]]/(Scenario[[#This Row],[Total Coverage]]*100)</f>
        <v>75234.35803558107</v>
      </c>
      <c r="M574" s="295" cm="1">
        <f t="array" ref="M574">IF(AND(K574=MAX(K$10:K574), L574=MIN(IF(K$10:K574=K574, L$10:L574))), 1, 0)</f>
        <v>1</v>
      </c>
      <c r="N574" s="295">
        <f>IF(AND(Scenario[[#This Row],[Total Coverage]]&gt;=70%,Scenario[[#This Row],[Frontier]]=1),1,0)</f>
        <v>1</v>
      </c>
    </row>
    <row r="575" spans="1:14" x14ac:dyDescent="0.25">
      <c r="A575">
        <v>150</v>
      </c>
      <c r="B575">
        <v>0.75</v>
      </c>
      <c r="C575">
        <v>0.25</v>
      </c>
      <c r="D575">
        <v>1</v>
      </c>
      <c r="E575">
        <v>0</v>
      </c>
      <c r="F575">
        <v>0</v>
      </c>
      <c r="G575">
        <v>1</v>
      </c>
      <c r="H575">
        <v>0</v>
      </c>
      <c r="I575">
        <v>1</v>
      </c>
      <c r="J575" s="272">
        <f>$C$3*($C$4*$E$4*B574*$B$7)*$G$4+$C$3*($C$4*$E$5*D575*$D$7)*$G$4+$C$3*($C$4*$E$4*C575*$C$7)*$G$5+$C$3*($C$4*$E$5*E575*$E$7)*$G$5+$C$3*($C$5*$E$4*F575*$F$7)*$H$4+$C$3*($C$5*$E$5*H575*$H$7)*$H$4+$C$3*($C$5*$E$5*I575*$I$7)*$H$5+$C$3*($C$5*$E$4*G575*$G$7)*$H$5</f>
        <v>6354553.389703922</v>
      </c>
      <c r="K575" s="277">
        <f>ROUND(($C$4*$E$4*B575*$B$7+$C$4*$E$4*C575*$C$7+$C$4*$E$5*D575*$D$7+$C$4*$E$5*E575*$E$7+($C$5*$E$4*F575*$F$7+$C$5*$E$4*G575*$G$7+$C$5*$E$5*H575*$H$7+$C$5*$E$5*I575*$I$7)),2)</f>
        <v>0.77</v>
      </c>
      <c r="L575" s="276">
        <f>Scenario[[#This Row],[Total Cost]]/(Scenario[[#This Row],[Total Coverage]]*100)</f>
        <v>82526.667398752237</v>
      </c>
      <c r="M575" s="295" cm="1">
        <f t="array" ref="M575">IF(AND(K575=MAX(K$10:K575), L575=MIN(IF(K$10:K575=K575, L$10:L575))), 1, 0)</f>
        <v>0</v>
      </c>
      <c r="N575" s="295">
        <f>IF(AND(Scenario[[#This Row],[Total Coverage]]&gt;=70%,Scenario[[#This Row],[Frontier]]=1),1,0)</f>
        <v>0</v>
      </c>
    </row>
    <row r="576" spans="1:14" x14ac:dyDescent="0.25">
      <c r="A576">
        <v>370</v>
      </c>
      <c r="B576">
        <v>0.5</v>
      </c>
      <c r="C576">
        <v>0.5</v>
      </c>
      <c r="D576">
        <v>0</v>
      </c>
      <c r="E576">
        <v>1</v>
      </c>
      <c r="F576">
        <v>0.25</v>
      </c>
      <c r="G576">
        <v>0.75</v>
      </c>
      <c r="H576">
        <v>0</v>
      </c>
      <c r="I576">
        <v>1</v>
      </c>
      <c r="J576" s="272">
        <f>$C$3*($C$4*$E$4*B575*$B$7)*$G$4+$C$3*($C$4*$E$5*D576*$D$7)*$G$4+$C$3*($C$4*$E$4*C576*$C$7)*$G$5+$C$3*($C$4*$E$5*E576*$E$7)*$G$5+$C$3*($C$5*$E$4*F576*$F$7)*$H$4+$C$3*($C$5*$E$5*H576*$H$7)*$H$4+$C$3*($C$5*$E$5*I576*$I$7)*$H$5+$C$3*($C$5*$E$4*G576*$G$7)*$H$5</f>
        <v>6643621.5107935611</v>
      </c>
      <c r="K576" s="277">
        <f>ROUND(($C$4*$E$4*B576*$B$7+$C$4*$E$4*C576*$C$7+$C$4*$E$5*D576*$D$7+$C$4*$E$5*E576*$E$7+($C$5*$E$4*F576*$F$7+$C$5*$E$4*G576*$G$7+$C$5*$E$5*H576*$H$7+$C$5*$E$5*I576*$I$7)),2)</f>
        <v>0.77</v>
      </c>
      <c r="L576" s="276">
        <f>Scenario[[#This Row],[Total Cost]]/(Scenario[[#This Row],[Total Coverage]]*100)</f>
        <v>86280.798841474825</v>
      </c>
      <c r="M576" s="295" cm="1">
        <f t="array" ref="M576">IF(AND(K576=MAX(K$10:K576), L576=MIN(IF(K$10:K576=K576, L$10:L576))), 1, 0)</f>
        <v>0</v>
      </c>
      <c r="N576" s="295">
        <f>IF(AND(Scenario[[#This Row],[Total Coverage]]&gt;=70%,Scenario[[#This Row],[Frontier]]=1),1,0)</f>
        <v>0</v>
      </c>
    </row>
    <row r="577" spans="1:14" x14ac:dyDescent="0.25">
      <c r="A577">
        <v>299</v>
      </c>
      <c r="B577">
        <v>0.5</v>
      </c>
      <c r="C577">
        <v>0.5</v>
      </c>
      <c r="D577">
        <v>0.75</v>
      </c>
      <c r="E577">
        <v>0.25</v>
      </c>
      <c r="F577">
        <v>0</v>
      </c>
      <c r="G577">
        <v>1</v>
      </c>
      <c r="H577">
        <v>0.25</v>
      </c>
      <c r="I577">
        <v>0.75</v>
      </c>
      <c r="J577" s="272">
        <f>$C$3*($C$4*$E$4*B576*$B$7)*$G$4+$C$3*($C$4*$E$5*D577*$D$7)*$G$4+$C$3*($C$4*$E$4*C577*$C$7)*$G$5+$C$3*($C$4*$E$5*E577*$E$7)*$G$5+$C$3*($C$5*$E$4*F577*$F$7)*$H$4+$C$3*($C$5*$E$5*H577*$H$7)*$H$4+$C$3*($C$5*$E$5*I577*$I$7)*$H$5+$C$3*($C$5*$E$4*G577*$G$7)*$H$5</f>
        <v>6439079.2752628271</v>
      </c>
      <c r="K577" s="277">
        <f>ROUND(($C$4*$E$4*B577*$B$7+$C$4*$E$4*C577*$C$7+$C$4*$E$5*D577*$D$7+$C$4*$E$5*E577*$E$7+($C$5*$E$4*F577*$F$7+$C$5*$E$4*G577*$G$7+$C$5*$E$5*H577*$H$7+$C$5*$E$5*I577*$I$7)),2)</f>
        <v>0.77</v>
      </c>
      <c r="L577" s="276">
        <f>Scenario[[#This Row],[Total Cost]]/(Scenario[[#This Row],[Total Coverage]]*100)</f>
        <v>83624.406172244504</v>
      </c>
      <c r="M577" s="295" cm="1">
        <f t="array" ref="M577">IF(AND(K577=MAX(K$10:K577), L577=MIN(IF(K$10:K577=K577, L$10:L577))), 1, 0)</f>
        <v>0</v>
      </c>
      <c r="N577" s="295">
        <f>IF(AND(Scenario[[#This Row],[Total Coverage]]&gt;=70%,Scenario[[#This Row],[Frontier]]=1),1,0)</f>
        <v>0</v>
      </c>
    </row>
    <row r="578" spans="1:14" x14ac:dyDescent="0.25">
      <c r="A578">
        <v>445</v>
      </c>
      <c r="B578">
        <v>0.25</v>
      </c>
      <c r="C578">
        <v>0.75</v>
      </c>
      <c r="D578">
        <v>0.5</v>
      </c>
      <c r="E578">
        <v>0.5</v>
      </c>
      <c r="F578">
        <v>0.25</v>
      </c>
      <c r="G578">
        <v>0.75</v>
      </c>
      <c r="H578">
        <v>0</v>
      </c>
      <c r="I578">
        <v>1</v>
      </c>
      <c r="J578" s="272">
        <f>$C$3*($C$4*$E$4*B577*$B$7)*$G$4+$C$3*($C$4*$E$5*D578*$D$7)*$G$4+$C$3*($C$4*$E$4*C578*$C$7)*$G$5+$C$3*($C$4*$E$5*E578*$E$7)*$G$5+$C$3*($C$5*$E$4*F578*$F$7)*$H$4+$C$3*($C$5*$E$5*H578*$H$7)*$H$4+$C$3*($C$5*$E$5*I578*$I$7)*$H$5+$C$3*($C$5*$E$4*G578*$G$7)*$H$5</f>
        <v>6661680.946413151</v>
      </c>
      <c r="K578" s="277">
        <f>ROUND(($C$4*$E$4*B578*$B$7+$C$4*$E$4*C578*$C$7+$C$4*$E$5*D578*$D$7+$C$4*$E$5*E578*$E$7+($C$5*$E$4*F578*$F$7+$C$5*$E$4*G578*$G$7+$C$5*$E$5*H578*$H$7+$C$5*$E$5*I578*$I$7)),2)</f>
        <v>0.77</v>
      </c>
      <c r="L578" s="276">
        <f>Scenario[[#This Row],[Total Cost]]/(Scenario[[#This Row],[Total Coverage]]*100)</f>
        <v>86515.33696640456</v>
      </c>
      <c r="M578" s="295" cm="1">
        <f t="array" ref="M578">IF(AND(K578=MAX(K$10:K578), L578=MIN(IF(K$10:K578=K578, L$10:L578))), 1, 0)</f>
        <v>0</v>
      </c>
      <c r="N578" s="295">
        <f>IF(AND(Scenario[[#This Row],[Total Coverage]]&gt;=70%,Scenario[[#This Row],[Frontier]]=1),1,0)</f>
        <v>0</v>
      </c>
    </row>
    <row r="579" spans="1:14" x14ac:dyDescent="0.25">
      <c r="A579">
        <v>448</v>
      </c>
      <c r="B579">
        <v>0.25</v>
      </c>
      <c r="C579">
        <v>0.75</v>
      </c>
      <c r="D579">
        <v>0.5</v>
      </c>
      <c r="E579">
        <v>0.5</v>
      </c>
      <c r="F579">
        <v>0</v>
      </c>
      <c r="G579">
        <v>1</v>
      </c>
      <c r="H579">
        <v>0.5</v>
      </c>
      <c r="I579">
        <v>0.5</v>
      </c>
      <c r="J579" s="272">
        <f>$C$3*($C$4*$E$4*B578*$B$7)*$G$4+$C$3*($C$4*$E$5*D579*$D$7)*$G$4+$C$3*($C$4*$E$4*C579*$C$7)*$G$5+$C$3*($C$4*$E$5*E579*$E$7)*$G$5+$C$3*($C$5*$E$4*F579*$F$7)*$H$4+$C$3*($C$5*$E$5*H579*$H$7)*$H$4+$C$3*($C$5*$E$5*I579*$I$7)*$H$5+$C$3*($C$5*$E$4*G579*$G$7)*$H$5</f>
        <v>6630014.789719983</v>
      </c>
      <c r="K579" s="277">
        <f>ROUND(($C$4*$E$4*B579*$B$7+$C$4*$E$4*C579*$C$7+$C$4*$E$5*D579*$D$7+$C$4*$E$5*E579*$E$7+($C$5*$E$4*F579*$F$7+$C$5*$E$4*G579*$G$7+$C$5*$E$5*H579*$H$7+$C$5*$E$5*I579*$I$7)),2)</f>
        <v>0.77</v>
      </c>
      <c r="L579" s="276">
        <f>Scenario[[#This Row],[Total Cost]]/(Scenario[[#This Row],[Total Coverage]]*100)</f>
        <v>86104.088178181599</v>
      </c>
      <c r="M579" s="295" cm="1">
        <f t="array" ref="M579">IF(AND(K579=MAX(K$10:K579), L579=MIN(IF(K$10:K579=K579, L$10:L579))), 1, 0)</f>
        <v>0</v>
      </c>
      <c r="N579" s="295">
        <f>IF(AND(Scenario[[#This Row],[Total Coverage]]&gt;=70%,Scenario[[#This Row],[Frontier]]=1),1,0)</f>
        <v>0</v>
      </c>
    </row>
    <row r="580" spans="1:14" x14ac:dyDescent="0.25">
      <c r="A580">
        <v>523</v>
      </c>
      <c r="B580">
        <v>0</v>
      </c>
      <c r="C580">
        <v>1</v>
      </c>
      <c r="D580">
        <v>1</v>
      </c>
      <c r="E580">
        <v>0</v>
      </c>
      <c r="F580">
        <v>0</v>
      </c>
      <c r="G580">
        <v>1</v>
      </c>
      <c r="H580">
        <v>0.5</v>
      </c>
      <c r="I580">
        <v>0.5</v>
      </c>
      <c r="J580" s="272">
        <f>$C$3*($C$4*$E$4*B579*$B$7)*$G$4+$C$3*($C$4*$E$5*D580*$D$7)*$G$4+$C$3*($C$4*$E$4*C580*$C$7)*$G$5+$C$3*($C$4*$E$5*E580*$E$7)*$G$5+$C$3*($C$5*$E$4*F580*$F$7)*$H$4+$C$3*($C$5*$E$5*H580*$H$7)*$H$4+$C$3*($C$5*$E$5*I580*$I$7)*$H$5+$C$3*($C$5*$E$4*G580*$G$7)*$H$5</f>
        <v>6754483.8542378228</v>
      </c>
      <c r="K580" s="277">
        <f>ROUND(($C$4*$E$4*B580*$B$7+$C$4*$E$4*C580*$C$7+$C$4*$E$5*D580*$D$7+$C$4*$E$5*E580*$E$7+($C$5*$E$4*F580*$F$7+$C$5*$E$4*G580*$G$7+$C$5*$E$5*H580*$H$7+$C$5*$E$5*I580*$I$7)),2)</f>
        <v>0.77</v>
      </c>
      <c r="L580" s="276">
        <f>Scenario[[#This Row],[Total Cost]]/(Scenario[[#This Row],[Total Coverage]]*100)</f>
        <v>87720.569535556147</v>
      </c>
      <c r="M580" s="295" cm="1">
        <f t="array" ref="M580">IF(AND(K580=MAX(K$10:K580), L580=MIN(IF(K$10:K580=K580, L$10:L580))), 1, 0)</f>
        <v>0</v>
      </c>
      <c r="N580" s="295">
        <f>IF(AND(Scenario[[#This Row],[Total Coverage]]&gt;=70%,Scenario[[#This Row],[Frontier]]=1),1,0)</f>
        <v>0</v>
      </c>
    </row>
    <row r="581" spans="1:14" x14ac:dyDescent="0.25">
      <c r="A581">
        <v>594</v>
      </c>
      <c r="B581">
        <v>0</v>
      </c>
      <c r="C581">
        <v>1</v>
      </c>
      <c r="D581">
        <v>0.25</v>
      </c>
      <c r="E581">
        <v>0.75</v>
      </c>
      <c r="F581">
        <v>0.25</v>
      </c>
      <c r="G581">
        <v>0.75</v>
      </c>
      <c r="H581">
        <v>0.25</v>
      </c>
      <c r="I581">
        <v>0.75</v>
      </c>
      <c r="J581" s="272">
        <f>$C$3*($C$4*$E$4*B580*$B$7)*$G$4+$C$3*($C$4*$E$5*D581*$D$7)*$G$4+$C$3*($C$4*$E$4*C581*$C$7)*$G$5+$C$3*($C$4*$E$5*E581*$E$7)*$G$5+$C$3*($C$5*$E$4*F581*$F$7)*$H$4+$C$3*($C$5*$E$5*H581*$H$7)*$H$4+$C$3*($C$5*$E$5*I581*$I$7)*$H$5+$C$3*($C$5*$E$4*G581*$G$7)*$H$5</f>
        <v>6746206.8319720561</v>
      </c>
      <c r="K581" s="277">
        <f>ROUND(($C$4*$E$4*B581*$B$7+$C$4*$E$4*C581*$C$7+$C$4*$E$5*D581*$D$7+$C$4*$E$5*E581*$E$7+($C$5*$E$4*F581*$F$7+$C$5*$E$4*G581*$G$7+$C$5*$E$5*H581*$H$7+$C$5*$E$5*I581*$I$7)),2)</f>
        <v>0.77</v>
      </c>
      <c r="L581" s="276">
        <f>Scenario[[#This Row],[Total Cost]]/(Scenario[[#This Row],[Total Coverage]]*100)</f>
        <v>87613.075739896827</v>
      </c>
      <c r="M581" s="295" cm="1">
        <f t="array" ref="M581">IF(AND(K581=MAX(K$10:K581), L581=MIN(IF(K$10:K581=K581, L$10:L581))), 1, 0)</f>
        <v>0</v>
      </c>
      <c r="N581" s="295">
        <f>IF(AND(Scenario[[#This Row],[Total Coverage]]&gt;=70%,Scenario[[#This Row],[Frontier]]=1),1,0)</f>
        <v>0</v>
      </c>
    </row>
    <row r="582" spans="1:14" x14ac:dyDescent="0.25">
      <c r="A582">
        <v>597</v>
      </c>
      <c r="B582">
        <v>0</v>
      </c>
      <c r="C582">
        <v>1</v>
      </c>
      <c r="D582">
        <v>0.25</v>
      </c>
      <c r="E582">
        <v>0.75</v>
      </c>
      <c r="F582">
        <v>0</v>
      </c>
      <c r="G582">
        <v>1</v>
      </c>
      <c r="H582">
        <v>0.75</v>
      </c>
      <c r="I582">
        <v>0.25</v>
      </c>
      <c r="J582" s="272">
        <f>$C$3*($C$4*$E$4*B581*$B$7)*$G$4+$C$3*($C$4*$E$5*D582*$D$7)*$G$4+$C$3*($C$4*$E$4*C582*$C$7)*$G$5+$C$3*($C$4*$E$5*E582*$E$7)*$G$5+$C$3*($C$5*$E$4*F582*$F$7)*$H$4+$C$3*($C$5*$E$5*H582*$H$7)*$H$4+$C$3*($C$5*$E$5*I582*$I$7)*$H$5+$C$3*($C$5*$E$4*G582*$G$7)*$H$5</f>
        <v>6820950.304177139</v>
      </c>
      <c r="K582" s="277">
        <f>ROUND(($C$4*$E$4*B582*$B$7+$C$4*$E$4*C582*$C$7+$C$4*$E$5*D582*$D$7+$C$4*$E$5*E582*$E$7+($C$5*$E$4*F582*$F$7+$C$5*$E$4*G582*$G$7+$C$5*$E$5*H582*$H$7+$C$5*$E$5*I582*$I$7)),2)</f>
        <v>0.77</v>
      </c>
      <c r="L582" s="276">
        <f>Scenario[[#This Row],[Total Cost]]/(Scenario[[#This Row],[Total Coverage]]*100)</f>
        <v>88583.770184118694</v>
      </c>
      <c r="M582" s="295" cm="1">
        <f t="array" ref="M582">IF(AND(K582=MAX(K$10:K582), L582=MIN(IF(K$10:K582=K582, L$10:L582))), 1, 0)</f>
        <v>0</v>
      </c>
      <c r="N582" s="295">
        <f>IF(AND(Scenario[[#This Row],[Total Coverage]]&gt;=70%,Scenario[[#This Row],[Frontier]]=1),1,0)</f>
        <v>0</v>
      </c>
    </row>
    <row r="583" spans="1:14" x14ac:dyDescent="0.25">
      <c r="A583">
        <v>75</v>
      </c>
      <c r="B583">
        <v>1</v>
      </c>
      <c r="C583">
        <v>0</v>
      </c>
      <c r="D583">
        <v>0.5</v>
      </c>
      <c r="E583">
        <v>0.5</v>
      </c>
      <c r="F583">
        <v>0</v>
      </c>
      <c r="G583">
        <v>1</v>
      </c>
      <c r="H583">
        <v>0</v>
      </c>
      <c r="I583">
        <v>1</v>
      </c>
      <c r="J583" s="272">
        <f>$C$3*($C$4*$E$4*B582*$B$7)*$G$4+$C$3*($C$4*$E$5*D583*$D$7)*$G$4+$C$3*($C$4*$E$4*C583*$C$7)*$G$5+$C$3*($C$4*$E$5*E583*$E$7)*$G$5+$C$3*($C$5*$E$4*F583*$F$7)*$H$4+$C$3*($C$5*$E$5*H583*$H$7)*$H$4+$C$3*($C$5*$E$5*I583*$I$7)*$H$5+$C$3*($C$5*$E$4*G583*$G$7)*$H$5</f>
        <v>5804445.8095930852</v>
      </c>
      <c r="K583" s="277">
        <f>ROUND(($C$4*$E$4*B583*$B$7+$C$4*$E$4*C583*$C$7+$C$4*$E$5*D583*$D$7+$C$4*$E$5*E583*$E$7+($C$5*$E$4*F583*$F$7+$C$5*$E$4*G583*$G$7+$C$5*$E$5*H583*$H$7+$C$5*$E$5*I583*$I$7)),2)</f>
        <v>0.78</v>
      </c>
      <c r="L583" s="276">
        <f>Scenario[[#This Row],[Total Cost]]/(Scenario[[#This Row],[Total Coverage]]*100)</f>
        <v>74415.971917860064</v>
      </c>
      <c r="M583" s="295" cm="1">
        <f t="array" ref="M583">IF(AND(K583=MAX(K$10:K583), L583=MIN(IF(K$10:K583=K583, L$10:L583))), 1, 0)</f>
        <v>1</v>
      </c>
      <c r="N583" s="295">
        <f>IF(AND(Scenario[[#This Row],[Total Coverage]]&gt;=70%,Scenario[[#This Row],[Frontier]]=1),1,0)</f>
        <v>1</v>
      </c>
    </row>
    <row r="584" spans="1:14" x14ac:dyDescent="0.25">
      <c r="A584">
        <v>224</v>
      </c>
      <c r="B584">
        <v>0.75</v>
      </c>
      <c r="C584">
        <v>0.25</v>
      </c>
      <c r="D584">
        <v>0.25</v>
      </c>
      <c r="E584">
        <v>0.75</v>
      </c>
      <c r="F584">
        <v>0</v>
      </c>
      <c r="G584">
        <v>1</v>
      </c>
      <c r="H584">
        <v>0.25</v>
      </c>
      <c r="I584">
        <v>0.75</v>
      </c>
      <c r="J584" s="272">
        <f>$C$3*($C$4*$E$4*B583*$B$7)*$G$4+$C$3*($C$4*$E$5*D584*$D$7)*$G$4+$C$3*($C$4*$E$4*C584*$C$7)*$G$5+$C$3*($C$4*$E$5*E584*$E$7)*$G$5+$C$3*($C$5*$E$4*F584*$F$7)*$H$4+$C$3*($C$5*$E$5*H584*$H$7)*$H$4+$C$3*($C$5*$E$5*I584*$I$7)*$H$5+$C$3*($C$5*$E$4*G584*$G$7)*$H$5</f>
        <v>6527429.4685414871</v>
      </c>
      <c r="K584" s="277">
        <f>ROUND(($C$4*$E$4*B584*$B$7+$C$4*$E$4*C584*$C$7+$C$4*$E$5*D584*$D$7+$C$4*$E$5*E584*$E$7+($C$5*$E$4*F584*$F$7+$C$5*$E$4*G584*$G$7+$C$5*$E$5*H584*$H$7+$C$5*$E$5*I584*$I$7)),2)</f>
        <v>0.78</v>
      </c>
      <c r="L584" s="276">
        <f>Scenario[[#This Row],[Total Cost]]/(Scenario[[#This Row],[Total Coverage]]*100)</f>
        <v>83684.993186429318</v>
      </c>
      <c r="M584" s="295" cm="1">
        <f t="array" ref="M584">IF(AND(K584=MAX(K$10:K584), L584=MIN(IF(K$10:K584=K584, L$10:L584))), 1, 0)</f>
        <v>0</v>
      </c>
      <c r="N584" s="295">
        <f>IF(AND(Scenario[[#This Row],[Total Coverage]]&gt;=70%,Scenario[[#This Row],[Frontier]]=1),1,0)</f>
        <v>0</v>
      </c>
    </row>
    <row r="585" spans="1:14" x14ac:dyDescent="0.25">
      <c r="A585">
        <v>373</v>
      </c>
      <c r="B585">
        <v>0.5</v>
      </c>
      <c r="C585">
        <v>0.5</v>
      </c>
      <c r="D585">
        <v>0</v>
      </c>
      <c r="E585">
        <v>1</v>
      </c>
      <c r="F585">
        <v>0</v>
      </c>
      <c r="G585">
        <v>1</v>
      </c>
      <c r="H585">
        <v>0.5</v>
      </c>
      <c r="I585">
        <v>0.5</v>
      </c>
      <c r="J585" s="272">
        <f>$C$3*($C$4*$E$4*B584*$B$7)*$G$4+$C$3*($C$4*$E$5*D585*$D$7)*$G$4+$C$3*($C$4*$E$4*C585*$C$7)*$G$5+$C$3*($C$4*$E$5*E585*$E$7)*$G$5+$C$3*($C$5*$E$4*F585*$F$7)*$H$4+$C$3*($C$5*$E$5*H585*$H$7)*$H$4+$C$3*($C$5*$E$5*I585*$I$7)*$H$5+$C$3*($C$5*$E$4*G585*$G$7)*$H$5</f>
        <v>6718364.9829986431</v>
      </c>
      <c r="K585" s="277">
        <f>ROUND(($C$4*$E$4*B585*$B$7+$C$4*$E$4*C585*$C$7+$C$4*$E$5*D585*$D$7+$C$4*$E$5*E585*$E$7+($C$5*$E$4*F585*$F$7+$C$5*$E$4*G585*$G$7+$C$5*$E$5*H585*$H$7+$C$5*$E$5*I585*$I$7)),2)</f>
        <v>0.78</v>
      </c>
      <c r="L585" s="276">
        <f>Scenario[[#This Row],[Total Cost]]/(Scenario[[#This Row],[Total Coverage]]*100)</f>
        <v>86132.8843974185</v>
      </c>
      <c r="M585" s="295" cm="1">
        <f t="array" ref="M585">IF(AND(K585=MAX(K$10:K585), L585=MIN(IF(K$10:K585=K585, L$10:L585))), 1, 0)</f>
        <v>0</v>
      </c>
      <c r="N585" s="295">
        <f>IF(AND(Scenario[[#This Row],[Total Coverage]]&gt;=70%,Scenario[[#This Row],[Frontier]]=1),1,0)</f>
        <v>0</v>
      </c>
    </row>
    <row r="586" spans="1:14" x14ac:dyDescent="0.25">
      <c r="A586">
        <v>470</v>
      </c>
      <c r="B586">
        <v>0.25</v>
      </c>
      <c r="C586">
        <v>0.75</v>
      </c>
      <c r="D586">
        <v>0.25</v>
      </c>
      <c r="E586">
        <v>0.75</v>
      </c>
      <c r="F586">
        <v>0.25</v>
      </c>
      <c r="G586">
        <v>0.75</v>
      </c>
      <c r="H586">
        <v>0</v>
      </c>
      <c r="I586">
        <v>1</v>
      </c>
      <c r="J586" s="272">
        <f>$C$3*($C$4*$E$4*B585*$B$7)*$G$4+$C$3*($C$4*$E$5*D586*$D$7)*$G$4+$C$3*($C$4*$E$4*C586*$C$7)*$G$5+$C$3*($C$4*$E$5*E586*$E$7)*$G$5+$C$3*($C$5*$E$4*F586*$F$7)*$H$4+$C$3*($C$5*$E$5*H586*$H$7)*$H$4+$C$3*($C$5*$E$5*I586*$I$7)*$H$5+$C$3*($C$5*$E$4*G586*$G$7)*$H$5</f>
        <v>6845957.2661040593</v>
      </c>
      <c r="K586" s="277">
        <f>ROUND(($C$4*$E$4*B586*$B$7+$C$4*$E$4*C586*$C$7+$C$4*$E$5*D586*$D$7+$C$4*$E$5*E586*$E$7+($C$5*$E$4*F586*$F$7+$C$5*$E$4*G586*$G$7+$C$5*$E$5*H586*$H$7+$C$5*$E$5*I586*$I$7)),2)</f>
        <v>0.78</v>
      </c>
      <c r="L586" s="276">
        <f>Scenario[[#This Row],[Total Cost]]/(Scenario[[#This Row],[Total Coverage]]*100)</f>
        <v>87768.682898769985</v>
      </c>
      <c r="M586" s="295" cm="1">
        <f t="array" ref="M586">IF(AND(K586=MAX(K$10:K586), L586=MIN(IF(K$10:K586=K586, L$10:L586))), 1, 0)</f>
        <v>0</v>
      </c>
      <c r="N586" s="295">
        <f>IF(AND(Scenario[[#This Row],[Total Coverage]]&gt;=70%,Scenario[[#This Row],[Frontier]]=1),1,0)</f>
        <v>0</v>
      </c>
    </row>
    <row r="587" spans="1:14" x14ac:dyDescent="0.25">
      <c r="A587">
        <v>399</v>
      </c>
      <c r="B587">
        <v>0.25</v>
      </c>
      <c r="C587">
        <v>0.75</v>
      </c>
      <c r="D587">
        <v>1</v>
      </c>
      <c r="E587">
        <v>0</v>
      </c>
      <c r="F587">
        <v>0</v>
      </c>
      <c r="G587">
        <v>1</v>
      </c>
      <c r="H587">
        <v>0.25</v>
      </c>
      <c r="I587">
        <v>0.75</v>
      </c>
      <c r="J587" s="272">
        <f>$C$3*($C$4*$E$4*B586*$B$7)*$G$4+$C$3*($C$4*$E$5*D587*$D$7)*$G$4+$C$3*($C$4*$E$4*C587*$C$7)*$G$5+$C$3*($C$4*$E$5*E587*$E$7)*$G$5+$C$3*($C$5*$E$4*F587*$F$7)*$H$4+$C$3*($C$5*$E$5*H587*$H$7)*$H$4+$C$3*($C$5*$E$5*I587*$I$7)*$H$5+$C$3*($C$5*$E$4*G587*$G$7)*$H$5</f>
        <v>6641415.0305733262</v>
      </c>
      <c r="K587" s="277">
        <f>ROUND(($C$4*$E$4*B587*$B$7+$C$4*$E$4*C587*$C$7+$C$4*$E$5*D587*$D$7+$C$4*$E$5*E587*$E$7+($C$5*$E$4*F587*$F$7+$C$5*$E$4*G587*$G$7+$C$5*$E$5*H587*$H$7+$C$5*$E$5*I587*$I$7)),2)</f>
        <v>0.78</v>
      </c>
      <c r="L587" s="276">
        <f>Scenario[[#This Row],[Total Cost]]/(Scenario[[#This Row],[Total Coverage]]*100)</f>
        <v>85146.346545811874</v>
      </c>
      <c r="M587" s="295" cm="1">
        <f t="array" ref="M587">IF(AND(K587=MAX(K$10:K587), L587=MIN(IF(K$10:K587=K587, L$10:L587))), 1, 0)</f>
        <v>0</v>
      </c>
      <c r="N587" s="295">
        <f>IF(AND(Scenario[[#This Row],[Total Coverage]]&gt;=70%,Scenario[[#This Row],[Frontier]]=1),1,0)</f>
        <v>0</v>
      </c>
    </row>
    <row r="588" spans="1:14" x14ac:dyDescent="0.25">
      <c r="A588">
        <v>548</v>
      </c>
      <c r="B588">
        <v>0</v>
      </c>
      <c r="C588">
        <v>1</v>
      </c>
      <c r="D588">
        <v>0.75</v>
      </c>
      <c r="E588">
        <v>0.25</v>
      </c>
      <c r="F588">
        <v>0</v>
      </c>
      <c r="G588">
        <v>1</v>
      </c>
      <c r="H588">
        <v>0.5</v>
      </c>
      <c r="I588">
        <v>0.5</v>
      </c>
      <c r="J588" s="272">
        <f>$C$3*($C$4*$E$4*B587*$B$7)*$G$4+$C$3*($C$4*$E$5*D588*$D$7)*$G$4+$C$3*($C$4*$E$4*C588*$C$7)*$G$5+$C$3*($C$4*$E$5*E588*$E$7)*$G$5+$C$3*($C$5*$E$4*F588*$F$7)*$H$4+$C$3*($C$5*$E$5*H588*$H$7)*$H$4+$C$3*($C$5*$E$5*I588*$I$7)*$H$5+$C$3*($C$5*$E$4*G588*$G$7)*$H$5</f>
        <v>6938760.1739287302</v>
      </c>
      <c r="K588" s="277">
        <f>ROUND(($C$4*$E$4*B588*$B$7+$C$4*$E$4*C588*$C$7+$C$4*$E$5*D588*$D$7+$C$4*$E$5*E588*$E$7+($C$5*$E$4*F588*$F$7+$C$5*$E$4*G588*$G$7+$C$5*$E$5*H588*$H$7+$C$5*$E$5*I588*$I$7)),2)</f>
        <v>0.78</v>
      </c>
      <c r="L588" s="276">
        <f>Scenario[[#This Row],[Total Cost]]/(Scenario[[#This Row],[Total Coverage]]*100)</f>
        <v>88958.463768317059</v>
      </c>
      <c r="M588" s="295" cm="1">
        <f t="array" ref="M588">IF(AND(K588=MAX(K$10:K588), L588=MIN(IF(K$10:K588=K588, L$10:L588))), 1, 0)</f>
        <v>0</v>
      </c>
      <c r="N588" s="295">
        <f>IF(AND(Scenario[[#This Row],[Total Coverage]]&gt;=70%,Scenario[[#This Row],[Frontier]]=1),1,0)</f>
        <v>0</v>
      </c>
    </row>
    <row r="589" spans="1:14" x14ac:dyDescent="0.25">
      <c r="A589">
        <v>545</v>
      </c>
      <c r="B589">
        <v>0</v>
      </c>
      <c r="C589">
        <v>1</v>
      </c>
      <c r="D589">
        <v>0.75</v>
      </c>
      <c r="E589">
        <v>0.25</v>
      </c>
      <c r="F589">
        <v>0.25</v>
      </c>
      <c r="G589">
        <v>0.75</v>
      </c>
      <c r="H589">
        <v>0</v>
      </c>
      <c r="I589">
        <v>1</v>
      </c>
      <c r="J589" s="272">
        <f>$C$3*($C$4*$E$4*B588*$B$7)*$G$4+$C$3*($C$4*$E$5*D589*$D$7)*$G$4+$C$3*($C$4*$E$4*C589*$C$7)*$G$5+$C$3*($C$4*$E$5*E589*$E$7)*$G$5+$C$3*($C$5*$E$4*F589*$F$7)*$H$4+$C$3*($C$5*$E$5*H589*$H$7)*$H$4+$C$3*($C$5*$E$5*I589*$I$7)*$H$5+$C$3*($C$5*$E$4*G589*$G$7)*$H$5</f>
        <v>6757607.0728253992</v>
      </c>
      <c r="K589" s="277">
        <f>ROUND(($C$4*$E$4*B589*$B$7+$C$4*$E$4*C589*$C$7+$C$4*$E$5*D589*$D$7+$C$4*$E$5*E589*$E$7+($C$5*$E$4*F589*$F$7+$C$5*$E$4*G589*$G$7+$C$5*$E$5*H589*$H$7+$C$5*$E$5*I589*$I$7)),2)</f>
        <v>0.78</v>
      </c>
      <c r="L589" s="276">
        <f>Scenario[[#This Row],[Total Cost]]/(Scenario[[#This Row],[Total Coverage]]*100)</f>
        <v>86635.988113146144</v>
      </c>
      <c r="M589" s="295" cm="1">
        <f t="array" ref="M589">IF(AND(K589=MAX(K$10:K589), L589=MIN(IF(K$10:K589=K589, L$10:L589))), 1, 0)</f>
        <v>0</v>
      </c>
      <c r="N589" s="295">
        <f>IF(AND(Scenario[[#This Row],[Total Coverage]]&gt;=70%,Scenario[[#This Row],[Frontier]]=1),1,0)</f>
        <v>0</v>
      </c>
    </row>
    <row r="590" spans="1:14" x14ac:dyDescent="0.25">
      <c r="A590">
        <v>622</v>
      </c>
      <c r="B590">
        <v>0</v>
      </c>
      <c r="C590">
        <v>1</v>
      </c>
      <c r="D590">
        <v>0</v>
      </c>
      <c r="E590">
        <v>1</v>
      </c>
      <c r="F590">
        <v>0</v>
      </c>
      <c r="G590">
        <v>1</v>
      </c>
      <c r="H590">
        <v>0.75</v>
      </c>
      <c r="I590">
        <v>0.25</v>
      </c>
      <c r="J590" s="272">
        <f>$C$3*($C$4*$E$4*B589*$B$7)*$G$4+$C$3*($C$4*$E$5*D590*$D$7)*$G$4+$C$3*($C$4*$E$4*C590*$C$7)*$G$5+$C$3*($C$4*$E$5*E590*$E$7)*$G$5+$C$3*($C$5*$E$4*F590*$F$7)*$H$4+$C$3*($C$5*$E$5*H590*$H$7)*$H$4+$C$3*($C$5*$E$5*I590*$I$7)*$H$5+$C$3*($C$5*$E$4*G590*$G$7)*$H$5</f>
        <v>7005226.6238680463</v>
      </c>
      <c r="K590" s="277">
        <f>ROUND(($C$4*$E$4*B590*$B$7+$C$4*$E$4*C590*$C$7+$C$4*$E$5*D590*$D$7+$C$4*$E$5*E590*$E$7+($C$5*$E$4*F590*$F$7+$C$5*$E$4*G590*$G$7+$C$5*$E$5*H590*$H$7+$C$5*$E$5*I590*$I$7)),2)</f>
        <v>0.78</v>
      </c>
      <c r="L590" s="276">
        <f>Scenario[[#This Row],[Total Cost]]/(Scenario[[#This Row],[Total Coverage]]*100)</f>
        <v>89810.597741898033</v>
      </c>
      <c r="M590" s="295" cm="1">
        <f t="array" ref="M590">IF(AND(K590=MAX(K$10:K590), L590=MIN(IF(K$10:K590=K590, L$10:L590))), 1, 0)</f>
        <v>0</v>
      </c>
      <c r="N590" s="295">
        <f>IF(AND(Scenario[[#This Row],[Total Coverage]]&gt;=70%,Scenario[[#This Row],[Frontier]]=1),1,0)</f>
        <v>0</v>
      </c>
    </row>
    <row r="591" spans="1:14" x14ac:dyDescent="0.25">
      <c r="A591">
        <v>619</v>
      </c>
      <c r="B591">
        <v>0</v>
      </c>
      <c r="C591">
        <v>1</v>
      </c>
      <c r="D591">
        <v>0</v>
      </c>
      <c r="E591">
        <v>1</v>
      </c>
      <c r="F591">
        <v>0.25</v>
      </c>
      <c r="G591">
        <v>0.75</v>
      </c>
      <c r="H591">
        <v>0.25</v>
      </c>
      <c r="I591">
        <v>0.75</v>
      </c>
      <c r="J591" s="272">
        <f>$C$3*($C$4*$E$4*B590*$B$7)*$G$4+$C$3*($C$4*$E$5*D591*$D$7)*$G$4+$C$3*($C$4*$E$4*C591*$C$7)*$G$5+$C$3*($C$4*$E$5*E591*$E$7)*$G$5+$C$3*($C$5*$E$4*F591*$F$7)*$H$4+$C$3*($C$5*$E$5*H591*$H$7)*$H$4+$C$3*($C$5*$E$5*I591*$I$7)*$H$5+$C$3*($C$5*$E$4*G591*$G$7)*$H$5</f>
        <v>6930483.1516629644</v>
      </c>
      <c r="K591" s="277">
        <f>ROUND(($C$4*$E$4*B591*$B$7+$C$4*$E$4*C591*$C$7+$C$4*$E$5*D591*$D$7+$C$4*$E$5*E591*$E$7+($C$5*$E$4*F591*$F$7+$C$5*$E$4*G591*$G$7+$C$5*$E$5*H591*$H$7+$C$5*$E$5*I591*$I$7)),2)</f>
        <v>0.78</v>
      </c>
      <c r="L591" s="276">
        <f>Scenario[[#This Row],[Total Cost]]/(Scenario[[#This Row],[Total Coverage]]*100)</f>
        <v>88852.348098243136</v>
      </c>
      <c r="M591" s="295" cm="1">
        <f t="array" ref="M591">IF(AND(K591=MAX(K$10:K591), L591=MIN(IF(K$10:K591=K591, L$10:L591))), 1, 0)</f>
        <v>0</v>
      </c>
      <c r="N591" s="295">
        <f>IF(AND(Scenario[[#This Row],[Total Coverage]]&gt;=70%,Scenario[[#This Row],[Frontier]]=1),1,0)</f>
        <v>0</v>
      </c>
    </row>
    <row r="592" spans="1:14" x14ac:dyDescent="0.25">
      <c r="A592">
        <v>249</v>
      </c>
      <c r="B592">
        <v>0.75</v>
      </c>
      <c r="C592">
        <v>0.25</v>
      </c>
      <c r="D592">
        <v>0</v>
      </c>
      <c r="E592">
        <v>1</v>
      </c>
      <c r="F592">
        <v>0</v>
      </c>
      <c r="G592">
        <v>1</v>
      </c>
      <c r="H592">
        <v>0.25</v>
      </c>
      <c r="I592">
        <v>0.75</v>
      </c>
      <c r="J592" s="272">
        <f>$C$3*($C$4*$E$4*B591*$B$7)*$G$4+$C$3*($C$4*$E$5*D592*$D$7)*$G$4+$C$3*($C$4*$E$4*C592*$C$7)*$G$5+$C$3*($C$4*$E$5*E592*$E$7)*$G$5+$C$3*($C$5*$E$4*F592*$F$7)*$H$4+$C$3*($C$5*$E$5*H592*$H$7)*$H$4+$C$3*($C$5*$E$5*I592*$I$7)*$H$5+$C$3*($C$5*$E$4*G592*$G$7)*$H$5</f>
        <v>6286067.2726393975</v>
      </c>
      <c r="K592" s="277">
        <f>ROUND(($C$4*$E$4*B592*$B$7+$C$4*$E$4*C592*$C$7+$C$4*$E$5*D592*$D$7+$C$4*$E$5*E592*$E$7+($C$5*$E$4*F592*$F$7+$C$5*$E$4*G592*$G$7+$C$5*$E$5*H592*$H$7+$C$5*$E$5*I592*$I$7)),2)</f>
        <v>0.79</v>
      </c>
      <c r="L592" s="276">
        <f>Scenario[[#This Row],[Total Cost]]/(Scenario[[#This Row],[Total Coverage]]*100)</f>
        <v>79570.471805561989</v>
      </c>
      <c r="M592" s="295" cm="1">
        <f t="array" ref="M592">IF(AND(K592=MAX(K$10:K592), L592=MIN(IF(K$10:K592=K592, L$10:L592))), 1, 0)</f>
        <v>1</v>
      </c>
      <c r="N592" s="295">
        <f>IF(AND(Scenario[[#This Row],[Total Coverage]]&gt;=70%,Scenario[[#This Row],[Frontier]]=1),1,0)</f>
        <v>1</v>
      </c>
    </row>
    <row r="593" spans="1:14" x14ac:dyDescent="0.25">
      <c r="A593">
        <v>100</v>
      </c>
      <c r="B593">
        <v>1</v>
      </c>
      <c r="C593">
        <v>0</v>
      </c>
      <c r="D593">
        <v>0.25</v>
      </c>
      <c r="E593">
        <v>0.75</v>
      </c>
      <c r="F593">
        <v>0</v>
      </c>
      <c r="G593">
        <v>1</v>
      </c>
      <c r="H593">
        <v>0</v>
      </c>
      <c r="I593">
        <v>1</v>
      </c>
      <c r="J593" s="272">
        <f>$C$3*($C$4*$E$4*B592*$B$7)*$G$4+$C$3*($C$4*$E$5*D593*$D$7)*$G$4+$C$3*($C$4*$E$4*C593*$C$7)*$G$5+$C$3*($C$4*$E$5*E593*$E$7)*$G$5+$C$3*($C$5*$E$4*F593*$F$7)*$H$4+$C$3*($C$5*$E$5*H593*$H$7)*$H$4+$C$3*($C$5*$E$5*I593*$I$7)*$H$5+$C$3*($C$5*$E$4*G593*$G$7)*$H$5</f>
        <v>6307951.0159787424</v>
      </c>
      <c r="K593" s="277">
        <f>ROUND(($C$4*$E$4*B593*$B$7+$C$4*$E$4*C593*$C$7+$C$4*$E$5*D593*$D$7+$C$4*$E$5*E593*$E$7+($C$5*$E$4*F593*$F$7+$C$5*$E$4*G593*$G$7+$C$5*$E$5*H593*$H$7+$C$5*$E$5*I593*$I$7)),2)</f>
        <v>0.79</v>
      </c>
      <c r="L593" s="276">
        <f>Scenario[[#This Row],[Total Cost]]/(Scenario[[#This Row],[Total Coverage]]*100)</f>
        <v>79847.481214920786</v>
      </c>
      <c r="M593" s="295" cm="1">
        <f t="array" ref="M593">IF(AND(K593=MAX(K$10:K593), L593=MIN(IF(K$10:K593=K593, L$10:L593))), 1, 0)</f>
        <v>0</v>
      </c>
      <c r="N593" s="295">
        <f>IF(AND(Scenario[[#This Row],[Total Coverage]]&gt;=70%,Scenario[[#This Row],[Frontier]]=1),1,0)</f>
        <v>0</v>
      </c>
    </row>
    <row r="594" spans="1:14" x14ac:dyDescent="0.25">
      <c r="A594">
        <v>175</v>
      </c>
      <c r="B594">
        <v>0.75</v>
      </c>
      <c r="C594">
        <v>0.25</v>
      </c>
      <c r="D594">
        <v>0.75</v>
      </c>
      <c r="E594">
        <v>0.25</v>
      </c>
      <c r="F594">
        <v>0</v>
      </c>
      <c r="G594">
        <v>1</v>
      </c>
      <c r="H594">
        <v>0</v>
      </c>
      <c r="I594">
        <v>1</v>
      </c>
      <c r="J594" s="272">
        <f>$C$3*($C$4*$E$4*B593*$B$7)*$G$4+$C$3*($C$4*$E$5*D594*$D$7)*$G$4+$C$3*($C$4*$E$4*C594*$C$7)*$G$5+$C$3*($C$4*$E$5*E594*$E$7)*$G$5+$C$3*($C$5*$E$4*F594*$F$7)*$H$4+$C$3*($C$5*$E$5*H594*$H$7)*$H$4+$C$3*($C$5*$E$5*I594*$I$7)*$H$5+$C$3*($C$5*$E$4*G594*$G$7)*$H$5</f>
        <v>6538829.7093948312</v>
      </c>
      <c r="K594" s="277">
        <f>ROUND(($C$4*$E$4*B594*$B$7+$C$4*$E$4*C594*$C$7+$C$4*$E$5*D594*$D$7+$C$4*$E$5*E594*$E$7+($C$5*$E$4*F594*$F$7+$C$5*$E$4*G594*$G$7+$C$5*$E$5*H594*$H$7+$C$5*$E$5*I594*$I$7)),2)</f>
        <v>0.79</v>
      </c>
      <c r="L594" s="276">
        <f>Scenario[[#This Row],[Total Cost]]/(Scenario[[#This Row],[Total Coverage]]*100)</f>
        <v>82769.996321453553</v>
      </c>
      <c r="M594" s="295" cm="1">
        <f t="array" ref="M594">IF(AND(K594=MAX(K$10:K594), L594=MIN(IF(K$10:K594=K594, L$10:L594))), 1, 0)</f>
        <v>0</v>
      </c>
      <c r="N594" s="295">
        <f>IF(AND(Scenario[[#This Row],[Total Coverage]]&gt;=70%,Scenario[[#This Row],[Frontier]]=1),1,0)</f>
        <v>0</v>
      </c>
    </row>
    <row r="595" spans="1:14" x14ac:dyDescent="0.25">
      <c r="A595">
        <v>324</v>
      </c>
      <c r="B595">
        <v>0.5</v>
      </c>
      <c r="C595">
        <v>0.5</v>
      </c>
      <c r="D595">
        <v>0.5</v>
      </c>
      <c r="E595">
        <v>0.5</v>
      </c>
      <c r="F595">
        <v>0</v>
      </c>
      <c r="G595">
        <v>1</v>
      </c>
      <c r="H595">
        <v>0.25</v>
      </c>
      <c r="I595">
        <v>0.75</v>
      </c>
      <c r="J595" s="272">
        <f>$C$3*($C$4*$E$4*B594*$B$7)*$G$4+$C$3*($C$4*$E$5*D595*$D$7)*$G$4+$C$3*($C$4*$E$4*C595*$C$7)*$G$5+$C$3*($C$4*$E$5*E595*$E$7)*$G$5+$C$3*($C$5*$E$4*F595*$F$7)*$H$4+$C$3*($C$5*$E$5*H595*$H$7)*$H$4+$C$3*($C$5*$E$5*I595*$I$7)*$H$5+$C$3*($C$5*$E$4*G595*$G$7)*$H$5</f>
        <v>6729765.2238519862</v>
      </c>
      <c r="K595" s="277">
        <f>ROUND(($C$4*$E$4*B595*$B$7+$C$4*$E$4*C595*$C$7+$C$4*$E$5*D595*$D$7+$C$4*$E$5*E595*$E$7+($C$5*$E$4*F595*$F$7+$C$5*$E$4*G595*$G$7+$C$5*$E$5*H595*$H$7+$C$5*$E$5*I595*$I$7)),2)</f>
        <v>0.79</v>
      </c>
      <c r="L595" s="276">
        <f>Scenario[[#This Row],[Total Cost]]/(Scenario[[#This Row],[Total Coverage]]*100)</f>
        <v>85186.901567746667</v>
      </c>
      <c r="M595" s="295" cm="1">
        <f t="array" ref="M595">IF(AND(K595=MAX(K$10:K595), L595=MIN(IF(K$10:K595=K595, L$10:L595))), 1, 0)</f>
        <v>0</v>
      </c>
      <c r="N595" s="295">
        <f>IF(AND(Scenario[[#This Row],[Total Coverage]]&gt;=70%,Scenario[[#This Row],[Frontier]]=1),1,0)</f>
        <v>0</v>
      </c>
    </row>
    <row r="596" spans="1:14" x14ac:dyDescent="0.25">
      <c r="A596">
        <v>473</v>
      </c>
      <c r="B596">
        <v>0.25</v>
      </c>
      <c r="C596">
        <v>0.75</v>
      </c>
      <c r="D596">
        <v>0.25</v>
      </c>
      <c r="E596">
        <v>0.75</v>
      </c>
      <c r="F596">
        <v>0</v>
      </c>
      <c r="G596">
        <v>1</v>
      </c>
      <c r="H596">
        <v>0.5</v>
      </c>
      <c r="I596">
        <v>0.5</v>
      </c>
      <c r="J596" s="272">
        <f>$C$3*($C$4*$E$4*B595*$B$7)*$G$4+$C$3*($C$4*$E$5*D596*$D$7)*$G$4+$C$3*($C$4*$E$4*C596*$C$7)*$G$5+$C$3*($C$4*$E$5*E596*$E$7)*$G$5+$C$3*($C$5*$E$4*F596*$F$7)*$H$4+$C$3*($C$5*$E$5*H596*$H$7)*$H$4+$C$3*($C$5*$E$5*I596*$I$7)*$H$5+$C$3*($C$5*$E$4*G596*$G$7)*$H$5</f>
        <v>6920700.7383091412</v>
      </c>
      <c r="K596" s="277">
        <f>ROUND(($C$4*$E$4*B596*$B$7+$C$4*$E$4*C596*$C$7+$C$4*$E$5*D596*$D$7+$C$4*$E$5*E596*$E$7+($C$5*$E$4*F596*$F$7+$C$5*$E$4*G596*$G$7+$C$5*$E$5*H596*$H$7+$C$5*$E$5*I596*$I$7)),2)</f>
        <v>0.79</v>
      </c>
      <c r="L596" s="276">
        <f>Scenario[[#This Row],[Total Cost]]/(Scenario[[#This Row],[Total Coverage]]*100)</f>
        <v>87603.806814039766</v>
      </c>
      <c r="M596" s="295" cm="1">
        <f t="array" ref="M596">IF(AND(K596=MAX(K$10:K596), L596=MIN(IF(K$10:K596=K596, L$10:L596))), 1, 0)</f>
        <v>0</v>
      </c>
      <c r="N596" s="295">
        <f>IF(AND(Scenario[[#This Row],[Total Coverage]]&gt;=70%,Scenario[[#This Row],[Frontier]]=1),1,0)</f>
        <v>0</v>
      </c>
    </row>
    <row r="597" spans="1:14" x14ac:dyDescent="0.25">
      <c r="A597">
        <v>570</v>
      </c>
      <c r="B597">
        <v>0</v>
      </c>
      <c r="C597">
        <v>1</v>
      </c>
      <c r="D597">
        <v>0.5</v>
      </c>
      <c r="E597">
        <v>0.5</v>
      </c>
      <c r="F597">
        <v>0.25</v>
      </c>
      <c r="G597">
        <v>0.75</v>
      </c>
      <c r="H597">
        <v>0</v>
      </c>
      <c r="I597">
        <v>1</v>
      </c>
      <c r="J597" s="272">
        <f>$C$3*($C$4*$E$4*B596*$B$7)*$G$4+$C$3*($C$4*$E$5*D597*$D$7)*$G$4+$C$3*($C$4*$E$4*C597*$C$7)*$G$5+$C$3*($C$4*$E$5*E597*$E$7)*$G$5+$C$3*($C$5*$E$4*F597*$F$7)*$H$4+$C$3*($C$5*$E$5*H597*$H$7)*$H$4+$C$3*($C$5*$E$5*I597*$I$7)*$H$5+$C$3*($C$5*$E$4*G597*$G$7)*$H$5</f>
        <v>7048293.0214145575</v>
      </c>
      <c r="K597" s="277">
        <f>ROUND(($C$4*$E$4*B597*$B$7+$C$4*$E$4*C597*$C$7+$C$4*$E$5*D597*$D$7+$C$4*$E$5*E597*$E$7+($C$5*$E$4*F597*$F$7+$C$5*$E$4*G597*$G$7+$C$5*$E$5*H597*$H$7+$C$5*$E$5*I597*$I$7)),2)</f>
        <v>0.79</v>
      </c>
      <c r="L597" s="276">
        <f>Scenario[[#This Row],[Total Cost]]/(Scenario[[#This Row],[Total Coverage]]*100)</f>
        <v>89218.899005247556</v>
      </c>
      <c r="M597" s="295" cm="1">
        <f t="array" ref="M597">IF(AND(K597=MAX(K$10:K597), L597=MIN(IF(K$10:K597=K597, L$10:L597))), 1, 0)</f>
        <v>0</v>
      </c>
      <c r="N597" s="295">
        <f>IF(AND(Scenario[[#This Row],[Total Coverage]]&gt;=70%,Scenario[[#This Row],[Frontier]]=1),1,0)</f>
        <v>0</v>
      </c>
    </row>
    <row r="598" spans="1:14" x14ac:dyDescent="0.25">
      <c r="A598">
        <v>573</v>
      </c>
      <c r="B598">
        <v>0</v>
      </c>
      <c r="C598">
        <v>1</v>
      </c>
      <c r="D598">
        <v>0.5</v>
      </c>
      <c r="E598">
        <v>0.5</v>
      </c>
      <c r="F598">
        <v>0</v>
      </c>
      <c r="G598">
        <v>1</v>
      </c>
      <c r="H598">
        <v>0.5</v>
      </c>
      <c r="I598">
        <v>0.5</v>
      </c>
      <c r="J598" s="272">
        <f>$C$3*($C$4*$E$4*B597*$B$7)*$G$4+$C$3*($C$4*$E$5*D598*$D$7)*$G$4+$C$3*($C$4*$E$4*C598*$C$7)*$G$5+$C$3*($C$4*$E$5*E598*$E$7)*$G$5+$C$3*($C$5*$E$4*F598*$F$7)*$H$4+$C$3*($C$5*$E$5*H598*$H$7)*$H$4+$C$3*($C$5*$E$5*I598*$I$7)*$H$5+$C$3*($C$5*$E$4*G598*$G$7)*$H$5</f>
        <v>7016626.8647213895</v>
      </c>
      <c r="K598" s="277">
        <f>ROUND(($C$4*$E$4*B598*$B$7+$C$4*$E$4*C598*$C$7+$C$4*$E$5*D598*$D$7+$C$4*$E$5*E598*$E$7+($C$5*$E$4*F598*$F$7+$C$5*$E$4*G598*$G$7+$C$5*$E$5*H598*$H$7+$C$5*$E$5*I598*$I$7)),2)</f>
        <v>0.79</v>
      </c>
      <c r="L598" s="276">
        <f>Scenario[[#This Row],[Total Cost]]/(Scenario[[#This Row],[Total Coverage]]*100)</f>
        <v>88818.06157875176</v>
      </c>
      <c r="M598" s="295" cm="1">
        <f t="array" ref="M598">IF(AND(K598=MAX(K$10:K598), L598=MIN(IF(K$10:K598=K598, L$10:L598))), 1, 0)</f>
        <v>0</v>
      </c>
      <c r="N598" s="295">
        <f>IF(AND(Scenario[[#This Row],[Total Coverage]]&gt;=70%,Scenario[[#This Row],[Frontier]]=1),1,0)</f>
        <v>0</v>
      </c>
    </row>
    <row r="599" spans="1:14" x14ac:dyDescent="0.25">
      <c r="A599">
        <v>200</v>
      </c>
      <c r="B599">
        <v>0.75</v>
      </c>
      <c r="C599">
        <v>0.25</v>
      </c>
      <c r="D599">
        <v>0.5</v>
      </c>
      <c r="E599">
        <v>0.5</v>
      </c>
      <c r="F599">
        <v>0</v>
      </c>
      <c r="G599">
        <v>1</v>
      </c>
      <c r="H599">
        <v>0</v>
      </c>
      <c r="I599">
        <v>1</v>
      </c>
      <c r="J599" s="272">
        <f>$C$3*($C$4*$E$4*B598*$B$7)*$G$4+$C$3*($C$4*$E$5*D599*$D$7)*$G$4+$C$3*($C$4*$E$4*C599*$C$7)*$G$5+$C$3*($C$4*$E$5*E599*$E$7)*$G$5+$C$3*($C$5*$E$4*F599*$F$7)*$H$4+$C$3*($C$5*$E$5*H599*$H$7)*$H$4+$C$3*($C$5*$E$5*I599*$I$7)*$H$5+$C$3*($C$5*$E$4*G599*$G$7)*$H$5</f>
        <v>6297467.5134927407</v>
      </c>
      <c r="K599" s="277">
        <f>ROUND(($C$4*$E$4*B599*$B$7+$C$4*$E$4*C599*$C$7+$C$4*$E$5*D599*$D$7+$C$4*$E$5*E599*$E$7+($C$5*$E$4*F599*$F$7+$C$5*$E$4*G599*$G$7+$C$5*$E$5*H599*$H$7+$C$5*$E$5*I599*$I$7)),2)</f>
        <v>0.8</v>
      </c>
      <c r="L599" s="276">
        <f>Scenario[[#This Row],[Total Cost]]/(Scenario[[#This Row],[Total Coverage]]*100)</f>
        <v>78718.343918659259</v>
      </c>
      <c r="M599" s="295" cm="1">
        <f t="array" ref="M599">IF(AND(K599=MAX(K$10:K599), L599=MIN(IF(K$10:K599=K599, L$10:L599))), 1, 0)</f>
        <v>1</v>
      </c>
      <c r="N599" s="295">
        <f>IF(AND(Scenario[[#This Row],[Total Coverage]]&gt;=70%,Scenario[[#This Row],[Frontier]]=1),1,0)</f>
        <v>1</v>
      </c>
    </row>
    <row r="600" spans="1:14" x14ac:dyDescent="0.25">
      <c r="A600">
        <v>275</v>
      </c>
      <c r="B600">
        <v>0.5</v>
      </c>
      <c r="C600">
        <v>0.5</v>
      </c>
      <c r="D600">
        <v>1</v>
      </c>
      <c r="E600">
        <v>0</v>
      </c>
      <c r="F600">
        <v>0</v>
      </c>
      <c r="G600">
        <v>1</v>
      </c>
      <c r="H600">
        <v>0</v>
      </c>
      <c r="I600">
        <v>1</v>
      </c>
      <c r="J600" s="272">
        <f>$C$3*($C$4*$E$4*B599*$B$7)*$G$4+$C$3*($C$4*$E$5*D600*$D$7)*$G$4+$C$3*($C$4*$E$4*C600*$C$7)*$G$5+$C$3*($C$4*$E$5*E600*$E$7)*$G$5+$C$3*($C$5*$E$4*F600*$F$7)*$H$4+$C$3*($C$5*$E$5*H600*$H$7)*$H$4+$C$3*($C$5*$E$5*I600*$I$7)*$H$5+$C$3*($C$5*$E$4*G600*$G$7)*$H$5</f>
        <v>6741165.4647053294</v>
      </c>
      <c r="K600" s="277">
        <f>ROUND(($C$4*$E$4*B600*$B$7+$C$4*$E$4*C600*$C$7+$C$4*$E$5*D600*$D$7+$C$4*$E$5*E600*$E$7+($C$5*$E$4*F600*$F$7+$C$5*$E$4*G600*$G$7+$C$5*$E$5*H600*$H$7+$C$5*$E$5*I600*$I$7)),2)</f>
        <v>0.8</v>
      </c>
      <c r="L600" s="276">
        <f>Scenario[[#This Row],[Total Cost]]/(Scenario[[#This Row],[Total Coverage]]*100)</f>
        <v>84264.568308816612</v>
      </c>
      <c r="M600" s="295" cm="1">
        <f t="array" ref="M600">IF(AND(K600=MAX(K$10:K600), L600=MIN(IF(K$10:K600=K600, L$10:L600))), 1, 0)</f>
        <v>0</v>
      </c>
      <c r="N600" s="295">
        <f>IF(AND(Scenario[[#This Row],[Total Coverage]]&gt;=70%,Scenario[[#This Row],[Frontier]]=1),1,0)</f>
        <v>0</v>
      </c>
    </row>
    <row r="601" spans="1:14" x14ac:dyDescent="0.25">
      <c r="A601">
        <v>349</v>
      </c>
      <c r="B601">
        <v>0.5</v>
      </c>
      <c r="C601">
        <v>0.5</v>
      </c>
      <c r="D601">
        <v>0.25</v>
      </c>
      <c r="E601">
        <v>0.75</v>
      </c>
      <c r="F601">
        <v>0</v>
      </c>
      <c r="G601">
        <v>1</v>
      </c>
      <c r="H601">
        <v>0.25</v>
      </c>
      <c r="I601">
        <v>0.75</v>
      </c>
      <c r="J601" s="272">
        <f>$C$3*($C$4*$E$4*B600*$B$7)*$G$4+$C$3*($C$4*$E$5*D601*$D$7)*$G$4+$C$3*($C$4*$E$4*C601*$C$7)*$G$5+$C$3*($C$4*$E$5*E601*$E$7)*$G$5+$C$3*($C$5*$E$4*F601*$F$7)*$H$4+$C$3*($C$5*$E$5*H601*$H$7)*$H$4+$C$3*($C$5*$E$5*I601*$I$7)*$H$5+$C$3*($C$5*$E$4*G601*$G$7)*$H$5</f>
        <v>6807631.9146446437</v>
      </c>
      <c r="K601" s="277">
        <f>ROUND(($C$4*$E$4*B601*$B$7+$C$4*$E$4*C601*$C$7+$C$4*$E$5*D601*$D$7+$C$4*$E$5*E601*$E$7+($C$5*$E$4*F601*$F$7+$C$5*$E$4*G601*$G$7+$C$5*$E$5*H601*$H$7+$C$5*$E$5*I601*$I$7)),2)</f>
        <v>0.8</v>
      </c>
      <c r="L601" s="276">
        <f>Scenario[[#This Row],[Total Cost]]/(Scenario[[#This Row],[Total Coverage]]*100)</f>
        <v>85095.398933058052</v>
      </c>
      <c r="M601" s="295" cm="1">
        <f t="array" ref="M601">IF(AND(K601=MAX(K$10:K601), L601=MIN(IF(K$10:K601=K601, L$10:L601))), 1, 0)</f>
        <v>0</v>
      </c>
      <c r="N601" s="295">
        <f>IF(AND(Scenario[[#This Row],[Total Coverage]]&gt;=70%,Scenario[[#This Row],[Frontier]]=1),1,0)</f>
        <v>0</v>
      </c>
    </row>
    <row r="602" spans="1:14" x14ac:dyDescent="0.25">
      <c r="A602">
        <v>495</v>
      </c>
      <c r="B602">
        <v>0.25</v>
      </c>
      <c r="C602">
        <v>0.75</v>
      </c>
      <c r="D602">
        <v>0</v>
      </c>
      <c r="E602">
        <v>1</v>
      </c>
      <c r="F602">
        <v>0.25</v>
      </c>
      <c r="G602">
        <v>0.75</v>
      </c>
      <c r="H602">
        <v>0</v>
      </c>
      <c r="I602">
        <v>1</v>
      </c>
      <c r="J602" s="272">
        <f>$C$3*($C$4*$E$4*B601*$B$7)*$G$4+$C$3*($C$4*$E$5*D602*$D$7)*$G$4+$C$3*($C$4*$E$4*C602*$C$7)*$G$5+$C$3*($C$4*$E$5*E602*$E$7)*$G$5+$C$3*($C$5*$E$4*F602*$F$7)*$H$4+$C$3*($C$5*$E$5*H602*$H$7)*$H$4+$C$3*($C$5*$E$5*I602*$I$7)*$H$5+$C$3*($C$5*$E$4*G602*$G$7)*$H$5</f>
        <v>7030233.5857949676</v>
      </c>
      <c r="K602" s="277">
        <f>ROUND(($C$4*$E$4*B602*$B$7+$C$4*$E$4*C602*$C$7+$C$4*$E$5*D602*$D$7+$C$4*$E$5*E602*$E$7+($C$5*$E$4*F602*$F$7+$C$5*$E$4*G602*$G$7+$C$5*$E$5*H602*$H$7+$C$5*$E$5*I602*$I$7)),2)</f>
        <v>0.8</v>
      </c>
      <c r="L602" s="276">
        <f>Scenario[[#This Row],[Total Cost]]/(Scenario[[#This Row],[Total Coverage]]*100)</f>
        <v>87877.919822437092</v>
      </c>
      <c r="M602" s="295" cm="1">
        <f t="array" ref="M602">IF(AND(K602=MAX(K$10:K602), L602=MIN(IF(K$10:K602=K602, L$10:L602))), 1, 0)</f>
        <v>0</v>
      </c>
      <c r="N602" s="295">
        <f>IF(AND(Scenario[[#This Row],[Total Coverage]]&gt;=70%,Scenario[[#This Row],[Frontier]]=1),1,0)</f>
        <v>0</v>
      </c>
    </row>
    <row r="603" spans="1:14" x14ac:dyDescent="0.25">
      <c r="A603">
        <v>424</v>
      </c>
      <c r="B603">
        <v>0.25</v>
      </c>
      <c r="C603">
        <v>0.75</v>
      </c>
      <c r="D603">
        <v>0.75</v>
      </c>
      <c r="E603">
        <v>0.25</v>
      </c>
      <c r="F603">
        <v>0</v>
      </c>
      <c r="G603">
        <v>1</v>
      </c>
      <c r="H603">
        <v>0.25</v>
      </c>
      <c r="I603">
        <v>0.75</v>
      </c>
      <c r="J603" s="272">
        <f>$C$3*($C$4*$E$4*B602*$B$7)*$G$4+$C$3*($C$4*$E$5*D603*$D$7)*$G$4+$C$3*($C$4*$E$4*C603*$C$7)*$G$5+$C$3*($C$4*$E$5*E603*$E$7)*$G$5+$C$3*($C$5*$E$4*F603*$F$7)*$H$4+$C$3*($C$5*$E$5*H603*$H$7)*$H$4+$C$3*($C$5*$E$5*I603*$I$7)*$H$5+$C$3*($C$5*$E$4*G603*$G$7)*$H$5</f>
        <v>6825691.3502642345</v>
      </c>
      <c r="K603" s="277">
        <f>ROUND(($C$4*$E$4*B603*$B$7+$C$4*$E$4*C603*$C$7+$C$4*$E$5*D603*$D$7+$C$4*$E$5*E603*$E$7+($C$5*$E$4*F603*$F$7+$C$5*$E$4*G603*$G$7+$C$5*$E$5*H603*$H$7+$C$5*$E$5*I603*$I$7)),2)</f>
        <v>0.8</v>
      </c>
      <c r="L603" s="276">
        <f>Scenario[[#This Row],[Total Cost]]/(Scenario[[#This Row],[Total Coverage]]*100)</f>
        <v>85321.141878302937</v>
      </c>
      <c r="M603" s="295" cm="1">
        <f t="array" ref="M603">IF(AND(K603=MAX(K$10:K603), L603=MIN(IF(K$10:K603=K603, L$10:L603))), 1, 0)</f>
        <v>0</v>
      </c>
      <c r="N603" s="295">
        <f>IF(AND(Scenario[[#This Row],[Total Coverage]]&gt;=70%,Scenario[[#This Row],[Frontier]]=1),1,0)</f>
        <v>0</v>
      </c>
    </row>
    <row r="604" spans="1:14" x14ac:dyDescent="0.25">
      <c r="A604">
        <v>524</v>
      </c>
      <c r="B604">
        <v>0</v>
      </c>
      <c r="C604">
        <v>1</v>
      </c>
      <c r="D604">
        <v>1</v>
      </c>
      <c r="E604">
        <v>0</v>
      </c>
      <c r="F604">
        <v>0</v>
      </c>
      <c r="G604">
        <v>1</v>
      </c>
      <c r="H604">
        <v>0.25</v>
      </c>
      <c r="I604">
        <v>0.75</v>
      </c>
      <c r="J604" s="272">
        <f>$C$3*($C$4*$E$4*B603*$B$7)*$G$4+$C$3*($C$4*$E$5*D604*$D$7)*$G$4+$C$3*($C$4*$E$4*C604*$C$7)*$G$5+$C$3*($C$4*$E$5*E604*$E$7)*$G$5+$C$3*($C$5*$E$4*F604*$F$7)*$H$4+$C$3*($C$5*$E$5*H604*$H$7)*$H$4+$C$3*($C$5*$E$5*I604*$I$7)*$H$5+$C$3*($C$5*$E$4*G604*$G$7)*$H$5</f>
        <v>7134436.7344729826</v>
      </c>
      <c r="K604" s="277">
        <f>ROUND(($C$4*$E$4*B604*$B$7+$C$4*$E$4*C604*$C$7+$C$4*$E$5*D604*$D$7+$C$4*$E$5*E604*$E$7+($C$5*$E$4*F604*$F$7+$C$5*$E$4*G604*$G$7+$C$5*$E$5*H604*$H$7+$C$5*$E$5*I604*$I$7)),2)</f>
        <v>0.8</v>
      </c>
      <c r="L604" s="276">
        <f>Scenario[[#This Row],[Total Cost]]/(Scenario[[#This Row],[Total Coverage]]*100)</f>
        <v>89180.459180912279</v>
      </c>
      <c r="M604" s="295" cm="1">
        <f t="array" ref="M604">IF(AND(K604=MAX(K$10:K604), L604=MIN(IF(K$10:K604=K604, L$10:L604))), 1, 0)</f>
        <v>0</v>
      </c>
      <c r="N604" s="295">
        <f>IF(AND(Scenario[[#This Row],[Total Coverage]]&gt;=70%,Scenario[[#This Row],[Frontier]]=1),1,0)</f>
        <v>0</v>
      </c>
    </row>
    <row r="605" spans="1:14" x14ac:dyDescent="0.25">
      <c r="A605">
        <v>498</v>
      </c>
      <c r="B605">
        <v>0.25</v>
      </c>
      <c r="C605">
        <v>0.75</v>
      </c>
      <c r="D605">
        <v>0</v>
      </c>
      <c r="E605">
        <v>1</v>
      </c>
      <c r="F605">
        <v>0</v>
      </c>
      <c r="G605">
        <v>1</v>
      </c>
      <c r="H605">
        <v>0.5</v>
      </c>
      <c r="I605">
        <v>0.5</v>
      </c>
      <c r="J605" s="272">
        <f>$C$3*($C$4*$E$4*B604*$B$7)*$G$4+$C$3*($C$4*$E$5*D605*$D$7)*$G$4+$C$3*($C$4*$E$4*C605*$C$7)*$G$5+$C$3*($C$4*$E$5*E605*$E$7)*$G$5+$C$3*($C$5*$E$4*F605*$F$7)*$H$4+$C$3*($C$5*$E$5*H605*$H$7)*$H$4+$C$3*($C$5*$E$5*I605*$I$7)*$H$5+$C$3*($C$5*$E$4*G605*$G$7)*$H$5</f>
        <v>6892157.8002035506</v>
      </c>
      <c r="K605" s="277">
        <f>ROUND(($C$4*$E$4*B605*$B$7+$C$4*$E$4*C605*$C$7+$C$4*$E$5*D605*$D$7+$C$4*$E$5*E605*$E$7+($C$5*$E$4*F605*$F$7+$C$5*$E$4*G605*$G$7+$C$5*$E$5*H605*$H$7+$C$5*$E$5*I605*$I$7)),2)</f>
        <v>0.8</v>
      </c>
      <c r="L605" s="276">
        <f>Scenario[[#This Row],[Total Cost]]/(Scenario[[#This Row],[Total Coverage]]*100)</f>
        <v>86151.972502544377</v>
      </c>
      <c r="M605" s="295" cm="1">
        <f t="array" ref="M605">IF(AND(K605=MAX(K$10:K605), L605=MIN(IF(K$10:K605=K605, L$10:L605))), 1, 0)</f>
        <v>0</v>
      </c>
      <c r="N605" s="295">
        <f>IF(AND(Scenario[[#This Row],[Total Coverage]]&gt;=70%,Scenario[[#This Row],[Frontier]]=1),1,0)</f>
        <v>0</v>
      </c>
    </row>
    <row r="606" spans="1:14" x14ac:dyDescent="0.25">
      <c r="A606">
        <v>595</v>
      </c>
      <c r="B606">
        <v>0</v>
      </c>
      <c r="C606">
        <v>1</v>
      </c>
      <c r="D606">
        <v>0.25</v>
      </c>
      <c r="E606">
        <v>0.75</v>
      </c>
      <c r="F606">
        <v>0.25</v>
      </c>
      <c r="G606">
        <v>0.75</v>
      </c>
      <c r="H606">
        <v>0</v>
      </c>
      <c r="I606">
        <v>1</v>
      </c>
      <c r="J606" s="272">
        <f>$C$3*($C$4*$E$4*B605*$B$7)*$G$4+$C$3*($C$4*$E$5*D606*$D$7)*$G$4+$C$3*($C$4*$E$4*C606*$C$7)*$G$5+$C$3*($C$4*$E$5*E606*$E$7)*$G$5+$C$3*($C$5*$E$4*F606*$F$7)*$H$4+$C$3*($C$5*$E$5*H606*$H$7)*$H$4+$C$3*($C$5*$E$5*I606*$I$7)*$H$5+$C$3*($C$5*$E$4*G606*$G$7)*$H$5</f>
        <v>7232569.3411054658</v>
      </c>
      <c r="K606" s="277">
        <f>ROUND(($C$4*$E$4*B606*$B$7+$C$4*$E$4*C606*$C$7+$C$4*$E$5*D606*$D$7+$C$4*$E$5*E606*$E$7+($C$5*$E$4*F606*$F$7+$C$5*$E$4*G606*$G$7+$C$5*$E$5*H606*$H$7+$C$5*$E$5*I606*$I$7)),2)</f>
        <v>0.8</v>
      </c>
      <c r="L606" s="276">
        <f>Scenario[[#This Row],[Total Cost]]/(Scenario[[#This Row],[Total Coverage]]*100)</f>
        <v>90407.116763818325</v>
      </c>
      <c r="M606" s="295" cm="1">
        <f t="array" ref="M606">IF(AND(K606=MAX(K$10:K606), L606=MIN(IF(K$10:K606=K606, L$10:L606))), 1, 0)</f>
        <v>0</v>
      </c>
      <c r="N606" s="295">
        <f>IF(AND(Scenario[[#This Row],[Total Coverage]]&gt;=70%,Scenario[[#This Row],[Frontier]]=1),1,0)</f>
        <v>0</v>
      </c>
    </row>
    <row r="607" spans="1:14" x14ac:dyDescent="0.25">
      <c r="A607">
        <v>125</v>
      </c>
      <c r="B607">
        <v>1</v>
      </c>
      <c r="C607">
        <v>0</v>
      </c>
      <c r="D607">
        <v>0</v>
      </c>
      <c r="E607">
        <v>1</v>
      </c>
      <c r="F607">
        <v>0</v>
      </c>
      <c r="G607">
        <v>1</v>
      </c>
      <c r="H607">
        <v>0</v>
      </c>
      <c r="I607">
        <v>1</v>
      </c>
      <c r="J607" s="272">
        <f>$C$3*($C$4*$E$4*B606*$B$7)*$G$4+$C$3*($C$4*$E$5*D607*$D$7)*$G$4+$C$3*($C$4*$E$4*C607*$C$7)*$G$5+$C$3*($C$4*$E$5*E607*$E$7)*$G$5+$C$3*($C$5*$E$4*F607*$F$7)*$H$4+$C$3*($C$5*$E$5*H607*$H$7)*$H$4+$C$3*($C$5*$E$5*I607*$I$7)*$H$5+$C$3*($C$5*$E$4*G607*$G$7)*$H$5</f>
        <v>6172998.4489749018</v>
      </c>
      <c r="K607" s="277">
        <f>ROUND(($C$4*$E$4*B607*$B$7+$C$4*$E$4*C607*$C$7+$C$4*$E$5*D607*$D$7+$C$4*$E$5*E607*$E$7+($C$5*$E$4*F607*$F$7+$C$5*$E$4*G607*$G$7+$C$5*$E$5*H607*$H$7+$C$5*$E$5*I607*$I$7)),2)</f>
        <v>0.81</v>
      </c>
      <c r="L607" s="276">
        <f>Scenario[[#This Row],[Total Cost]]/(Scenario[[#This Row],[Total Coverage]]*100)</f>
        <v>76209.857394751874</v>
      </c>
      <c r="M607" s="295" cm="1">
        <f t="array" ref="M607">IF(AND(K607=MAX(K$10:K607), L607=MIN(IF(K$10:K607=K607, L$10:L607))), 1, 0)</f>
        <v>1</v>
      </c>
      <c r="N607" s="295">
        <f>IF(AND(Scenario[[#This Row],[Total Coverage]]&gt;=70%,Scenario[[#This Row],[Frontier]]=1),1,0)</f>
        <v>1</v>
      </c>
    </row>
    <row r="608" spans="1:14" x14ac:dyDescent="0.25">
      <c r="A608">
        <v>300</v>
      </c>
      <c r="B608">
        <v>0.5</v>
      </c>
      <c r="C608">
        <v>0.5</v>
      </c>
      <c r="D608">
        <v>0.75</v>
      </c>
      <c r="E608">
        <v>0.25</v>
      </c>
      <c r="F608">
        <v>0</v>
      </c>
      <c r="G608">
        <v>1</v>
      </c>
      <c r="H608">
        <v>0</v>
      </c>
      <c r="I608">
        <v>1</v>
      </c>
      <c r="J608" s="272">
        <f>$C$3*($C$4*$E$4*B607*$B$7)*$G$4+$C$3*($C$4*$E$5*D608*$D$7)*$G$4+$C$3*($C$4*$E$4*C608*$C$7)*$G$5+$C$3*($C$4*$E$5*E608*$E$7)*$G$5+$C$3*($C$5*$E$4*F608*$F$7)*$H$4+$C$3*($C$5*$E$5*H608*$H$7)*$H$4+$C$3*($C$5*$E$5*I608*$I$7)*$H$5+$C$3*($C$5*$E$4*G608*$G$7)*$H$5</f>
        <v>7031851.4132944867</v>
      </c>
      <c r="K608" s="277">
        <f>ROUND(($C$4*$E$4*B608*$B$7+$C$4*$E$4*C608*$C$7+$C$4*$E$5*D608*$D$7+$C$4*$E$5*E608*$E$7+($C$5*$E$4*F608*$F$7+$C$5*$E$4*G608*$G$7+$C$5*$E$5*H608*$H$7+$C$5*$E$5*I608*$I$7)),2)</f>
        <v>0.81</v>
      </c>
      <c r="L608" s="276">
        <f>Scenario[[#This Row],[Total Cost]]/(Scenario[[#This Row],[Total Coverage]]*100)</f>
        <v>86812.980411043041</v>
      </c>
      <c r="M608" s="295" cm="1">
        <f t="array" ref="M608">IF(AND(K608=MAX(K$10:K608), L608=MIN(IF(K$10:K608=K608, L$10:L608))), 1, 0)</f>
        <v>0</v>
      </c>
      <c r="N608" s="295">
        <f>IF(AND(Scenario[[#This Row],[Total Coverage]]&gt;=70%,Scenario[[#This Row],[Frontier]]=1),1,0)</f>
        <v>0</v>
      </c>
    </row>
    <row r="609" spans="1:14" x14ac:dyDescent="0.25">
      <c r="A609">
        <v>449</v>
      </c>
      <c r="B609">
        <v>0.25</v>
      </c>
      <c r="C609">
        <v>0.75</v>
      </c>
      <c r="D609">
        <v>0.5</v>
      </c>
      <c r="E609">
        <v>0.5</v>
      </c>
      <c r="F609">
        <v>0</v>
      </c>
      <c r="G609">
        <v>1</v>
      </c>
      <c r="H609">
        <v>0.25</v>
      </c>
      <c r="I609">
        <v>0.75</v>
      </c>
      <c r="J609" s="272">
        <f>$C$3*($C$4*$E$4*B608*$B$7)*$G$4+$C$3*($C$4*$E$5*D609*$D$7)*$G$4+$C$3*($C$4*$E$4*C609*$C$7)*$G$5+$C$3*($C$4*$E$5*E609*$E$7)*$G$5+$C$3*($C$5*$E$4*F609*$F$7)*$H$4+$C$3*($C$5*$E$5*H609*$H$7)*$H$4+$C$3*($C$5*$E$5*I609*$I$7)*$H$5+$C$3*($C$5*$E$4*G609*$G$7)*$H$5</f>
        <v>7116377.2988533918</v>
      </c>
      <c r="K609" s="277">
        <f>ROUND(($C$4*$E$4*B609*$B$7+$C$4*$E$4*C609*$C$7+$C$4*$E$5*D609*$D$7+$C$4*$E$5*E609*$E$7+($C$5*$E$4*F609*$F$7+$C$5*$E$4*G609*$G$7+$C$5*$E$5*H609*$H$7+$C$5*$E$5*I609*$I$7)),2)</f>
        <v>0.81</v>
      </c>
      <c r="L609" s="276">
        <f>Scenario[[#This Row],[Total Cost]]/(Scenario[[#This Row],[Total Coverage]]*100)</f>
        <v>87856.509862387553</v>
      </c>
      <c r="M609" s="295" cm="1">
        <f t="array" ref="M609">IF(AND(K609=MAX(K$10:K609), L609=MIN(IF(K$10:K609=K609, L$10:L609))), 1, 0)</f>
        <v>0</v>
      </c>
      <c r="N609" s="295">
        <f>IF(AND(Scenario[[#This Row],[Total Coverage]]&gt;=70%,Scenario[[#This Row],[Frontier]]=1),1,0)</f>
        <v>0</v>
      </c>
    </row>
    <row r="610" spans="1:14" x14ac:dyDescent="0.25">
      <c r="A610">
        <v>374</v>
      </c>
      <c r="B610">
        <v>0.5</v>
      </c>
      <c r="C610">
        <v>0.5</v>
      </c>
      <c r="D610">
        <v>0</v>
      </c>
      <c r="E610">
        <v>1</v>
      </c>
      <c r="F610">
        <v>0</v>
      </c>
      <c r="G610">
        <v>1</v>
      </c>
      <c r="H610">
        <v>0.25</v>
      </c>
      <c r="I610">
        <v>0.75</v>
      </c>
      <c r="J610" s="272">
        <f>$C$3*($C$4*$E$4*B609*$B$7)*$G$4+$C$3*($C$4*$E$5*D610*$D$7)*$G$4+$C$3*($C$4*$E$4*C610*$C$7)*$G$5+$C$3*($C$4*$E$5*E610*$E$7)*$G$5+$C$3*($C$5*$E$4*F610*$F$7)*$H$4+$C$3*($C$5*$E$5*H610*$H$7)*$H$4+$C$3*($C$5*$E$5*I610*$I$7)*$H$5+$C$3*($C$5*$E$4*G610*$G$7)*$H$5</f>
        <v>6885498.605437303</v>
      </c>
      <c r="K610" s="277">
        <f>ROUND(($C$4*$E$4*B610*$B$7+$C$4*$E$4*C610*$C$7+$C$4*$E$5*D610*$D$7+$C$4*$E$5*E610*$E$7+($C$5*$E$4*F610*$F$7+$C$5*$E$4*G610*$G$7+$C$5*$E$5*H610*$H$7+$C$5*$E$5*I610*$I$7)),2)</f>
        <v>0.81</v>
      </c>
      <c r="L610" s="276">
        <f>Scenario[[#This Row],[Total Cost]]/(Scenario[[#This Row],[Total Coverage]]*100)</f>
        <v>85006.155622682752</v>
      </c>
      <c r="M610" s="295" cm="1">
        <f t="array" ref="M610">IF(AND(K610=MAX(K$10:K610), L610=MIN(IF(K$10:K610=K610, L$10:L610))), 1, 0)</f>
        <v>0</v>
      </c>
      <c r="N610" s="295">
        <f>IF(AND(Scenario[[#This Row],[Total Coverage]]&gt;=70%,Scenario[[#This Row],[Frontier]]=1),1,0)</f>
        <v>0</v>
      </c>
    </row>
    <row r="611" spans="1:14" x14ac:dyDescent="0.25">
      <c r="A611">
        <v>598</v>
      </c>
      <c r="B611">
        <v>0</v>
      </c>
      <c r="C611">
        <v>1</v>
      </c>
      <c r="D611">
        <v>0.25</v>
      </c>
      <c r="E611">
        <v>0.75</v>
      </c>
      <c r="F611">
        <v>0</v>
      </c>
      <c r="G611">
        <v>1</v>
      </c>
      <c r="H611">
        <v>0.5</v>
      </c>
      <c r="I611">
        <v>0.5</v>
      </c>
      <c r="J611" s="272">
        <f>$C$3*($C$4*$E$4*B610*$B$7)*$G$4+$C$3*($C$4*$E$5*D611*$D$7)*$G$4+$C$3*($C$4*$E$4*C611*$C$7)*$G$5+$C$3*($C$4*$E$5*E611*$E$7)*$G$5+$C$3*($C$5*$E$4*F611*$F$7)*$H$4+$C$3*($C$5*$E$5*H611*$H$7)*$H$4+$C$3*($C$5*$E$5*I611*$I$7)*$H$5+$C$3*($C$5*$E$4*G611*$G$7)*$H$5</f>
        <v>7413722.4422087967</v>
      </c>
      <c r="K611" s="277">
        <f>ROUND(($C$4*$E$4*B611*$B$7+$C$4*$E$4*C611*$C$7+$C$4*$E$5*D611*$D$7+$C$4*$E$5*E611*$E$7+($C$5*$E$4*F611*$F$7+$C$5*$E$4*G611*$G$7+$C$5*$E$5*H611*$H$7+$C$5*$E$5*I611*$I$7)),2)</f>
        <v>0.81</v>
      </c>
      <c r="L611" s="276">
        <f>Scenario[[#This Row],[Total Cost]]/(Scenario[[#This Row],[Total Coverage]]*100)</f>
        <v>91527.437558133286</v>
      </c>
      <c r="M611" s="295" cm="1">
        <f t="array" ref="M611">IF(AND(K611=MAX(K$10:K611), L611=MIN(IF(K$10:K611=K611, L$10:L611))), 1, 0)</f>
        <v>0</v>
      </c>
      <c r="N611" s="295">
        <f>IF(AND(Scenario[[#This Row],[Total Coverage]]&gt;=70%,Scenario[[#This Row],[Frontier]]=1),1,0)</f>
        <v>0</v>
      </c>
    </row>
    <row r="612" spans="1:14" x14ac:dyDescent="0.25">
      <c r="A612">
        <v>225</v>
      </c>
      <c r="B612">
        <v>0.75</v>
      </c>
      <c r="C612">
        <v>0.25</v>
      </c>
      <c r="D612">
        <v>0.25</v>
      </c>
      <c r="E612">
        <v>0.75</v>
      </c>
      <c r="F612">
        <v>0</v>
      </c>
      <c r="G612">
        <v>1</v>
      </c>
      <c r="H612">
        <v>0</v>
      </c>
      <c r="I612">
        <v>1</v>
      </c>
      <c r="J612" s="272">
        <f>$C$3*($C$4*$E$4*B611*$B$7)*$G$4+$C$3*($C$4*$E$5*D612*$D$7)*$G$4+$C$3*($C$4*$E$4*C612*$C$7)*$G$5+$C$3*($C$4*$E$5*E612*$E$7)*$G$5+$C$3*($C$5*$E$4*F612*$F$7)*$H$4+$C$3*($C$5*$E$5*H612*$H$7)*$H$4+$C$3*($C$5*$E$5*I612*$I$7)*$H$5+$C$3*($C$5*$E$4*G612*$G$7)*$H$5</f>
        <v>6481743.8331836499</v>
      </c>
      <c r="K612" s="277">
        <f>ROUND(($C$4*$E$4*B612*$B$7+$C$4*$E$4*C612*$C$7+$C$4*$E$5*D612*$D$7+$C$4*$E$5*E612*$E$7+($C$5*$E$4*F612*$F$7+$C$5*$E$4*G612*$G$7+$C$5*$E$5*H612*$H$7+$C$5*$E$5*I612*$I$7)),2)</f>
        <v>0.82</v>
      </c>
      <c r="L612" s="276">
        <f>Scenario[[#This Row],[Total Cost]]/(Scenario[[#This Row],[Total Coverage]]*100)</f>
        <v>79045.656502239639</v>
      </c>
      <c r="M612" s="295" cm="1">
        <f t="array" ref="M612">IF(AND(K612=MAX(K$10:K612), L612=MIN(IF(K$10:K612=K612, L$10:L612))), 1, 0)</f>
        <v>1</v>
      </c>
      <c r="N612" s="295">
        <f>IF(AND(Scenario[[#This Row],[Total Coverage]]&gt;=70%,Scenario[[#This Row],[Frontier]]=1),1,0)</f>
        <v>1</v>
      </c>
    </row>
    <row r="613" spans="1:14" x14ac:dyDescent="0.25">
      <c r="A613">
        <v>325</v>
      </c>
      <c r="B613">
        <v>0.5</v>
      </c>
      <c r="C613">
        <v>0.5</v>
      </c>
      <c r="D613">
        <v>0.5</v>
      </c>
      <c r="E613">
        <v>0.5</v>
      </c>
      <c r="F613">
        <v>0</v>
      </c>
      <c r="G613">
        <v>1</v>
      </c>
      <c r="H613">
        <v>0</v>
      </c>
      <c r="I613">
        <v>1</v>
      </c>
      <c r="J613" s="272">
        <f>$C$3*($C$4*$E$4*B612*$B$7)*$G$4+$C$3*($C$4*$E$5*D613*$D$7)*$G$4+$C$3*($C$4*$E$4*C613*$C$7)*$G$5+$C$3*($C$4*$E$5*E613*$E$7)*$G$5+$C$3*($C$5*$E$4*F613*$F$7)*$H$4+$C$3*($C$5*$E$5*H613*$H$7)*$H$4+$C$3*($C$5*$E$5*I613*$I$7)*$H$5+$C$3*($C$5*$E$4*G613*$G$7)*$H$5</f>
        <v>7109718.104087146</v>
      </c>
      <c r="K613" s="277">
        <f>ROUND(($C$4*$E$4*B613*$B$7+$C$4*$E$4*C613*$C$7+$C$4*$E$5*D613*$D$7+$C$4*$E$5*E613*$E$7+($C$5*$E$4*F613*$F$7+$C$5*$E$4*G613*$G$7+$C$5*$E$5*H613*$H$7+$C$5*$E$5*I613*$I$7)),2)</f>
        <v>0.82</v>
      </c>
      <c r="L613" s="276">
        <f>Scenario[[#This Row],[Total Cost]]/(Scenario[[#This Row],[Total Coverage]]*100)</f>
        <v>86703.879318135921</v>
      </c>
      <c r="M613" s="295" cm="1">
        <f t="array" ref="M613">IF(AND(K613=MAX(K$10:K613), L613=MIN(IF(K$10:K613=K613, L$10:L613))), 1, 0)</f>
        <v>0</v>
      </c>
      <c r="N613" s="295">
        <f>IF(AND(Scenario[[#This Row],[Total Coverage]]&gt;=70%,Scenario[[#This Row],[Frontier]]=1),1,0)</f>
        <v>0</v>
      </c>
    </row>
    <row r="614" spans="1:14" x14ac:dyDescent="0.25">
      <c r="A614">
        <v>400</v>
      </c>
      <c r="B614">
        <v>0.25</v>
      </c>
      <c r="C614">
        <v>0.75</v>
      </c>
      <c r="D614">
        <v>1</v>
      </c>
      <c r="E614">
        <v>0</v>
      </c>
      <c r="F614">
        <v>0</v>
      </c>
      <c r="G614">
        <v>1</v>
      </c>
      <c r="H614">
        <v>0</v>
      </c>
      <c r="I614">
        <v>1</v>
      </c>
      <c r="J614" s="272">
        <f>$C$3*($C$4*$E$4*B613*$B$7)*$G$4+$C$3*($C$4*$E$5*D614*$D$7)*$G$4+$C$3*($C$4*$E$4*C614*$C$7)*$G$5+$C$3*($C$4*$E$5*E614*$E$7)*$G$5+$C$3*($C$5*$E$4*F614*$F$7)*$H$4+$C$3*($C$5*$E$5*H614*$H$7)*$H$4+$C$3*($C$5*$E$5*I614*$I$7)*$H$5+$C$3*($C$5*$E$4*G614*$G$7)*$H$5</f>
        <v>7127777.5397067349</v>
      </c>
      <c r="K614" s="277">
        <f>ROUND(($C$4*$E$4*B614*$B$7+$C$4*$E$4*C614*$C$7+$C$4*$E$5*D614*$D$7+$C$4*$E$5*E614*$E$7+($C$5*$E$4*F614*$F$7+$C$5*$E$4*G614*$G$7+$C$5*$E$5*H614*$H$7+$C$5*$E$5*I614*$I$7)),2)</f>
        <v>0.82</v>
      </c>
      <c r="L614" s="276">
        <f>Scenario[[#This Row],[Total Cost]]/(Scenario[[#This Row],[Total Coverage]]*100)</f>
        <v>86924.116337887011</v>
      </c>
      <c r="M614" s="295" cm="1">
        <f t="array" ref="M614">IF(AND(K614=MAX(K$10:K614), L614=MIN(IF(K$10:K614=K614, L$10:L614))), 1, 0)</f>
        <v>0</v>
      </c>
      <c r="N614" s="295">
        <f>IF(AND(Scenario[[#This Row],[Total Coverage]]&gt;=70%,Scenario[[#This Row],[Frontier]]=1),1,0)</f>
        <v>0</v>
      </c>
    </row>
    <row r="615" spans="1:14" x14ac:dyDescent="0.25">
      <c r="A615">
        <v>474</v>
      </c>
      <c r="B615">
        <v>0.25</v>
      </c>
      <c r="C615">
        <v>0.75</v>
      </c>
      <c r="D615">
        <v>0.25</v>
      </c>
      <c r="E615">
        <v>0.75</v>
      </c>
      <c r="F615">
        <v>0</v>
      </c>
      <c r="G615">
        <v>1</v>
      </c>
      <c r="H615">
        <v>0.25</v>
      </c>
      <c r="I615">
        <v>0.75</v>
      </c>
      <c r="J615" s="272">
        <f>$C$3*($C$4*$E$4*B614*$B$7)*$G$4+$C$3*($C$4*$E$5*D615*$D$7)*$G$4+$C$3*($C$4*$E$4*C615*$C$7)*$G$5+$C$3*($C$4*$E$5*E615*$E$7)*$G$5+$C$3*($C$5*$E$4*F615*$F$7)*$H$4+$C$3*($C$5*$E$5*H615*$H$7)*$H$4+$C$3*($C$5*$E$5*I615*$I$7)*$H$5+$C$3*($C$5*$E$4*G615*$G$7)*$H$5</f>
        <v>7194243.9896460511</v>
      </c>
      <c r="K615" s="277">
        <f>ROUND(($C$4*$E$4*B615*$B$7+$C$4*$E$4*C615*$C$7+$C$4*$E$5*D615*$D$7+$C$4*$E$5*E615*$E$7+($C$5*$E$4*F615*$F$7+$C$5*$E$4*G615*$G$7+$C$5*$E$5*H615*$H$7+$C$5*$E$5*I615*$I$7)),2)</f>
        <v>0.82</v>
      </c>
      <c r="L615" s="276">
        <f>Scenario[[#This Row],[Total Cost]]/(Scenario[[#This Row],[Total Coverage]]*100)</f>
        <v>87734.682800561597</v>
      </c>
      <c r="M615" s="295" cm="1">
        <f t="array" ref="M615">IF(AND(K615=MAX(K$10:K615), L615=MIN(IF(K$10:K615=K615, L$10:L615))), 1, 0)</f>
        <v>0</v>
      </c>
      <c r="N615" s="295">
        <f>IF(AND(Scenario[[#This Row],[Total Coverage]]&gt;=70%,Scenario[[#This Row],[Frontier]]=1),1,0)</f>
        <v>0</v>
      </c>
    </row>
    <row r="616" spans="1:14" x14ac:dyDescent="0.25">
      <c r="A616">
        <v>549</v>
      </c>
      <c r="B616">
        <v>0</v>
      </c>
      <c r="C616">
        <v>1</v>
      </c>
      <c r="D616">
        <v>0.75</v>
      </c>
      <c r="E616">
        <v>0.25</v>
      </c>
      <c r="F616">
        <v>0</v>
      </c>
      <c r="G616">
        <v>1</v>
      </c>
      <c r="H616">
        <v>0.25</v>
      </c>
      <c r="I616">
        <v>0.75</v>
      </c>
      <c r="J616" s="272">
        <f>$C$3*($C$4*$E$4*B615*$B$7)*$G$4+$C$3*($C$4*$E$5*D616*$D$7)*$G$4+$C$3*($C$4*$E$4*C616*$C$7)*$G$5+$C$3*($C$4*$E$5*E616*$E$7)*$G$5+$C$3*($C$5*$E$4*F616*$F$7)*$H$4+$C$3*($C$5*$E$5*H616*$H$7)*$H$4+$C$3*($C$5*$E$5*I616*$I$7)*$H$5+$C$3*($C$5*$E$4*G616*$G$7)*$H$5</f>
        <v>7318713.05416389</v>
      </c>
      <c r="K616" s="277">
        <f>ROUND(($C$4*$E$4*B616*$B$7+$C$4*$E$4*C616*$C$7+$C$4*$E$5*D616*$D$7+$C$4*$E$5*E616*$E$7+($C$5*$E$4*F616*$F$7+$C$5*$E$4*G616*$G$7+$C$5*$E$5*H616*$H$7+$C$5*$E$5*I616*$I$7)),2)</f>
        <v>0.82</v>
      </c>
      <c r="L616" s="276">
        <f>Scenario[[#This Row],[Total Cost]]/(Scenario[[#This Row],[Total Coverage]]*100)</f>
        <v>89252.598221510852</v>
      </c>
      <c r="M616" s="295" cm="1">
        <f t="array" ref="M616">IF(AND(K616=MAX(K$10:K616), L616=MIN(IF(K$10:K616=K616, L$10:L616))), 1, 0)</f>
        <v>0</v>
      </c>
      <c r="N616" s="295">
        <f>IF(AND(Scenario[[#This Row],[Total Coverage]]&gt;=70%,Scenario[[#This Row],[Frontier]]=1),1,0)</f>
        <v>0</v>
      </c>
    </row>
    <row r="617" spans="1:14" x14ac:dyDescent="0.25">
      <c r="A617">
        <v>623</v>
      </c>
      <c r="B617">
        <v>0</v>
      </c>
      <c r="C617">
        <v>1</v>
      </c>
      <c r="D617">
        <v>0</v>
      </c>
      <c r="E617">
        <v>1</v>
      </c>
      <c r="F617">
        <v>0</v>
      </c>
      <c r="G617">
        <v>1</v>
      </c>
      <c r="H617">
        <v>0.5</v>
      </c>
      <c r="I617">
        <v>0.5</v>
      </c>
      <c r="J617" s="272">
        <f>$C$3*($C$4*$E$4*B616*$B$7)*$G$4+$C$3*($C$4*$E$5*D617*$D$7)*$G$4+$C$3*($C$4*$E$4*C617*$C$7)*$G$5+$C$3*($C$4*$E$5*E617*$E$7)*$G$5+$C$3*($C$5*$E$4*F617*$F$7)*$H$4+$C$3*($C$5*$E$5*H617*$H$7)*$H$4+$C$3*($C$5*$E$5*I617*$I$7)*$H$5+$C$3*($C$5*$E$4*G617*$G$7)*$H$5</f>
        <v>7385179.5041032061</v>
      </c>
      <c r="K617" s="277">
        <f>ROUND(($C$4*$E$4*B617*$B$7+$C$4*$E$4*C617*$C$7+$C$4*$E$5*D617*$D$7+$C$4*$E$5*E617*$E$7+($C$5*$E$4*F617*$F$7+$C$5*$E$4*G617*$G$7+$C$5*$E$5*H617*$H$7+$C$5*$E$5*I617*$I$7)),2)</f>
        <v>0.82</v>
      </c>
      <c r="L617" s="276">
        <f>Scenario[[#This Row],[Total Cost]]/(Scenario[[#This Row],[Total Coverage]]*100)</f>
        <v>90063.164684185438</v>
      </c>
      <c r="M617" s="295" cm="1">
        <f t="array" ref="M617">IF(AND(K617=MAX(K$10:K617), L617=MIN(IF(K$10:K617=K617, L$10:L617))), 1, 0)</f>
        <v>0</v>
      </c>
      <c r="N617" s="295">
        <f>IF(AND(Scenario[[#This Row],[Total Coverage]]&gt;=70%,Scenario[[#This Row],[Frontier]]=1),1,0)</f>
        <v>0</v>
      </c>
    </row>
    <row r="618" spans="1:14" x14ac:dyDescent="0.25">
      <c r="A618">
        <v>620</v>
      </c>
      <c r="B618">
        <v>0</v>
      </c>
      <c r="C618">
        <v>1</v>
      </c>
      <c r="D618">
        <v>0</v>
      </c>
      <c r="E618">
        <v>1</v>
      </c>
      <c r="F618">
        <v>0.25</v>
      </c>
      <c r="G618">
        <v>0.75</v>
      </c>
      <c r="H618">
        <v>0</v>
      </c>
      <c r="I618">
        <v>1</v>
      </c>
      <c r="J618" s="272">
        <f>$C$3*($C$4*$E$4*B617*$B$7)*$G$4+$C$3*($C$4*$E$5*D618*$D$7)*$G$4+$C$3*($C$4*$E$4*C618*$C$7)*$G$5+$C$3*($C$4*$E$5*E618*$E$7)*$G$5+$C$3*($C$5*$E$4*F618*$F$7)*$H$4+$C$3*($C$5*$E$5*H618*$H$7)*$H$4+$C$3*($C$5*$E$5*I618*$I$7)*$H$5+$C$3*($C$5*$E$4*G618*$G$7)*$H$5</f>
        <v>7310436.0318981241</v>
      </c>
      <c r="K618" s="277">
        <f>ROUND(($C$4*$E$4*B618*$B$7+$C$4*$E$4*C618*$C$7+$C$4*$E$5*D618*$D$7+$C$4*$E$5*E618*$E$7+($C$5*$E$4*F618*$F$7+$C$5*$E$4*G618*$G$7+$C$5*$E$5*H618*$H$7+$C$5*$E$5*I618*$I$7)),2)</f>
        <v>0.82</v>
      </c>
      <c r="L618" s="276">
        <f>Scenario[[#This Row],[Total Cost]]/(Scenario[[#This Row],[Total Coverage]]*100)</f>
        <v>89151.658925586875</v>
      </c>
      <c r="M618" s="295" cm="1">
        <f t="array" ref="M618">IF(AND(K618=MAX(K$10:K618), L618=MIN(IF(K$10:K618=K618, L$10:L618))), 1, 0)</f>
        <v>0</v>
      </c>
      <c r="N618" s="295">
        <f>IF(AND(Scenario[[#This Row],[Total Coverage]]&gt;=70%,Scenario[[#This Row],[Frontier]]=1),1,0)</f>
        <v>0</v>
      </c>
    </row>
    <row r="619" spans="1:14" x14ac:dyDescent="0.25">
      <c r="A619">
        <v>250</v>
      </c>
      <c r="B619">
        <v>0.75</v>
      </c>
      <c r="C619">
        <v>0.25</v>
      </c>
      <c r="D619">
        <v>0</v>
      </c>
      <c r="E619">
        <v>1</v>
      </c>
      <c r="F619">
        <v>0</v>
      </c>
      <c r="G619">
        <v>1</v>
      </c>
      <c r="H619">
        <v>0</v>
      </c>
      <c r="I619">
        <v>1</v>
      </c>
      <c r="J619" s="272">
        <f>$C$3*($C$4*$E$4*B618*$B$7)*$G$4+$C$3*($C$4*$E$5*D619*$D$7)*$G$4+$C$3*($C$4*$E$4*C619*$C$7)*$G$5+$C$3*($C$4*$E$5*E619*$E$7)*$G$5+$C$3*($C$5*$E$4*F619*$F$7)*$H$4+$C$3*($C$5*$E$5*H619*$H$7)*$H$4+$C$3*($C$5*$E$5*I619*$I$7)*$H$5+$C$3*($C$5*$E$4*G619*$G$7)*$H$5</f>
        <v>6666020.1528745573</v>
      </c>
      <c r="K619" s="277">
        <f>ROUND(($C$4*$E$4*B619*$B$7+$C$4*$E$4*C619*$C$7+$C$4*$E$5*D619*$D$7+$C$4*$E$5*E619*$E$7+($C$5*$E$4*F619*$F$7+$C$5*$E$4*G619*$G$7+$C$5*$E$5*H619*$H$7+$C$5*$E$5*I619*$I$7)),2)</f>
        <v>0.83</v>
      </c>
      <c r="L619" s="276">
        <f>Scenario[[#This Row],[Total Cost]]/(Scenario[[#This Row],[Total Coverage]]*100)</f>
        <v>80313.495817765754</v>
      </c>
      <c r="M619" s="295" cm="1">
        <f t="array" ref="M619">IF(AND(K619=MAX(K$10:K619), L619=MIN(IF(K$10:K619=K619, L$10:L619))), 1, 0)</f>
        <v>1</v>
      </c>
      <c r="N619" s="295">
        <f>IF(AND(Scenario[[#This Row],[Total Coverage]]&gt;=70%,Scenario[[#This Row],[Frontier]]=1),1,0)</f>
        <v>1</v>
      </c>
    </row>
    <row r="620" spans="1:14" x14ac:dyDescent="0.25">
      <c r="A620">
        <v>425</v>
      </c>
      <c r="B620">
        <v>0.25</v>
      </c>
      <c r="C620">
        <v>0.75</v>
      </c>
      <c r="D620">
        <v>0.75</v>
      </c>
      <c r="E620">
        <v>0.25</v>
      </c>
      <c r="F620">
        <v>0</v>
      </c>
      <c r="G620">
        <v>1</v>
      </c>
      <c r="H620">
        <v>0</v>
      </c>
      <c r="I620">
        <v>1</v>
      </c>
      <c r="J620" s="272">
        <f>$C$3*($C$4*$E$4*B619*$B$7)*$G$4+$C$3*($C$4*$E$5*D620*$D$7)*$G$4+$C$3*($C$4*$E$4*C620*$C$7)*$G$5+$C$3*($C$4*$E$5*E620*$E$7)*$G$5+$C$3*($C$5*$E$4*F620*$F$7)*$H$4+$C$3*($C$5*$E$5*H620*$H$7)*$H$4+$C$3*($C$5*$E$5*I620*$I$7)*$H$5+$C$3*($C$5*$E$4*G620*$G$7)*$H$5</f>
        <v>7418463.4882958941</v>
      </c>
      <c r="K620" s="277">
        <f>ROUND(($C$4*$E$4*B620*$B$7+$C$4*$E$4*C620*$C$7+$C$4*$E$5*D620*$D$7+$C$4*$E$5*E620*$E$7+($C$5*$E$4*F620*$F$7+$C$5*$E$4*G620*$G$7+$C$5*$E$5*H620*$H$7+$C$5*$E$5*I620*$I$7)),2)</f>
        <v>0.83</v>
      </c>
      <c r="L620" s="276">
        <f>Scenario[[#This Row],[Total Cost]]/(Scenario[[#This Row],[Total Coverage]]*100)</f>
        <v>89379.078172239693</v>
      </c>
      <c r="M620" s="295" cm="1">
        <f t="array" ref="M620">IF(AND(K620=MAX(K$10:K620), L620=MIN(IF(K$10:K620=K620, L$10:L620))), 1, 0)</f>
        <v>0</v>
      </c>
      <c r="N620" s="295">
        <f>IF(AND(Scenario[[#This Row],[Total Coverage]]&gt;=70%,Scenario[[#This Row],[Frontier]]=1),1,0)</f>
        <v>0</v>
      </c>
    </row>
    <row r="621" spans="1:14" x14ac:dyDescent="0.25">
      <c r="A621">
        <v>574</v>
      </c>
      <c r="B621">
        <v>0</v>
      </c>
      <c r="C621">
        <v>1</v>
      </c>
      <c r="D621">
        <v>0.5</v>
      </c>
      <c r="E621">
        <v>0.5</v>
      </c>
      <c r="F621">
        <v>0</v>
      </c>
      <c r="G621">
        <v>1</v>
      </c>
      <c r="H621">
        <v>0.25</v>
      </c>
      <c r="I621">
        <v>0.75</v>
      </c>
      <c r="J621" s="272">
        <f>$C$3*($C$4*$E$4*B620*$B$7)*$G$4+$C$3*($C$4*$E$5*D621*$D$7)*$G$4+$C$3*($C$4*$E$4*C621*$C$7)*$G$5+$C$3*($C$4*$E$5*E621*$E$7)*$G$5+$C$3*($C$5*$E$4*F621*$F$7)*$H$4+$C$3*($C$5*$E$5*H621*$H$7)*$H$4+$C$3*($C$5*$E$5*I621*$I$7)*$H$5+$C$3*($C$5*$E$4*G621*$G$7)*$H$5</f>
        <v>7502989.3738547992</v>
      </c>
      <c r="K621" s="277">
        <f>ROUND(($C$4*$E$4*B621*$B$7+$C$4*$E$4*C621*$C$7+$C$4*$E$5*D621*$D$7+$C$4*$E$5*E621*$E$7+($C$5*$E$4*F621*$F$7+$C$5*$E$4*G621*$G$7+$C$5*$E$5*H621*$H$7+$C$5*$E$5*I621*$I$7)),2)</f>
        <v>0.83</v>
      </c>
      <c r="L621" s="276">
        <f>Scenario[[#This Row],[Total Cost]]/(Scenario[[#This Row],[Total Coverage]]*100)</f>
        <v>90397.462335599994</v>
      </c>
      <c r="M621" s="295" cm="1">
        <f t="array" ref="M621">IF(AND(K621=MAX(K$10:K621), L621=MIN(IF(K$10:K621=K621, L$10:L621))), 1, 0)</f>
        <v>0</v>
      </c>
      <c r="N621" s="295">
        <f>IF(AND(Scenario[[#This Row],[Total Coverage]]&gt;=70%,Scenario[[#This Row],[Frontier]]=1),1,0)</f>
        <v>0</v>
      </c>
    </row>
    <row r="622" spans="1:14" x14ac:dyDescent="0.25">
      <c r="A622">
        <v>350</v>
      </c>
      <c r="B622">
        <v>0.5</v>
      </c>
      <c r="C622">
        <v>0.5</v>
      </c>
      <c r="D622">
        <v>0.25</v>
      </c>
      <c r="E622">
        <v>0.75</v>
      </c>
      <c r="F622">
        <v>0</v>
      </c>
      <c r="G622">
        <v>1</v>
      </c>
      <c r="H622">
        <v>0</v>
      </c>
      <c r="I622">
        <v>1</v>
      </c>
      <c r="J622" s="272">
        <f>$C$3*($C$4*$E$4*B621*$B$7)*$G$4+$C$3*($C$4*$E$5*D622*$D$7)*$G$4+$C$3*($C$4*$E$4*C622*$C$7)*$G$5+$C$3*($C$4*$E$5*E622*$E$7)*$G$5+$C$3*($C$5*$E$4*F622*$F$7)*$H$4+$C$3*($C$5*$E$5*H622*$H$7)*$H$4+$C$3*($C$5*$E$5*I622*$I$7)*$H$5+$C$3*($C$5*$E$4*G622*$G$7)*$H$5</f>
        <v>6974765.5370833054</v>
      </c>
      <c r="K622" s="277">
        <f>ROUND(($C$4*$E$4*B622*$B$7+$C$4*$E$4*C622*$C$7+$C$4*$E$5*D622*$D$7+$C$4*$E$5*E622*$E$7+($C$5*$E$4*F622*$F$7+$C$5*$E$4*G622*$G$7+$C$5*$E$5*H622*$H$7+$C$5*$E$5*I622*$I$7)),2)</f>
        <v>0.84</v>
      </c>
      <c r="L622" s="276">
        <f>Scenario[[#This Row],[Total Cost]]/(Scenario[[#This Row],[Total Coverage]]*100)</f>
        <v>83032.923060515546</v>
      </c>
      <c r="M622" s="295" cm="1">
        <f t="array" ref="M622">IF(AND(K622=MAX(K$10:K622), L622=MIN(IF(K$10:K622=K622, L$10:L622))), 1, 0)</f>
        <v>1</v>
      </c>
      <c r="N622" s="295">
        <f>IF(AND(Scenario[[#This Row],[Total Coverage]]&gt;=70%,Scenario[[#This Row],[Frontier]]=1),1,0)</f>
        <v>1</v>
      </c>
    </row>
    <row r="623" spans="1:14" x14ac:dyDescent="0.25">
      <c r="A623">
        <v>499</v>
      </c>
      <c r="B623">
        <v>0.25</v>
      </c>
      <c r="C623">
        <v>0.75</v>
      </c>
      <c r="D623">
        <v>0</v>
      </c>
      <c r="E623">
        <v>1</v>
      </c>
      <c r="F623">
        <v>0</v>
      </c>
      <c r="G623">
        <v>1</v>
      </c>
      <c r="H623">
        <v>0.25</v>
      </c>
      <c r="I623">
        <v>0.75</v>
      </c>
      <c r="J623" s="272">
        <f>$C$3*($C$4*$E$4*B622*$B$7)*$G$4+$C$3*($C$4*$E$5*D623*$D$7)*$G$4+$C$3*($C$4*$E$4*C623*$C$7)*$G$5+$C$3*($C$4*$E$5*E623*$E$7)*$G$5+$C$3*($C$5*$E$4*F623*$F$7)*$H$4+$C$3*($C$5*$E$5*H623*$H$7)*$H$4+$C$3*($C$5*$E$5*I623*$I$7)*$H$5+$C$3*($C$5*$E$4*G623*$G$7)*$H$5</f>
        <v>7484929.9382352084</v>
      </c>
      <c r="K623" s="277">
        <f>ROUND(($C$4*$E$4*B623*$B$7+$C$4*$E$4*C623*$C$7+$C$4*$E$5*D623*$D$7+$C$4*$E$5*E623*$E$7+($C$5*$E$4*F623*$F$7+$C$5*$E$4*G623*$G$7+$C$5*$E$5*H623*$H$7+$C$5*$E$5*I623*$I$7)),2)</f>
        <v>0.84</v>
      </c>
      <c r="L623" s="276">
        <f>Scenario[[#This Row],[Total Cost]]/(Scenario[[#This Row],[Total Coverage]]*100)</f>
        <v>89106.30878851439</v>
      </c>
      <c r="M623" s="295" cm="1">
        <f t="array" ref="M623">IF(AND(K623=MAX(K$10:K623), L623=MIN(IF(K$10:K623=K623, L$10:L623))), 1, 0)</f>
        <v>0</v>
      </c>
      <c r="N623" s="295">
        <f>IF(AND(Scenario[[#This Row],[Total Coverage]]&gt;=70%,Scenario[[#This Row],[Frontier]]=1),1,0)</f>
        <v>0</v>
      </c>
    </row>
    <row r="624" spans="1:14" x14ac:dyDescent="0.25">
      <c r="A624">
        <v>525</v>
      </c>
      <c r="B624">
        <v>0</v>
      </c>
      <c r="C624">
        <v>1</v>
      </c>
      <c r="D624">
        <v>1</v>
      </c>
      <c r="E624">
        <v>0</v>
      </c>
      <c r="F624">
        <v>0</v>
      </c>
      <c r="G624">
        <v>1</v>
      </c>
      <c r="H624">
        <v>0</v>
      </c>
      <c r="I624">
        <v>1</v>
      </c>
      <c r="J624" s="272">
        <f>$C$3*($C$4*$E$4*B623*$B$7)*$G$4+$C$3*($C$4*$E$5*D624*$D$7)*$G$4+$C$3*($C$4*$E$4*C624*$C$7)*$G$5+$C$3*($C$4*$E$5*E624*$E$7)*$G$5+$C$3*($C$5*$E$4*F624*$F$7)*$H$4+$C$3*($C$5*$E$5*H624*$H$7)*$H$4+$C$3*($C$5*$E$5*I624*$I$7)*$H$5+$C$3*($C$5*$E$4*G624*$G$7)*$H$5</f>
        <v>7514389.6147081424</v>
      </c>
      <c r="K624" s="277">
        <f>ROUND(($C$4*$E$4*B624*$B$7+$C$4*$E$4*C624*$C$7+$C$4*$E$5*D624*$D$7+$C$4*$E$5*E624*$E$7+($C$5*$E$4*F624*$F$7+$C$5*$E$4*G624*$G$7+$C$5*$E$5*H624*$H$7+$C$5*$E$5*I624*$I$7)),2)</f>
        <v>0.84</v>
      </c>
      <c r="L624" s="276">
        <f>Scenario[[#This Row],[Total Cost]]/(Scenario[[#This Row],[Total Coverage]]*100)</f>
        <v>89457.019222715986</v>
      </c>
      <c r="M624" s="295" cm="1">
        <f t="array" ref="M624">IF(AND(K624=MAX(K$10:K624), L624=MIN(IF(K$10:K624=K624, L$10:L624))), 1, 0)</f>
        <v>0</v>
      </c>
      <c r="N624" s="295">
        <f>IF(AND(Scenario[[#This Row],[Total Coverage]]&gt;=70%,Scenario[[#This Row],[Frontier]]=1),1,0)</f>
        <v>0</v>
      </c>
    </row>
    <row r="625" spans="1:14" x14ac:dyDescent="0.25">
      <c r="A625">
        <v>375</v>
      </c>
      <c r="B625">
        <v>0.5</v>
      </c>
      <c r="C625">
        <v>0.5</v>
      </c>
      <c r="D625">
        <v>0</v>
      </c>
      <c r="E625">
        <v>1</v>
      </c>
      <c r="F625">
        <v>0</v>
      </c>
      <c r="G625">
        <v>1</v>
      </c>
      <c r="H625">
        <v>0</v>
      </c>
      <c r="I625">
        <v>1</v>
      </c>
      <c r="J625" s="272">
        <f>$C$3*($C$4*$E$4*B624*$B$7)*$G$4+$C$3*($C$4*$E$5*D625*$D$7)*$G$4+$C$3*($C$4*$E$4*C625*$C$7)*$G$5+$C$3*($C$4*$E$5*E625*$E$7)*$G$5+$C$3*($C$5*$E$4*F625*$F$7)*$H$4+$C$3*($C$5*$E$5*H625*$H$7)*$H$4+$C$3*($C$5*$E$5*I625*$I$7)*$H$5+$C$3*($C$5*$E$4*G625*$G$7)*$H$5</f>
        <v>7159041.8567742137</v>
      </c>
      <c r="K625" s="277">
        <f>ROUND(($C$4*$E$4*B625*$B$7+$C$4*$E$4*C625*$C$7+$C$4*$E$5*D625*$D$7+$C$4*$E$5*E625*$E$7+($C$5*$E$4*F625*$F$7+$C$5*$E$4*G625*$G$7+$C$5*$E$5*H625*$H$7+$C$5*$E$5*I625*$I$7)),2)</f>
        <v>0.85</v>
      </c>
      <c r="L625" s="276">
        <f>Scenario[[#This Row],[Total Cost]]/(Scenario[[#This Row],[Total Coverage]]*100)</f>
        <v>84224.021844402509</v>
      </c>
      <c r="M625" s="295" cm="1">
        <f t="array" ref="M625">IF(AND(K625=MAX(K$10:K625), L625=MIN(IF(K$10:K625=K625, L$10:L625))), 1, 0)</f>
        <v>1</v>
      </c>
      <c r="N625" s="295">
        <f>IF(AND(Scenario[[#This Row],[Total Coverage]]&gt;=70%,Scenario[[#This Row],[Frontier]]=1),1,0)</f>
        <v>1</v>
      </c>
    </row>
    <row r="626" spans="1:14" x14ac:dyDescent="0.25">
      <c r="A626">
        <v>450</v>
      </c>
      <c r="B626">
        <v>0.25</v>
      </c>
      <c r="C626">
        <v>0.75</v>
      </c>
      <c r="D626">
        <v>0.5</v>
      </c>
      <c r="E626">
        <v>0.5</v>
      </c>
      <c r="F626">
        <v>0</v>
      </c>
      <c r="G626">
        <v>1</v>
      </c>
      <c r="H626">
        <v>0</v>
      </c>
      <c r="I626">
        <v>1</v>
      </c>
      <c r="J626" s="272">
        <f>$C$3*($C$4*$E$4*B625*$B$7)*$G$4+$C$3*($C$4*$E$5*D626*$D$7)*$G$4+$C$3*($C$4*$E$4*C626*$C$7)*$G$5+$C$3*($C$4*$E$5*E626*$E$7)*$G$5+$C$3*($C$5*$E$4*F626*$F$7)*$H$4+$C$3*($C$5*$E$5*H626*$H$7)*$H$4+$C$3*($C$5*$E$5*I626*$I$7)*$H$5+$C$3*($C$5*$E$4*G626*$G$7)*$H$5</f>
        <v>7496330.1790885516</v>
      </c>
      <c r="K626" s="277">
        <f>ROUND(($C$4*$E$4*B626*$B$7+$C$4*$E$4*C626*$C$7+$C$4*$E$5*D626*$D$7+$C$4*$E$5*E626*$E$7+($C$5*$E$4*F626*$F$7+$C$5*$E$4*G626*$G$7+$C$5*$E$5*H626*$H$7+$C$5*$E$5*I626*$I$7)),2)</f>
        <v>0.85</v>
      </c>
      <c r="L626" s="276">
        <f>Scenario[[#This Row],[Total Cost]]/(Scenario[[#This Row],[Total Coverage]]*100)</f>
        <v>88192.119753982959</v>
      </c>
      <c r="M626" s="295" cm="1">
        <f t="array" ref="M626">IF(AND(K626=MAX(K$10:K626), L626=MIN(IF(K$10:K626=K626, L$10:L626))), 1, 0)</f>
        <v>0</v>
      </c>
      <c r="N626" s="295">
        <f>IF(AND(Scenario[[#This Row],[Total Coverage]]&gt;=70%,Scenario[[#This Row],[Frontier]]=1),1,0)</f>
        <v>0</v>
      </c>
    </row>
    <row r="627" spans="1:14" x14ac:dyDescent="0.25">
      <c r="A627">
        <v>599</v>
      </c>
      <c r="B627">
        <v>0</v>
      </c>
      <c r="C627">
        <v>1</v>
      </c>
      <c r="D627">
        <v>0.25</v>
      </c>
      <c r="E627">
        <v>0.75</v>
      </c>
      <c r="F627">
        <v>0</v>
      </c>
      <c r="G627">
        <v>1</v>
      </c>
      <c r="H627">
        <v>0.25</v>
      </c>
      <c r="I627">
        <v>0.75</v>
      </c>
      <c r="J627" s="272">
        <f>$C$3*($C$4*$E$4*B626*$B$7)*$G$4+$C$3*($C$4*$E$5*D627*$D$7)*$G$4+$C$3*($C$4*$E$4*C627*$C$7)*$G$5+$C$3*($C$4*$E$5*E627*$E$7)*$G$5+$C$3*($C$5*$E$4*F627*$F$7)*$H$4+$C$3*($C$5*$E$5*H627*$H$7)*$H$4+$C$3*($C$5*$E$5*I627*$I$7)*$H$5+$C$3*($C$5*$E$4*G627*$G$7)*$H$5</f>
        <v>7687265.6935457066</v>
      </c>
      <c r="K627" s="277">
        <f>ROUND(($C$4*$E$4*B627*$B$7+$C$4*$E$4*C627*$C$7+$C$4*$E$5*D627*$D$7+$C$4*$E$5*E627*$E$7+($C$5*$E$4*F627*$F$7+$C$5*$E$4*G627*$G$7+$C$5*$E$5*H627*$H$7+$C$5*$E$5*I627*$I$7)),2)</f>
        <v>0.85</v>
      </c>
      <c r="L627" s="276">
        <f>Scenario[[#This Row],[Total Cost]]/(Scenario[[#This Row],[Total Coverage]]*100)</f>
        <v>90438.41992406713</v>
      </c>
      <c r="M627" s="295" cm="1">
        <f t="array" ref="M627">IF(AND(K627=MAX(K$10:K627), L627=MIN(IF(K$10:K627=K627, L$10:L627))), 1, 0)</f>
        <v>0</v>
      </c>
      <c r="N627" s="295">
        <f>IF(AND(Scenario[[#This Row],[Total Coverage]]&gt;=70%,Scenario[[#This Row],[Frontier]]=1),1,0)</f>
        <v>0</v>
      </c>
    </row>
    <row r="628" spans="1:14" x14ac:dyDescent="0.25">
      <c r="A628">
        <v>475</v>
      </c>
      <c r="B628">
        <v>0.25</v>
      </c>
      <c r="C628">
        <v>0.75</v>
      </c>
      <c r="D628">
        <v>0.25</v>
      </c>
      <c r="E628">
        <v>0.75</v>
      </c>
      <c r="F628">
        <v>0</v>
      </c>
      <c r="G628">
        <v>1</v>
      </c>
      <c r="H628">
        <v>0</v>
      </c>
      <c r="I628">
        <v>1</v>
      </c>
      <c r="J628" s="272">
        <f>$C$3*($C$4*$E$4*B627*$B$7)*$G$4+$C$3*($C$4*$E$5*D628*$D$7)*$G$4+$C$3*($C$4*$E$4*C628*$C$7)*$G$5+$C$3*($C$4*$E$5*E628*$E$7)*$G$5+$C$3*($C$5*$E$4*F628*$F$7)*$H$4+$C$3*($C$5*$E$5*H628*$H$7)*$H$4+$C$3*($C$5*$E$5*I628*$I$7)*$H$5+$C$3*($C$5*$E$4*G628*$G$7)*$H$5</f>
        <v>7467787.2409829609</v>
      </c>
      <c r="K628" s="277">
        <f>ROUND(($C$4*$E$4*B628*$B$7+$C$4*$E$4*C628*$C$7+$C$4*$E$5*D628*$D$7+$C$4*$E$5*E628*$E$7+($C$5*$E$4*F628*$F$7+$C$5*$E$4*G628*$G$7+$C$5*$E$5*H628*$H$7+$C$5*$E$5*I628*$I$7)),2)</f>
        <v>0.86</v>
      </c>
      <c r="L628" s="276">
        <f>Scenario[[#This Row],[Total Cost]]/(Scenario[[#This Row],[Total Coverage]]*100)</f>
        <v>86834.73536026699</v>
      </c>
      <c r="M628" s="295" cm="1">
        <f t="array" ref="M628">IF(AND(K628=MAX(K$10:K628), L628=MIN(IF(K$10:K628=K628, L$10:L628))), 1, 0)</f>
        <v>1</v>
      </c>
      <c r="N628" s="295">
        <f>IF(AND(Scenario[[#This Row],[Total Coverage]]&gt;=70%,Scenario[[#This Row],[Frontier]]=1),1,0)</f>
        <v>1</v>
      </c>
    </row>
    <row r="629" spans="1:14" x14ac:dyDescent="0.25">
      <c r="A629">
        <v>624</v>
      </c>
      <c r="B629">
        <v>0</v>
      </c>
      <c r="C629">
        <v>1</v>
      </c>
      <c r="D629">
        <v>0</v>
      </c>
      <c r="E629">
        <v>1</v>
      </c>
      <c r="F629">
        <v>0</v>
      </c>
      <c r="G629">
        <v>1</v>
      </c>
      <c r="H629">
        <v>0.25</v>
      </c>
      <c r="I629">
        <v>0.75</v>
      </c>
      <c r="J629" s="272">
        <f>$C$3*($C$4*$E$4*B628*$B$7)*$G$4+$C$3*($C$4*$E$5*D629*$D$7)*$G$4+$C$3*($C$4*$E$4*C629*$C$7)*$G$5+$C$3*($C$4*$E$5*E629*$E$7)*$G$5+$C$3*($C$5*$E$4*F629*$F$7)*$H$4+$C$3*($C$5*$E$5*H629*$H$7)*$H$4+$C$3*($C$5*$E$5*I629*$I$7)*$H$5+$C$3*($C$5*$E$4*G629*$G$7)*$H$5</f>
        <v>7871542.0132366158</v>
      </c>
      <c r="K629" s="277">
        <f>ROUND(($C$4*$E$4*B629*$B$7+$C$4*$E$4*C629*$C$7+$C$4*$E$5*D629*$D$7+$C$4*$E$5*E629*$E$7+($C$5*$E$4*F629*$F$7+$C$5*$E$4*G629*$G$7+$C$5*$E$5*H629*$H$7+$C$5*$E$5*I629*$I$7)),2)</f>
        <v>0.86</v>
      </c>
      <c r="L629" s="276">
        <f>Scenario[[#This Row],[Total Cost]]/(Scenario[[#This Row],[Total Coverage]]*100)</f>
        <v>91529.558293449023</v>
      </c>
      <c r="M629" s="295" cm="1">
        <f t="array" ref="M629">IF(AND(K629=MAX(K$10:K629), L629=MIN(IF(K$10:K629=K629, L$10:L629))), 1, 0)</f>
        <v>0</v>
      </c>
      <c r="N629" s="295">
        <f>IF(AND(Scenario[[#This Row],[Total Coverage]]&gt;=70%,Scenario[[#This Row],[Frontier]]=1),1,0)</f>
        <v>0</v>
      </c>
    </row>
    <row r="630" spans="1:14" x14ac:dyDescent="0.25">
      <c r="A630">
        <v>550</v>
      </c>
      <c r="B630">
        <v>0</v>
      </c>
      <c r="C630">
        <v>1</v>
      </c>
      <c r="D630">
        <v>0.75</v>
      </c>
      <c r="E630">
        <v>0.25</v>
      </c>
      <c r="F630">
        <v>0</v>
      </c>
      <c r="G630">
        <v>1</v>
      </c>
      <c r="H630">
        <v>0</v>
      </c>
      <c r="I630">
        <v>1</v>
      </c>
      <c r="J630" s="272">
        <f>$C$3*($C$4*$E$4*B629*$B$7)*$G$4+$C$3*($C$4*$E$5*D630*$D$7)*$G$4+$C$3*($C$4*$E$4*C630*$C$7)*$G$5+$C$3*($C$4*$E$5*E630*$E$7)*$G$5+$C$3*($C$5*$E$4*F630*$F$7)*$H$4+$C$3*($C$5*$E$5*H630*$H$7)*$H$4+$C$3*($C$5*$E$5*I630*$I$7)*$H$5+$C$3*($C$5*$E$4*G630*$G$7)*$H$5</f>
        <v>7592256.3055008017</v>
      </c>
      <c r="K630" s="277">
        <f>ROUND(($C$4*$E$4*B630*$B$7+$C$4*$E$4*C630*$C$7+$C$4*$E$5*D630*$D$7+$C$4*$E$5*E630*$E$7+($C$5*$E$4*F630*$F$7+$C$5*$E$4*G630*$G$7+$C$5*$E$5*H630*$H$7+$C$5*$E$5*I630*$I$7)),2)</f>
        <v>0.86</v>
      </c>
      <c r="L630" s="276">
        <f>Scenario[[#This Row],[Total Cost]]/(Scenario[[#This Row],[Total Coverage]]*100)</f>
        <v>88282.050063962815</v>
      </c>
      <c r="M630" s="295" cm="1">
        <f t="array" ref="M630">IF(AND(K630=MAX(K$10:K630), L630=MIN(IF(K$10:K630=K630, L$10:L630))), 1, 0)</f>
        <v>0</v>
      </c>
      <c r="N630" s="295">
        <f>IF(AND(Scenario[[#This Row],[Total Coverage]]&gt;=70%,Scenario[[#This Row],[Frontier]]=1),1,0)</f>
        <v>0</v>
      </c>
    </row>
    <row r="631" spans="1:14" x14ac:dyDescent="0.25">
      <c r="A631">
        <v>575</v>
      </c>
      <c r="B631">
        <v>0</v>
      </c>
      <c r="C631">
        <v>1</v>
      </c>
      <c r="D631">
        <v>0.5</v>
      </c>
      <c r="E631">
        <v>0.5</v>
      </c>
      <c r="F631">
        <v>0</v>
      </c>
      <c r="G631">
        <v>1</v>
      </c>
      <c r="H631">
        <v>0</v>
      </c>
      <c r="I631">
        <v>1</v>
      </c>
      <c r="J631" s="272">
        <f>$C$3*($C$4*$E$4*B630*$B$7)*$G$4+$C$3*($C$4*$E$5*D631*$D$7)*$G$4+$C$3*($C$4*$E$4*C631*$C$7)*$G$5+$C$3*($C$4*$E$5*E631*$E$7)*$G$5+$C$3*($C$5*$E$4*F631*$F$7)*$H$4+$C$3*($C$5*$E$5*H631*$H$7)*$H$4+$C$3*($C$5*$E$5*I631*$I$7)*$H$5+$C$3*($C$5*$E$4*G631*$G$7)*$H$5</f>
        <v>7776532.625191709</v>
      </c>
      <c r="K631" s="277">
        <f>ROUND(($C$4*$E$4*B631*$B$7+$C$4*$E$4*C631*$C$7+$C$4*$E$5*D631*$D$7+$C$4*$E$5*E631*$E$7+($C$5*$E$4*F631*$F$7+$C$5*$E$4*G631*$G$7+$C$5*$E$5*H631*$H$7+$C$5*$E$5*I631*$I$7)),2)</f>
        <v>0.87</v>
      </c>
      <c r="L631" s="276">
        <f>Scenario[[#This Row],[Total Cost]]/(Scenario[[#This Row],[Total Coverage]]*100)</f>
        <v>89385.432473467925</v>
      </c>
      <c r="M631" s="295" cm="1">
        <f t="array" ref="M631">IF(AND(K631=MAX(K$10:K631), L631=MIN(IF(K$10:K631=K631, L$10:L631))), 1, 0)</f>
        <v>1</v>
      </c>
      <c r="N631" s="295">
        <f>IF(AND(Scenario[[#This Row],[Total Coverage]]&gt;=70%,Scenario[[#This Row],[Frontier]]=1),1,0)</f>
        <v>1</v>
      </c>
    </row>
    <row r="632" spans="1:14" x14ac:dyDescent="0.25">
      <c r="A632">
        <v>500</v>
      </c>
      <c r="B632">
        <v>0.25</v>
      </c>
      <c r="C632">
        <v>0.75</v>
      </c>
      <c r="D632">
        <v>0</v>
      </c>
      <c r="E632">
        <v>1</v>
      </c>
      <c r="F632">
        <v>0</v>
      </c>
      <c r="G632">
        <v>1</v>
      </c>
      <c r="H632">
        <v>0</v>
      </c>
      <c r="I632">
        <v>1</v>
      </c>
      <c r="J632" s="272">
        <f>$C$3*($C$4*$E$4*B631*$B$7)*$G$4+$C$3*($C$4*$E$5*D632*$D$7)*$G$4+$C$3*($C$4*$E$4*C632*$C$7)*$G$5+$C$3*($C$4*$E$5*E632*$E$7)*$G$5+$C$3*($C$5*$E$4*F632*$F$7)*$H$4+$C$3*($C$5*$E$5*H632*$H$7)*$H$4+$C$3*($C$5*$E$5*I632*$I$7)*$H$5+$C$3*($C$5*$E$4*G632*$G$7)*$H$5</f>
        <v>7652063.5606738701</v>
      </c>
      <c r="K632" s="277">
        <f>ROUND(($C$4*$E$4*B632*$B$7+$C$4*$E$4*C632*$C$7+$C$4*$E$5*D632*$D$7+$C$4*$E$5*E632*$E$7+($C$5*$E$4*F632*$F$7+$C$5*$E$4*G632*$G$7+$C$5*$E$5*H632*$H$7+$C$5*$E$5*I632*$I$7)),2)</f>
        <v>0.88</v>
      </c>
      <c r="L632" s="276">
        <f>Scenario[[#This Row],[Total Cost]]/(Scenario[[#This Row],[Total Coverage]]*100)</f>
        <v>86955.267734930341</v>
      </c>
      <c r="M632" s="295" cm="1">
        <f t="array" ref="M632">IF(AND(K632=MAX(K$10:K632), L632=MIN(IF(K$10:K632=K632, L$10:L632))), 1, 0)</f>
        <v>1</v>
      </c>
      <c r="N632" s="295">
        <f>IF(AND(Scenario[[#This Row],[Total Coverage]]&gt;=70%,Scenario[[#This Row],[Frontier]]=1),1,0)</f>
        <v>1</v>
      </c>
    </row>
    <row r="633" spans="1:14" x14ac:dyDescent="0.25">
      <c r="A633">
        <v>600</v>
      </c>
      <c r="B633">
        <v>0</v>
      </c>
      <c r="C633">
        <v>1</v>
      </c>
      <c r="D633">
        <v>0.25</v>
      </c>
      <c r="E633">
        <v>0.75</v>
      </c>
      <c r="F633">
        <v>0</v>
      </c>
      <c r="G633">
        <v>1</v>
      </c>
      <c r="H633">
        <v>0</v>
      </c>
      <c r="I633">
        <v>1</v>
      </c>
      <c r="J633" s="272">
        <f>$C$3*($C$4*$E$4*B632*$B$7)*$G$4+$C$3*($C$4*$E$5*D633*$D$7)*$G$4+$C$3*($C$4*$E$4*C633*$C$7)*$G$5+$C$3*($C$4*$E$5*E633*$E$7)*$G$5+$C$3*($C$5*$E$4*F633*$F$7)*$H$4+$C$3*($C$5*$E$5*H633*$H$7)*$H$4+$C$3*($C$5*$E$5*I633*$I$7)*$H$5+$C$3*($C$5*$E$4*G633*$G$7)*$H$5</f>
        <v>8067218.5737808663</v>
      </c>
      <c r="K633" s="277">
        <f>ROUND(($C$4*$E$4*B633*$B$7+$C$4*$E$4*C633*$C$7+$C$4*$E$5*D633*$D$7+$C$4*$E$5*E633*$E$7+($C$5*$E$4*F633*$F$7+$C$5*$E$4*G633*$G$7+$C$5*$E$5*H633*$H$7+$C$5*$E$5*I633*$I$7)),2)</f>
        <v>0.89</v>
      </c>
      <c r="L633" s="276">
        <f>Scenario[[#This Row],[Total Cost]]/(Scenario[[#This Row],[Total Coverage]]*100)</f>
        <v>90642.905323380517</v>
      </c>
      <c r="M633" s="295" cm="1">
        <f t="array" ref="M633">IF(AND(K633=MAX(K$10:K633), L633=MIN(IF(K$10:K633=K633, L$10:L633))), 1, 0)</f>
        <v>1</v>
      </c>
      <c r="N633" s="295">
        <f>IF(AND(Scenario[[#This Row],[Total Coverage]]&gt;=70%,Scenario[[#This Row],[Frontier]]=1),1,0)</f>
        <v>1</v>
      </c>
    </row>
    <row r="634" spans="1:14" x14ac:dyDescent="0.25">
      <c r="A634">
        <v>625</v>
      </c>
      <c r="B634">
        <v>0</v>
      </c>
      <c r="C634">
        <v>1</v>
      </c>
      <c r="D634">
        <v>0</v>
      </c>
      <c r="E634">
        <v>1</v>
      </c>
      <c r="F634">
        <v>0</v>
      </c>
      <c r="G634">
        <v>1</v>
      </c>
      <c r="H634">
        <v>0</v>
      </c>
      <c r="I634">
        <v>1</v>
      </c>
      <c r="J634" s="272">
        <f>$C$3*($C$4*$E$4*B633*$B$7)*$G$4+$C$3*($C$4*$E$5*D634*$D$7)*$G$4+$C$3*($C$4*$E$4*C634*$C$7)*$G$5+$C$3*($C$4*$E$5*E634*$E$7)*$G$5+$C$3*($C$5*$E$4*F634*$F$7)*$H$4+$C$3*($C$5*$E$5*H634*$H$7)*$H$4+$C$3*($C$5*$E$5*I634*$I$7)*$H$5+$C$3*($C$5*$E$4*G634*$G$7)*$H$5</f>
        <v>8145085.2645735256</v>
      </c>
      <c r="K634" s="277">
        <f>ROUND(($C$4*$E$4*B634*$B$7+$C$4*$E$4*C634*$C$7+$C$4*$E$5*D634*$D$7+$C$4*$E$5*E634*$E$7+($C$5*$E$4*F634*$F$7+$C$5*$E$4*G634*$G$7+$C$5*$E$5*H634*$H$7+$C$5*$E$5*I634*$I$7)),2)</f>
        <v>0.9</v>
      </c>
      <c r="L634" s="276">
        <f>Scenario[[#This Row],[Total Cost]]/(Scenario[[#This Row],[Total Coverage]]*100)</f>
        <v>90500.947384150291</v>
      </c>
      <c r="M634" s="295" cm="1">
        <f t="array" ref="M634">IF(AND(K634=MAX(K$10:K634), L634=MIN(IF(K$10:K634=K634, L$10:L634))), 1, 0)</f>
        <v>1</v>
      </c>
      <c r="N634" s="295">
        <f>IF(AND(Scenario[[#This Row],[Total Coverage]]&gt;=70%,Scenario[[#This Row],[Frontier]]=1),1,0)</f>
        <v>1</v>
      </c>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8F27A030-B33C-4CFD-90C5-ACCE68020C66}">
          <x14:formula1>
            <xm:f>'DRC id'!$F$34:$F$60</xm:f>
          </x14:formula1>
          <xm:sqref>C1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89FF6-3CE0-41AF-8955-7D84348842C7}">
  <dimension ref="N2:AA69"/>
  <sheetViews>
    <sheetView topLeftCell="O1" workbookViewId="0">
      <selection activeCell="Z8" sqref="Z8"/>
    </sheetView>
  </sheetViews>
  <sheetFormatPr defaultRowHeight="15" x14ac:dyDescent="0.25"/>
  <cols>
    <col min="14" max="14" width="10.7109375" customWidth="1"/>
    <col min="15" max="15" width="18.28515625" customWidth="1"/>
    <col min="16" max="16" width="20.7109375" customWidth="1"/>
    <col min="17" max="17" width="18.85546875" customWidth="1"/>
    <col min="18" max="18" width="21.28515625" customWidth="1"/>
    <col min="19" max="19" width="19.28515625" customWidth="1"/>
    <col min="20" max="20" width="21.7109375" customWidth="1"/>
    <col min="21" max="21" width="19.85546875" customWidth="1"/>
    <col min="22" max="22" width="22.28515625" customWidth="1"/>
    <col min="23" max="23" width="11.5703125" customWidth="1"/>
    <col min="24" max="24" width="11.28515625" customWidth="1"/>
    <col min="25" max="25" width="13.7109375" customWidth="1"/>
    <col min="26" max="27" width="13.5703125" customWidth="1"/>
  </cols>
  <sheetData>
    <row r="2" spans="14:27" x14ac:dyDescent="0.25">
      <c r="N2" s="278" t="s">
        <v>252</v>
      </c>
    </row>
    <row r="4" spans="14:27" x14ac:dyDescent="0.25">
      <c r="N4" t="s">
        <v>111</v>
      </c>
      <c r="O4" t="s">
        <v>228</v>
      </c>
      <c r="P4" t="s">
        <v>229</v>
      </c>
      <c r="Q4" t="s">
        <v>230</v>
      </c>
      <c r="R4" t="s">
        <v>231</v>
      </c>
      <c r="S4" t="s">
        <v>232</v>
      </c>
      <c r="T4" t="s">
        <v>233</v>
      </c>
      <c r="U4" t="s">
        <v>234</v>
      </c>
      <c r="V4" t="s">
        <v>235</v>
      </c>
      <c r="W4" t="s">
        <v>245</v>
      </c>
      <c r="X4" t="s">
        <v>246</v>
      </c>
      <c r="Y4" t="s">
        <v>250</v>
      </c>
      <c r="Z4" t="s">
        <v>253</v>
      </c>
      <c r="AA4" t="s">
        <v>254</v>
      </c>
    </row>
    <row r="5" spans="14:27" x14ac:dyDescent="0.25">
      <c r="N5">
        <v>1</v>
      </c>
      <c r="O5">
        <v>1</v>
      </c>
      <c r="P5">
        <v>0</v>
      </c>
      <c r="Q5">
        <v>1</v>
      </c>
      <c r="R5">
        <v>0</v>
      </c>
      <c r="S5">
        <v>1</v>
      </c>
      <c r="T5">
        <v>0</v>
      </c>
      <c r="U5">
        <v>1</v>
      </c>
      <c r="V5">
        <v>0</v>
      </c>
      <c r="W5">
        <v>1003123.2341620175</v>
      </c>
      <c r="X5">
        <v>0.27</v>
      </c>
      <c r="Y5">
        <v>37152.712376371019</v>
      </c>
      <c r="Z5">
        <v>1</v>
      </c>
      <c r="AA5">
        <f>IF(Table6[[#This Row],[Total Cov]]&gt;=0.7,1,0)</f>
        <v>0</v>
      </c>
    </row>
    <row r="6" spans="14:27" x14ac:dyDescent="0.25">
      <c r="N6">
        <v>26</v>
      </c>
      <c r="O6">
        <v>1</v>
      </c>
      <c r="P6">
        <v>0</v>
      </c>
      <c r="Q6">
        <v>0.75</v>
      </c>
      <c r="R6">
        <v>0.25</v>
      </c>
      <c r="S6">
        <v>1</v>
      </c>
      <c r="T6">
        <v>0</v>
      </c>
      <c r="U6">
        <v>1</v>
      </c>
      <c r="V6">
        <v>0</v>
      </c>
      <c r="W6">
        <v>1187399.553852926</v>
      </c>
      <c r="X6">
        <v>0.28000000000000003</v>
      </c>
      <c r="Y6">
        <v>42407.126923318778</v>
      </c>
      <c r="Z6">
        <v>1</v>
      </c>
      <c r="AA6">
        <f>IF(Table6[[#This Row],[Total Cov]]&gt;=0.7,1,0)</f>
        <v>0</v>
      </c>
    </row>
    <row r="7" spans="14:27" x14ac:dyDescent="0.25">
      <c r="N7">
        <v>126</v>
      </c>
      <c r="O7">
        <v>0.75</v>
      </c>
      <c r="P7">
        <v>0.25</v>
      </c>
      <c r="Q7">
        <v>1</v>
      </c>
      <c r="R7">
        <v>0</v>
      </c>
      <c r="S7">
        <v>1</v>
      </c>
      <c r="T7">
        <v>0</v>
      </c>
      <c r="U7">
        <v>1</v>
      </c>
      <c r="V7">
        <v>0</v>
      </c>
      <c r="W7">
        <v>1496144.9380616737</v>
      </c>
      <c r="X7">
        <v>0.28999999999999998</v>
      </c>
      <c r="Y7">
        <v>51591.204760747372</v>
      </c>
      <c r="Z7">
        <v>1</v>
      </c>
      <c r="AA7">
        <f>IF(Table6[[#This Row],[Total Cov]]&gt;=0.7,1,0)</f>
        <v>0</v>
      </c>
    </row>
    <row r="8" spans="14:27" x14ac:dyDescent="0.25">
      <c r="N8">
        <v>51</v>
      </c>
      <c r="O8">
        <v>1</v>
      </c>
      <c r="P8">
        <v>0</v>
      </c>
      <c r="Q8">
        <v>0.5</v>
      </c>
      <c r="R8">
        <v>0.5</v>
      </c>
      <c r="S8">
        <v>1</v>
      </c>
      <c r="T8">
        <v>0</v>
      </c>
      <c r="U8">
        <v>1</v>
      </c>
      <c r="V8">
        <v>0</v>
      </c>
      <c r="W8">
        <v>1265266.2446455848</v>
      </c>
      <c r="X8">
        <v>0.3</v>
      </c>
      <c r="Y8">
        <v>42175.541488186158</v>
      </c>
      <c r="Z8">
        <v>1</v>
      </c>
      <c r="AA8">
        <f>IF(Table6[[#This Row],[Total Cov]]&gt;=0.7,1,0)</f>
        <v>0</v>
      </c>
    </row>
    <row r="9" spans="14:27" x14ac:dyDescent="0.25">
      <c r="N9">
        <v>2</v>
      </c>
      <c r="O9">
        <v>1</v>
      </c>
      <c r="P9">
        <v>0</v>
      </c>
      <c r="Q9">
        <v>1</v>
      </c>
      <c r="R9">
        <v>0</v>
      </c>
      <c r="S9">
        <v>1</v>
      </c>
      <c r="T9">
        <v>0</v>
      </c>
      <c r="U9">
        <v>0.75</v>
      </c>
      <c r="V9">
        <v>0.25</v>
      </c>
      <c r="W9">
        <v>1383076.1143971775</v>
      </c>
      <c r="X9">
        <v>0.31</v>
      </c>
      <c r="Y9">
        <v>44615.358528941208</v>
      </c>
      <c r="Z9">
        <v>1</v>
      </c>
      <c r="AA9">
        <f>IF(Table6[[#This Row],[Total Cov]]&gt;=0.7,1,0)</f>
        <v>0</v>
      </c>
    </row>
    <row r="10" spans="14:27" x14ac:dyDescent="0.25">
      <c r="N10">
        <v>27</v>
      </c>
      <c r="O10">
        <v>1</v>
      </c>
      <c r="P10">
        <v>0</v>
      </c>
      <c r="Q10">
        <v>0.75</v>
      </c>
      <c r="R10">
        <v>0.25</v>
      </c>
      <c r="S10">
        <v>1</v>
      </c>
      <c r="T10">
        <v>0</v>
      </c>
      <c r="U10">
        <v>0.75</v>
      </c>
      <c r="V10">
        <v>0.25</v>
      </c>
      <c r="W10">
        <v>1460942.8051898363</v>
      </c>
      <c r="X10">
        <v>0.32</v>
      </c>
      <c r="Y10">
        <v>45654.462662182385</v>
      </c>
      <c r="Z10">
        <v>1</v>
      </c>
      <c r="AA10">
        <f>IF(Table6[[#This Row],[Total Cov]]&gt;=0.7,1,0)</f>
        <v>0</v>
      </c>
    </row>
    <row r="11" spans="14:27" x14ac:dyDescent="0.25">
      <c r="N11">
        <v>127</v>
      </c>
      <c r="O11">
        <v>0.75</v>
      </c>
      <c r="P11">
        <v>0.25</v>
      </c>
      <c r="Q11">
        <v>1</v>
      </c>
      <c r="R11">
        <v>0</v>
      </c>
      <c r="S11">
        <v>1</v>
      </c>
      <c r="T11">
        <v>0</v>
      </c>
      <c r="U11">
        <v>0.75</v>
      </c>
      <c r="V11">
        <v>0.25</v>
      </c>
      <c r="W11">
        <v>1663278.5605003345</v>
      </c>
      <c r="X11">
        <v>0.33</v>
      </c>
      <c r="Y11">
        <v>50402.380621222255</v>
      </c>
      <c r="Z11">
        <v>1</v>
      </c>
      <c r="AA11">
        <f>IF(Table6[[#This Row],[Total Cov]]&gt;=0.7,1,0)</f>
        <v>0</v>
      </c>
    </row>
    <row r="12" spans="14:27" x14ac:dyDescent="0.25">
      <c r="N12">
        <v>101</v>
      </c>
      <c r="O12">
        <v>1</v>
      </c>
      <c r="P12">
        <v>0</v>
      </c>
      <c r="Q12">
        <v>0</v>
      </c>
      <c r="R12">
        <v>1</v>
      </c>
      <c r="S12">
        <v>1</v>
      </c>
      <c r="T12">
        <v>0</v>
      </c>
      <c r="U12">
        <v>1</v>
      </c>
      <c r="V12">
        <v>0</v>
      </c>
      <c r="W12">
        <v>1633818.8840274017</v>
      </c>
      <c r="X12">
        <v>0.33</v>
      </c>
      <c r="Y12">
        <v>49509.663152345507</v>
      </c>
      <c r="Z12">
        <v>1</v>
      </c>
      <c r="AA12">
        <f>IF(Table6[[#This Row],[Total Cov]]&gt;=0.7,1,0)</f>
        <v>0</v>
      </c>
    </row>
    <row r="13" spans="14:27" x14ac:dyDescent="0.25">
      <c r="N13">
        <v>52</v>
      </c>
      <c r="O13">
        <v>1</v>
      </c>
      <c r="P13">
        <v>0</v>
      </c>
      <c r="Q13">
        <v>0.5</v>
      </c>
      <c r="R13">
        <v>0.5</v>
      </c>
      <c r="S13">
        <v>1</v>
      </c>
      <c r="T13">
        <v>0</v>
      </c>
      <c r="U13">
        <v>0.75</v>
      </c>
      <c r="V13">
        <v>0.25</v>
      </c>
      <c r="W13">
        <v>1538809.4959824951</v>
      </c>
      <c r="X13">
        <v>0.34</v>
      </c>
      <c r="Y13">
        <v>45259.10282301456</v>
      </c>
      <c r="Z13">
        <v>1</v>
      </c>
      <c r="AA13">
        <f>IF(Table6[[#This Row],[Total Cov]]&gt;=0.7,1,0)</f>
        <v>0</v>
      </c>
    </row>
    <row r="14" spans="14:27" x14ac:dyDescent="0.25">
      <c r="N14">
        <v>3</v>
      </c>
      <c r="O14">
        <v>1</v>
      </c>
      <c r="P14">
        <v>0</v>
      </c>
      <c r="Q14">
        <v>1</v>
      </c>
      <c r="R14">
        <v>0</v>
      </c>
      <c r="S14">
        <v>1</v>
      </c>
      <c r="T14">
        <v>0</v>
      </c>
      <c r="U14">
        <v>0.5</v>
      </c>
      <c r="V14">
        <v>0.5</v>
      </c>
      <c r="W14">
        <v>1443800.1079375888</v>
      </c>
      <c r="X14">
        <v>0.35</v>
      </c>
      <c r="Y14">
        <v>41251.43165535968</v>
      </c>
      <c r="Z14">
        <v>1</v>
      </c>
      <c r="AA14">
        <f>IF(Table6[[#This Row],[Total Cov]]&gt;=0.7,1,0)</f>
        <v>0</v>
      </c>
    </row>
    <row r="15" spans="14:27" x14ac:dyDescent="0.25">
      <c r="N15">
        <v>102</v>
      </c>
      <c r="O15">
        <v>1</v>
      </c>
      <c r="P15">
        <v>0</v>
      </c>
      <c r="Q15">
        <v>0</v>
      </c>
      <c r="R15">
        <v>1</v>
      </c>
      <c r="S15">
        <v>1</v>
      </c>
      <c r="T15">
        <v>0</v>
      </c>
      <c r="U15">
        <v>0.75</v>
      </c>
      <c r="V15">
        <v>0.25</v>
      </c>
      <c r="W15">
        <v>1800952.5064660623</v>
      </c>
      <c r="X15">
        <v>0.36</v>
      </c>
      <c r="Y15">
        <v>50026.458512946178</v>
      </c>
      <c r="Z15">
        <v>1</v>
      </c>
      <c r="AA15">
        <f>IF(Table6[[#This Row],[Total Cov]]&gt;=0.7,1,0)</f>
        <v>0</v>
      </c>
    </row>
    <row r="16" spans="14:27" x14ac:dyDescent="0.25">
      <c r="N16">
        <v>53</v>
      </c>
      <c r="O16">
        <v>1</v>
      </c>
      <c r="P16">
        <v>0</v>
      </c>
      <c r="Q16">
        <v>0.5</v>
      </c>
      <c r="R16">
        <v>0.5</v>
      </c>
      <c r="S16">
        <v>1</v>
      </c>
      <c r="T16">
        <v>0</v>
      </c>
      <c r="U16">
        <v>0.5</v>
      </c>
      <c r="V16">
        <v>0.5</v>
      </c>
      <c r="W16">
        <v>1705943.118421156</v>
      </c>
      <c r="X16">
        <v>0.37</v>
      </c>
      <c r="Y16">
        <v>46106.570768139347</v>
      </c>
      <c r="Z16">
        <v>1</v>
      </c>
      <c r="AA16">
        <f>IF(Table6[[#This Row],[Total Cov]]&gt;=0.7,1,0)</f>
        <v>0</v>
      </c>
    </row>
    <row r="17" spans="14:27" x14ac:dyDescent="0.25">
      <c r="N17">
        <v>56</v>
      </c>
      <c r="O17">
        <v>1</v>
      </c>
      <c r="P17">
        <v>0</v>
      </c>
      <c r="Q17">
        <v>0.5</v>
      </c>
      <c r="R17">
        <v>0.5</v>
      </c>
      <c r="S17">
        <v>0.75</v>
      </c>
      <c r="T17">
        <v>0.25</v>
      </c>
      <c r="U17">
        <v>1</v>
      </c>
      <c r="V17">
        <v>0</v>
      </c>
      <c r="W17">
        <v>1887096.2195244879</v>
      </c>
      <c r="X17">
        <v>0.38</v>
      </c>
      <c r="Y17">
        <v>49660.426829591786</v>
      </c>
      <c r="Z17">
        <v>1</v>
      </c>
      <c r="AA17">
        <f>IF(Table6[[#This Row],[Total Cov]]&gt;=0.7,1,0)</f>
        <v>0</v>
      </c>
    </row>
    <row r="18" spans="14:27" x14ac:dyDescent="0.25">
      <c r="N18">
        <v>81</v>
      </c>
      <c r="O18">
        <v>1</v>
      </c>
      <c r="P18">
        <v>0</v>
      </c>
      <c r="Q18">
        <v>0.25</v>
      </c>
      <c r="R18">
        <v>0.75</v>
      </c>
      <c r="S18">
        <v>0.75</v>
      </c>
      <c r="T18">
        <v>0.25</v>
      </c>
      <c r="U18">
        <v>1</v>
      </c>
      <c r="V18">
        <v>0</v>
      </c>
      <c r="W18">
        <v>1964962.9103171469</v>
      </c>
      <c r="X18">
        <v>0.39</v>
      </c>
      <c r="Y18">
        <v>50383.664367106328</v>
      </c>
      <c r="Z18">
        <v>1</v>
      </c>
      <c r="AA18">
        <f>IF(Table6[[#This Row],[Total Cov]]&gt;=0.7,1,0)</f>
        <v>0</v>
      </c>
    </row>
    <row r="19" spans="14:27" x14ac:dyDescent="0.25">
      <c r="N19">
        <v>29</v>
      </c>
      <c r="O19">
        <v>1</v>
      </c>
      <c r="P19">
        <v>0</v>
      </c>
      <c r="Q19">
        <v>0.75</v>
      </c>
      <c r="R19">
        <v>0.25</v>
      </c>
      <c r="S19">
        <v>1</v>
      </c>
      <c r="T19">
        <v>0</v>
      </c>
      <c r="U19">
        <v>0.25</v>
      </c>
      <c r="V19">
        <v>0.75</v>
      </c>
      <c r="W19">
        <v>1901619.6789654074</v>
      </c>
      <c r="X19">
        <v>0.4</v>
      </c>
      <c r="Y19">
        <v>47540.491974135184</v>
      </c>
      <c r="Z19">
        <v>1</v>
      </c>
      <c r="AA19">
        <f>IF(Table6[[#This Row],[Total Cov]]&gt;=0.7,1,0)</f>
        <v>0</v>
      </c>
    </row>
    <row r="20" spans="14:27" x14ac:dyDescent="0.25">
      <c r="N20">
        <v>106</v>
      </c>
      <c r="O20">
        <v>1</v>
      </c>
      <c r="P20">
        <v>0</v>
      </c>
      <c r="Q20">
        <v>0</v>
      </c>
      <c r="R20">
        <v>1</v>
      </c>
      <c r="S20">
        <v>0.75</v>
      </c>
      <c r="T20">
        <v>0.25</v>
      </c>
      <c r="U20">
        <v>1</v>
      </c>
      <c r="V20">
        <v>0</v>
      </c>
      <c r="W20">
        <v>2149239.2300080555</v>
      </c>
      <c r="X20">
        <v>0.41</v>
      </c>
      <c r="Y20">
        <v>52420.469024586717</v>
      </c>
      <c r="Z20">
        <v>1</v>
      </c>
      <c r="AA20">
        <f>IF(Table6[[#This Row],[Total Cov]]&gt;=0.7,1,0)</f>
        <v>0</v>
      </c>
    </row>
    <row r="21" spans="14:27" x14ac:dyDescent="0.25">
      <c r="N21">
        <v>5</v>
      </c>
      <c r="O21">
        <v>1</v>
      </c>
      <c r="P21">
        <v>0</v>
      </c>
      <c r="Q21">
        <v>1</v>
      </c>
      <c r="R21">
        <v>0</v>
      </c>
      <c r="S21">
        <v>1</v>
      </c>
      <c r="T21">
        <v>0</v>
      </c>
      <c r="U21">
        <v>0</v>
      </c>
      <c r="V21">
        <v>1</v>
      </c>
      <c r="W21">
        <v>2097296.2395096589</v>
      </c>
      <c r="X21">
        <v>0.42</v>
      </c>
      <c r="Y21">
        <v>49935.624750229974</v>
      </c>
      <c r="Z21">
        <v>1</v>
      </c>
      <c r="AA21">
        <f>IF(Table6[[#This Row],[Total Cov]]&gt;=0.7,1,0)</f>
        <v>0</v>
      </c>
    </row>
    <row r="22" spans="14:27" x14ac:dyDescent="0.25">
      <c r="N22">
        <v>82</v>
      </c>
      <c r="O22">
        <v>1</v>
      </c>
      <c r="P22">
        <v>0</v>
      </c>
      <c r="Q22">
        <v>0.25</v>
      </c>
      <c r="R22">
        <v>0.75</v>
      </c>
      <c r="S22">
        <v>0.75</v>
      </c>
      <c r="T22">
        <v>0.25</v>
      </c>
      <c r="U22">
        <v>0.75</v>
      </c>
      <c r="V22">
        <v>0.25</v>
      </c>
      <c r="W22">
        <v>2344915.7905523069</v>
      </c>
      <c r="X22">
        <v>0.43</v>
      </c>
      <c r="Y22">
        <v>54532.925361681555</v>
      </c>
      <c r="Z22">
        <v>1</v>
      </c>
      <c r="AA22">
        <f>IF(Table6[[#This Row],[Total Cov]]&gt;=0.7,1,0)</f>
        <v>0</v>
      </c>
    </row>
    <row r="23" spans="14:27" x14ac:dyDescent="0.25">
      <c r="N23">
        <v>30</v>
      </c>
      <c r="O23">
        <v>1</v>
      </c>
      <c r="P23">
        <v>0</v>
      </c>
      <c r="Q23">
        <v>0.75</v>
      </c>
      <c r="R23">
        <v>0.25</v>
      </c>
      <c r="S23">
        <v>1</v>
      </c>
      <c r="T23">
        <v>0</v>
      </c>
      <c r="U23">
        <v>0</v>
      </c>
      <c r="V23">
        <v>1</v>
      </c>
      <c r="W23">
        <v>2281572.5592005672</v>
      </c>
      <c r="X23">
        <v>0.44</v>
      </c>
      <c r="Y23">
        <v>51853.921800012889</v>
      </c>
      <c r="Z23">
        <v>1</v>
      </c>
      <c r="AA23">
        <f>IF(Table6[[#This Row],[Total Cov]]&gt;=0.7,1,0)</f>
        <v>0</v>
      </c>
    </row>
    <row r="24" spans="14:27" x14ac:dyDescent="0.25">
      <c r="N24">
        <v>107</v>
      </c>
      <c r="O24">
        <v>1</v>
      </c>
      <c r="P24">
        <v>0</v>
      </c>
      <c r="Q24">
        <v>0</v>
      </c>
      <c r="R24">
        <v>1</v>
      </c>
      <c r="S24">
        <v>0.75</v>
      </c>
      <c r="T24">
        <v>0.25</v>
      </c>
      <c r="U24">
        <v>0.75</v>
      </c>
      <c r="V24">
        <v>0.25</v>
      </c>
      <c r="W24">
        <v>2529192.1102432152</v>
      </c>
      <c r="X24">
        <v>0.45</v>
      </c>
      <c r="Y24">
        <v>56204.26911651589</v>
      </c>
      <c r="Z24">
        <v>1</v>
      </c>
      <c r="AA24">
        <f>IF(Table6[[#This Row],[Total Cov]]&gt;=0.7,1,0)</f>
        <v>0</v>
      </c>
    </row>
    <row r="25" spans="14:27" x14ac:dyDescent="0.25">
      <c r="N25">
        <v>61</v>
      </c>
      <c r="O25">
        <v>1</v>
      </c>
      <c r="P25">
        <v>0</v>
      </c>
      <c r="Q25">
        <v>0.5</v>
      </c>
      <c r="R25">
        <v>0.5</v>
      </c>
      <c r="S25">
        <v>0.5</v>
      </c>
      <c r="T25">
        <v>0.5</v>
      </c>
      <c r="U25">
        <v>1</v>
      </c>
      <c r="V25">
        <v>0</v>
      </c>
      <c r="W25">
        <v>2615335.8233016408</v>
      </c>
      <c r="X25">
        <v>0.46</v>
      </c>
      <c r="Y25">
        <v>56855.126593513931</v>
      </c>
      <c r="Z25">
        <v>1</v>
      </c>
      <c r="AA25">
        <f>IF(Table6[[#This Row],[Total Cov]]&gt;=0.7,1,0)</f>
        <v>0</v>
      </c>
    </row>
    <row r="26" spans="14:27" x14ac:dyDescent="0.25">
      <c r="N26">
        <v>83</v>
      </c>
      <c r="O26">
        <v>1</v>
      </c>
      <c r="P26">
        <v>0</v>
      </c>
      <c r="Q26">
        <v>0.25</v>
      </c>
      <c r="R26">
        <v>0.75</v>
      </c>
      <c r="S26">
        <v>0.75</v>
      </c>
      <c r="T26">
        <v>0.25</v>
      </c>
      <c r="U26">
        <v>0.5</v>
      </c>
      <c r="V26">
        <v>0.5</v>
      </c>
      <c r="W26">
        <v>2724868.6707874667</v>
      </c>
      <c r="X26">
        <v>0.47</v>
      </c>
      <c r="Y26">
        <v>57975.929165690781</v>
      </c>
      <c r="Z26">
        <v>1</v>
      </c>
      <c r="AA26">
        <f>IF(Table6[[#This Row],[Total Cov]]&gt;=0.7,1,0)</f>
        <v>0</v>
      </c>
    </row>
    <row r="27" spans="14:27" x14ac:dyDescent="0.25">
      <c r="N27">
        <v>86</v>
      </c>
      <c r="O27">
        <v>1</v>
      </c>
      <c r="P27">
        <v>0</v>
      </c>
      <c r="Q27">
        <v>0.25</v>
      </c>
      <c r="R27">
        <v>0.75</v>
      </c>
      <c r="S27">
        <v>0.5</v>
      </c>
      <c r="T27">
        <v>0.5</v>
      </c>
      <c r="U27">
        <v>1</v>
      </c>
      <c r="V27">
        <v>0</v>
      </c>
      <c r="W27">
        <v>2799612.1429925491</v>
      </c>
      <c r="X27">
        <v>0.48</v>
      </c>
      <c r="Y27">
        <v>58325.252979011442</v>
      </c>
      <c r="Z27">
        <v>1</v>
      </c>
      <c r="AA27">
        <f>IF(Table6[[#This Row],[Total Cov]]&gt;=0.7,1,0)</f>
        <v>0</v>
      </c>
    </row>
    <row r="28" spans="14:27" x14ac:dyDescent="0.25">
      <c r="N28">
        <v>111</v>
      </c>
      <c r="O28">
        <v>1</v>
      </c>
      <c r="P28">
        <v>0</v>
      </c>
      <c r="Q28">
        <v>0</v>
      </c>
      <c r="R28">
        <v>1</v>
      </c>
      <c r="S28">
        <v>0.5</v>
      </c>
      <c r="T28">
        <v>0.5</v>
      </c>
      <c r="U28">
        <v>1</v>
      </c>
      <c r="V28">
        <v>0</v>
      </c>
      <c r="W28">
        <v>2983888.4626834579</v>
      </c>
      <c r="X28">
        <v>0.49</v>
      </c>
      <c r="Y28">
        <v>60895.682911907301</v>
      </c>
      <c r="Z28">
        <v>1</v>
      </c>
      <c r="AA28">
        <f>IF(Table6[[#This Row],[Total Cov]]&gt;=0.7,1,0)</f>
        <v>0</v>
      </c>
    </row>
    <row r="29" spans="14:27" x14ac:dyDescent="0.25">
      <c r="N29">
        <v>62</v>
      </c>
      <c r="O29">
        <v>1</v>
      </c>
      <c r="P29">
        <v>0</v>
      </c>
      <c r="Q29">
        <v>0.5</v>
      </c>
      <c r="R29">
        <v>0.5</v>
      </c>
      <c r="S29">
        <v>0.5</v>
      </c>
      <c r="T29">
        <v>0.5</v>
      </c>
      <c r="U29">
        <v>0.75</v>
      </c>
      <c r="V29">
        <v>0.25</v>
      </c>
      <c r="W29">
        <v>2995288.703536801</v>
      </c>
      <c r="X29">
        <v>0.5</v>
      </c>
      <c r="Y29">
        <v>59905.774070736021</v>
      </c>
      <c r="Z29">
        <v>1</v>
      </c>
      <c r="AA29">
        <f>IF(Table6[[#This Row],[Total Cov]]&gt;=0.7,1,0)</f>
        <v>0</v>
      </c>
    </row>
    <row r="30" spans="14:27" x14ac:dyDescent="0.25">
      <c r="N30">
        <v>87</v>
      </c>
      <c r="O30">
        <v>1</v>
      </c>
      <c r="P30">
        <v>0</v>
      </c>
      <c r="Q30">
        <v>0.25</v>
      </c>
      <c r="R30">
        <v>0.75</v>
      </c>
      <c r="S30">
        <v>0.5</v>
      </c>
      <c r="T30">
        <v>0.5</v>
      </c>
      <c r="U30">
        <v>0.75</v>
      </c>
      <c r="V30">
        <v>0.25</v>
      </c>
      <c r="W30">
        <v>3179565.0232277093</v>
      </c>
      <c r="X30">
        <v>0.51</v>
      </c>
      <c r="Y30">
        <v>62344.412220151164</v>
      </c>
      <c r="Z30">
        <v>1</v>
      </c>
      <c r="AA30">
        <f>IF(Table6[[#This Row],[Total Cov]]&gt;=0.7,1,0)</f>
        <v>0</v>
      </c>
    </row>
    <row r="31" spans="14:27" x14ac:dyDescent="0.25">
      <c r="N31">
        <v>35</v>
      </c>
      <c r="O31">
        <v>1</v>
      </c>
      <c r="P31">
        <v>0</v>
      </c>
      <c r="Q31">
        <v>0.75</v>
      </c>
      <c r="R31">
        <v>0.25</v>
      </c>
      <c r="S31">
        <v>0.75</v>
      </c>
      <c r="T31">
        <v>0.25</v>
      </c>
      <c r="U31">
        <v>0</v>
      </c>
      <c r="V31">
        <v>1</v>
      </c>
      <c r="W31">
        <v>3116221.7918759696</v>
      </c>
      <c r="X31">
        <v>0.52</v>
      </c>
      <c r="Y31">
        <v>59927.342151460951</v>
      </c>
      <c r="Z31">
        <v>1</v>
      </c>
      <c r="AA31">
        <f>IF(Table6[[#This Row],[Total Cov]]&gt;=0.7,1,0)</f>
        <v>0</v>
      </c>
    </row>
    <row r="32" spans="14:27" x14ac:dyDescent="0.25">
      <c r="N32">
        <v>112</v>
      </c>
      <c r="O32">
        <v>1</v>
      </c>
      <c r="P32">
        <v>0</v>
      </c>
      <c r="Q32">
        <v>0</v>
      </c>
      <c r="R32">
        <v>1</v>
      </c>
      <c r="S32">
        <v>0.5</v>
      </c>
      <c r="T32">
        <v>0.5</v>
      </c>
      <c r="U32">
        <v>0.75</v>
      </c>
      <c r="V32">
        <v>0.25</v>
      </c>
      <c r="W32">
        <v>3363841.3429186177</v>
      </c>
      <c r="X32">
        <v>0.53</v>
      </c>
      <c r="Y32">
        <v>63468.704583370141</v>
      </c>
      <c r="Z32">
        <v>1</v>
      </c>
      <c r="AA32">
        <f>IF(Table6[[#This Row],[Total Cov]]&gt;=0.7,1,0)</f>
        <v>0</v>
      </c>
    </row>
    <row r="33" spans="14:27" x14ac:dyDescent="0.25">
      <c r="N33">
        <v>66</v>
      </c>
      <c r="O33">
        <v>1</v>
      </c>
      <c r="P33">
        <v>0</v>
      </c>
      <c r="Q33">
        <v>0.5</v>
      </c>
      <c r="R33">
        <v>0.5</v>
      </c>
      <c r="S33">
        <v>0.25</v>
      </c>
      <c r="T33">
        <v>0.75</v>
      </c>
      <c r="U33">
        <v>1</v>
      </c>
      <c r="V33">
        <v>0</v>
      </c>
      <c r="W33">
        <v>3449985.0559770437</v>
      </c>
      <c r="X33">
        <v>0.54</v>
      </c>
      <c r="Y33">
        <v>63888.612147723034</v>
      </c>
      <c r="Z33">
        <v>1</v>
      </c>
      <c r="AA33">
        <f>IF(Table6[[#This Row],[Total Cov]]&gt;=0.7,1,0)</f>
        <v>0</v>
      </c>
    </row>
    <row r="34" spans="14:27" x14ac:dyDescent="0.25">
      <c r="N34">
        <v>88</v>
      </c>
      <c r="O34">
        <v>1</v>
      </c>
      <c r="P34">
        <v>0</v>
      </c>
      <c r="Q34">
        <v>0.25</v>
      </c>
      <c r="R34">
        <v>0.75</v>
      </c>
      <c r="S34">
        <v>0.5</v>
      </c>
      <c r="T34">
        <v>0.5</v>
      </c>
      <c r="U34">
        <v>0.5</v>
      </c>
      <c r="V34">
        <v>0.5</v>
      </c>
      <c r="W34">
        <v>3559517.9034628691</v>
      </c>
      <c r="X34">
        <v>0.55000000000000004</v>
      </c>
      <c r="Y34">
        <v>64718.507335688519</v>
      </c>
      <c r="Z34">
        <v>1</v>
      </c>
      <c r="AA34">
        <f>IF(Table6[[#This Row],[Total Cov]]&gt;=0.7,1,0)</f>
        <v>0</v>
      </c>
    </row>
    <row r="35" spans="14:27" x14ac:dyDescent="0.25">
      <c r="N35">
        <v>91</v>
      </c>
      <c r="O35">
        <v>1</v>
      </c>
      <c r="P35">
        <v>0</v>
      </c>
      <c r="Q35">
        <v>0.25</v>
      </c>
      <c r="R35">
        <v>0.75</v>
      </c>
      <c r="S35">
        <v>0.25</v>
      </c>
      <c r="T35">
        <v>0.75</v>
      </c>
      <c r="U35">
        <v>1</v>
      </c>
      <c r="V35">
        <v>0</v>
      </c>
      <c r="W35">
        <v>3634261.375667952</v>
      </c>
      <c r="X35">
        <v>0.56000000000000005</v>
      </c>
      <c r="Y35">
        <v>64897.524565499138</v>
      </c>
      <c r="Z35">
        <v>1</v>
      </c>
      <c r="AA35">
        <f>IF(Table6[[#This Row],[Total Cov]]&gt;=0.7,1,0)</f>
        <v>0</v>
      </c>
    </row>
    <row r="36" spans="14:27" x14ac:dyDescent="0.25">
      <c r="N36">
        <v>113</v>
      </c>
      <c r="O36">
        <v>1</v>
      </c>
      <c r="P36">
        <v>0</v>
      </c>
      <c r="Q36">
        <v>0</v>
      </c>
      <c r="R36">
        <v>1</v>
      </c>
      <c r="S36">
        <v>0.5</v>
      </c>
      <c r="T36">
        <v>0.5</v>
      </c>
      <c r="U36">
        <v>0.5</v>
      </c>
      <c r="V36">
        <v>0.5</v>
      </c>
      <c r="W36">
        <v>3743794.2231537774</v>
      </c>
      <c r="X36">
        <v>0.56999999999999995</v>
      </c>
      <c r="Y36">
        <v>65680.600406206635</v>
      </c>
      <c r="Z36">
        <v>1</v>
      </c>
      <c r="AA36">
        <f>IF(Table6[[#This Row],[Total Cov]]&gt;=0.7,1,0)</f>
        <v>0</v>
      </c>
    </row>
    <row r="37" spans="14:27" x14ac:dyDescent="0.25">
      <c r="N37">
        <v>67</v>
      </c>
      <c r="O37">
        <v>1</v>
      </c>
      <c r="P37">
        <v>0</v>
      </c>
      <c r="Q37">
        <v>0.5</v>
      </c>
      <c r="R37">
        <v>0.5</v>
      </c>
      <c r="S37">
        <v>0.25</v>
      </c>
      <c r="T37">
        <v>0.75</v>
      </c>
      <c r="U37">
        <v>0.75</v>
      </c>
      <c r="V37">
        <v>0.25</v>
      </c>
      <c r="W37">
        <v>3829937.9362122035</v>
      </c>
      <c r="X37">
        <v>0.57999999999999996</v>
      </c>
      <c r="Y37">
        <v>66033.412693313861</v>
      </c>
      <c r="Z37">
        <v>1</v>
      </c>
      <c r="AA37">
        <f>IF(Table6[[#This Row],[Total Cov]]&gt;=0.7,1,0)</f>
        <v>0</v>
      </c>
    </row>
    <row r="38" spans="14:27" x14ac:dyDescent="0.25">
      <c r="N38">
        <v>15</v>
      </c>
      <c r="O38">
        <v>1</v>
      </c>
      <c r="P38">
        <v>0</v>
      </c>
      <c r="Q38">
        <v>1</v>
      </c>
      <c r="R38">
        <v>0</v>
      </c>
      <c r="S38">
        <v>0.5</v>
      </c>
      <c r="T38">
        <v>0.5</v>
      </c>
      <c r="U38">
        <v>0</v>
      </c>
      <c r="V38">
        <v>1</v>
      </c>
      <c r="W38">
        <v>3766594.7048604637</v>
      </c>
      <c r="X38">
        <v>0.59</v>
      </c>
      <c r="Y38">
        <v>63840.588217973964</v>
      </c>
      <c r="Z38">
        <v>1</v>
      </c>
      <c r="AA38">
        <f>IF(Table6[[#This Row],[Total Cov]]&gt;=0.7,1,0)</f>
        <v>0</v>
      </c>
    </row>
    <row r="39" spans="14:27" x14ac:dyDescent="0.25">
      <c r="N39">
        <v>40</v>
      </c>
      <c r="O39">
        <v>1</v>
      </c>
      <c r="P39">
        <v>0</v>
      </c>
      <c r="Q39">
        <v>0.75</v>
      </c>
      <c r="R39">
        <v>0.25</v>
      </c>
      <c r="S39">
        <v>0.5</v>
      </c>
      <c r="T39">
        <v>0.5</v>
      </c>
      <c r="U39">
        <v>0</v>
      </c>
      <c r="V39">
        <v>1</v>
      </c>
      <c r="W39">
        <v>3950871.024551372</v>
      </c>
      <c r="X39">
        <v>0.6</v>
      </c>
      <c r="Y39">
        <v>65847.85040918953</v>
      </c>
      <c r="Z39">
        <v>1</v>
      </c>
      <c r="AA39">
        <f>IF(Table6[[#This Row],[Total Cov]]&gt;=0.7,1,0)</f>
        <v>0</v>
      </c>
    </row>
    <row r="40" spans="14:27" x14ac:dyDescent="0.25">
      <c r="N40">
        <v>117</v>
      </c>
      <c r="O40">
        <v>1</v>
      </c>
      <c r="P40">
        <v>0</v>
      </c>
      <c r="Q40">
        <v>0</v>
      </c>
      <c r="R40">
        <v>1</v>
      </c>
      <c r="S40">
        <v>0.25</v>
      </c>
      <c r="T40">
        <v>0.75</v>
      </c>
      <c r="U40">
        <v>0.75</v>
      </c>
      <c r="V40">
        <v>0.25</v>
      </c>
      <c r="W40">
        <v>4198490.5755940201</v>
      </c>
      <c r="X40">
        <v>0.61</v>
      </c>
      <c r="Y40">
        <v>68827.714354000331</v>
      </c>
      <c r="Z40">
        <v>1</v>
      </c>
      <c r="AA40">
        <f>IF(Table6[[#This Row],[Total Cov]]&gt;=0.7,1,0)</f>
        <v>0</v>
      </c>
    </row>
    <row r="41" spans="14:27" x14ac:dyDescent="0.25">
      <c r="N41">
        <v>71</v>
      </c>
      <c r="O41">
        <v>1</v>
      </c>
      <c r="P41">
        <v>0</v>
      </c>
      <c r="Q41">
        <v>0.5</v>
      </c>
      <c r="R41">
        <v>0.5</v>
      </c>
      <c r="S41">
        <v>0</v>
      </c>
      <c r="T41">
        <v>1</v>
      </c>
      <c r="U41">
        <v>1</v>
      </c>
      <c r="V41">
        <v>0</v>
      </c>
      <c r="W41">
        <v>4284634.2886524452</v>
      </c>
      <c r="X41">
        <v>0.62</v>
      </c>
      <c r="Y41">
        <v>69107.004655684606</v>
      </c>
      <c r="Z41">
        <v>1</v>
      </c>
      <c r="AA41">
        <f>IF(Table6[[#This Row],[Total Cov]]&gt;=0.7,1,0)</f>
        <v>0</v>
      </c>
    </row>
    <row r="42" spans="14:27" x14ac:dyDescent="0.25">
      <c r="N42">
        <v>93</v>
      </c>
      <c r="O42">
        <v>1</v>
      </c>
      <c r="P42">
        <v>0</v>
      </c>
      <c r="Q42">
        <v>0.25</v>
      </c>
      <c r="R42">
        <v>0.75</v>
      </c>
      <c r="S42">
        <v>0.25</v>
      </c>
      <c r="T42">
        <v>0.75</v>
      </c>
      <c r="U42">
        <v>0.5</v>
      </c>
      <c r="V42">
        <v>0.5</v>
      </c>
      <c r="W42">
        <v>4394167.1361382715</v>
      </c>
      <c r="X42">
        <v>0.63</v>
      </c>
      <c r="Y42">
        <v>69748.684700607482</v>
      </c>
      <c r="Z42">
        <v>1</v>
      </c>
      <c r="AA42">
        <f>IF(Table6[[#This Row],[Total Cov]]&gt;=0.7,1,0)</f>
        <v>0</v>
      </c>
    </row>
    <row r="43" spans="14:27" x14ac:dyDescent="0.25">
      <c r="N43">
        <v>96</v>
      </c>
      <c r="O43">
        <v>1</v>
      </c>
      <c r="P43">
        <v>0</v>
      </c>
      <c r="Q43">
        <v>0.25</v>
      </c>
      <c r="R43">
        <v>0.75</v>
      </c>
      <c r="S43">
        <v>0</v>
      </c>
      <c r="T43">
        <v>1</v>
      </c>
      <c r="U43">
        <v>1</v>
      </c>
      <c r="V43">
        <v>0</v>
      </c>
      <c r="W43">
        <v>4468910.6083433535</v>
      </c>
      <c r="X43">
        <v>0.64</v>
      </c>
      <c r="Y43">
        <v>69826.728255364898</v>
      </c>
      <c r="Z43">
        <v>1</v>
      </c>
      <c r="AA43">
        <f>IF(Table6[[#This Row],[Total Cov]]&gt;=0.7,1,0)</f>
        <v>0</v>
      </c>
    </row>
    <row r="44" spans="14:27" x14ac:dyDescent="0.25">
      <c r="N44">
        <v>118</v>
      </c>
      <c r="O44">
        <v>1</v>
      </c>
      <c r="P44">
        <v>0</v>
      </c>
      <c r="Q44">
        <v>0</v>
      </c>
      <c r="R44">
        <v>1</v>
      </c>
      <c r="S44">
        <v>0.25</v>
      </c>
      <c r="T44">
        <v>0.75</v>
      </c>
      <c r="U44">
        <v>0.5</v>
      </c>
      <c r="V44">
        <v>0.5</v>
      </c>
      <c r="W44">
        <v>4578443.4558291808</v>
      </c>
      <c r="X44">
        <v>0.65</v>
      </c>
      <c r="Y44">
        <v>70437.591628141236</v>
      </c>
      <c r="Z44">
        <v>1</v>
      </c>
      <c r="AA44">
        <f>IF(Table6[[#This Row],[Total Cov]]&gt;=0.7,1,0)</f>
        <v>0</v>
      </c>
    </row>
    <row r="45" spans="14:27" x14ac:dyDescent="0.25">
      <c r="N45">
        <v>72</v>
      </c>
      <c r="O45">
        <v>1</v>
      </c>
      <c r="P45">
        <v>0</v>
      </c>
      <c r="Q45">
        <v>0.5</v>
      </c>
      <c r="R45">
        <v>0.5</v>
      </c>
      <c r="S45">
        <v>0</v>
      </c>
      <c r="T45">
        <v>1</v>
      </c>
      <c r="U45">
        <v>0.75</v>
      </c>
      <c r="V45">
        <v>0.25</v>
      </c>
      <c r="W45">
        <v>4664587.168887605</v>
      </c>
      <c r="X45">
        <v>0.66</v>
      </c>
      <c r="Y45">
        <v>70675.563164963707</v>
      </c>
      <c r="Z45">
        <v>1</v>
      </c>
      <c r="AA45">
        <f>IF(Table6[[#This Row],[Total Cov]]&gt;=0.7,1,0)</f>
        <v>0</v>
      </c>
    </row>
    <row r="46" spans="14:27" x14ac:dyDescent="0.25">
      <c r="N46">
        <v>20</v>
      </c>
      <c r="O46">
        <v>1</v>
      </c>
      <c r="P46">
        <v>0</v>
      </c>
      <c r="Q46">
        <v>1</v>
      </c>
      <c r="R46">
        <v>0</v>
      </c>
      <c r="S46">
        <v>0.25</v>
      </c>
      <c r="T46">
        <v>0.75</v>
      </c>
      <c r="U46">
        <v>0</v>
      </c>
      <c r="V46">
        <v>1</v>
      </c>
      <c r="W46">
        <v>4601243.9375358662</v>
      </c>
      <c r="X46">
        <v>0.67</v>
      </c>
      <c r="Y46">
        <v>68675.282649789049</v>
      </c>
      <c r="Z46">
        <v>1</v>
      </c>
      <c r="AA46">
        <f>IF(Table6[[#This Row],[Total Cov]]&gt;=0.7,1,0)</f>
        <v>0</v>
      </c>
    </row>
    <row r="47" spans="14:27" x14ac:dyDescent="0.25">
      <c r="N47">
        <v>97</v>
      </c>
      <c r="O47">
        <v>1</v>
      </c>
      <c r="P47">
        <v>0</v>
      </c>
      <c r="Q47">
        <v>0.25</v>
      </c>
      <c r="R47">
        <v>0.75</v>
      </c>
      <c r="S47">
        <v>0</v>
      </c>
      <c r="T47">
        <v>1</v>
      </c>
      <c r="U47">
        <v>0.75</v>
      </c>
      <c r="V47">
        <v>0.25</v>
      </c>
      <c r="W47">
        <v>4848863.4885785133</v>
      </c>
      <c r="X47">
        <v>0.68</v>
      </c>
      <c r="Y47">
        <v>71306.816008507551</v>
      </c>
      <c r="Z47">
        <v>1</v>
      </c>
      <c r="AA47">
        <f>IF(Table6[[#This Row],[Total Cov]]&gt;=0.7,1,0)</f>
        <v>0</v>
      </c>
    </row>
    <row r="48" spans="14:27" x14ac:dyDescent="0.25">
      <c r="N48">
        <v>122</v>
      </c>
      <c r="O48">
        <v>1</v>
      </c>
      <c r="P48">
        <v>0</v>
      </c>
      <c r="Q48">
        <v>0</v>
      </c>
      <c r="R48">
        <v>1</v>
      </c>
      <c r="S48">
        <v>0</v>
      </c>
      <c r="T48">
        <v>1</v>
      </c>
      <c r="U48">
        <v>0.75</v>
      </c>
      <c r="V48">
        <v>0.25</v>
      </c>
      <c r="W48">
        <v>5033139.8082694225</v>
      </c>
      <c r="X48">
        <v>0.69</v>
      </c>
      <c r="Y48">
        <v>72944.055192310465</v>
      </c>
      <c r="Z48">
        <v>1</v>
      </c>
      <c r="AA48">
        <f>IF(Table6[[#This Row],[Total Cov]]&gt;=0.7,1,0)</f>
        <v>0</v>
      </c>
    </row>
    <row r="49" spans="14:27" x14ac:dyDescent="0.25">
      <c r="N49">
        <v>70</v>
      </c>
      <c r="O49">
        <v>1</v>
      </c>
      <c r="P49">
        <v>0</v>
      </c>
      <c r="Q49">
        <v>0.5</v>
      </c>
      <c r="R49">
        <v>0.5</v>
      </c>
      <c r="S49">
        <v>0.25</v>
      </c>
      <c r="T49">
        <v>0.75</v>
      </c>
      <c r="U49">
        <v>0</v>
      </c>
      <c r="V49">
        <v>1</v>
      </c>
      <c r="W49">
        <v>4969796.5769176837</v>
      </c>
      <c r="X49">
        <v>0.7</v>
      </c>
      <c r="Y49">
        <v>70997.093955966906</v>
      </c>
      <c r="Z49">
        <v>1</v>
      </c>
      <c r="AA49">
        <f>IF(Table6[[#This Row],[Total Cov]]&gt;=0.7,1,0)</f>
        <v>1</v>
      </c>
    </row>
    <row r="50" spans="14:27" x14ac:dyDescent="0.25">
      <c r="N50">
        <v>98</v>
      </c>
      <c r="O50">
        <v>1</v>
      </c>
      <c r="P50">
        <v>0</v>
      </c>
      <c r="Q50">
        <v>0.25</v>
      </c>
      <c r="R50">
        <v>0.75</v>
      </c>
      <c r="S50">
        <v>0</v>
      </c>
      <c r="T50">
        <v>1</v>
      </c>
      <c r="U50">
        <v>0.5</v>
      </c>
      <c r="V50">
        <v>0.5</v>
      </c>
      <c r="W50">
        <v>5228816.368813673</v>
      </c>
      <c r="X50">
        <v>0.71</v>
      </c>
      <c r="Y50">
        <v>73645.300969206655</v>
      </c>
      <c r="Z50">
        <v>1</v>
      </c>
      <c r="AA50">
        <f>IF(Table6[[#This Row],[Total Cov]]&gt;=0.7,1,0)</f>
        <v>1</v>
      </c>
    </row>
    <row r="51" spans="14:27" x14ac:dyDescent="0.25">
      <c r="N51">
        <v>120</v>
      </c>
      <c r="O51">
        <v>1</v>
      </c>
      <c r="P51">
        <v>0</v>
      </c>
      <c r="Q51">
        <v>0</v>
      </c>
      <c r="R51">
        <v>1</v>
      </c>
      <c r="S51">
        <v>0.25</v>
      </c>
      <c r="T51">
        <v>0.75</v>
      </c>
      <c r="U51">
        <v>0</v>
      </c>
      <c r="V51">
        <v>1</v>
      </c>
      <c r="W51">
        <v>5338349.2162995003</v>
      </c>
      <c r="X51">
        <v>0.72</v>
      </c>
      <c r="Y51">
        <v>74143.739115270844</v>
      </c>
      <c r="Z51">
        <v>1</v>
      </c>
      <c r="AA51">
        <f>IF(Table6[[#This Row],[Total Cov]]&gt;=0.7,1,0)</f>
        <v>1</v>
      </c>
    </row>
    <row r="52" spans="14:27" x14ac:dyDescent="0.25">
      <c r="N52">
        <v>123</v>
      </c>
      <c r="O52">
        <v>1</v>
      </c>
      <c r="P52">
        <v>0</v>
      </c>
      <c r="Q52">
        <v>0</v>
      </c>
      <c r="R52">
        <v>1</v>
      </c>
      <c r="S52">
        <v>0</v>
      </c>
      <c r="T52">
        <v>1</v>
      </c>
      <c r="U52">
        <v>0.5</v>
      </c>
      <c r="V52">
        <v>0.5</v>
      </c>
      <c r="W52">
        <v>5413092.6885045823</v>
      </c>
      <c r="X52">
        <v>0.73</v>
      </c>
      <c r="Y52">
        <v>74151.954637049072</v>
      </c>
      <c r="Z52">
        <v>1</v>
      </c>
      <c r="AA52">
        <f>IF(Table6[[#This Row],[Total Cov]]&gt;=0.7,1,0)</f>
        <v>1</v>
      </c>
    </row>
    <row r="53" spans="14:27" x14ac:dyDescent="0.25">
      <c r="N53">
        <v>74</v>
      </c>
      <c r="O53">
        <v>1</v>
      </c>
      <c r="P53">
        <v>0</v>
      </c>
      <c r="Q53">
        <v>0.5</v>
      </c>
      <c r="R53">
        <v>0.5</v>
      </c>
      <c r="S53">
        <v>0</v>
      </c>
      <c r="T53">
        <v>1</v>
      </c>
      <c r="U53">
        <v>0.25</v>
      </c>
      <c r="V53">
        <v>0.75</v>
      </c>
      <c r="W53">
        <v>5424492.9293579245</v>
      </c>
      <c r="X53">
        <v>0.74</v>
      </c>
      <c r="Y53">
        <v>73303.958504836817</v>
      </c>
      <c r="Z53">
        <v>1</v>
      </c>
      <c r="AA53">
        <f>IF(Table6[[#This Row],[Total Cov]]&gt;=0.7,1,0)</f>
        <v>1</v>
      </c>
    </row>
    <row r="54" spans="14:27" x14ac:dyDescent="0.25">
      <c r="N54">
        <v>25</v>
      </c>
      <c r="O54">
        <v>1</v>
      </c>
      <c r="P54">
        <v>0</v>
      </c>
      <c r="Q54">
        <v>1</v>
      </c>
      <c r="R54">
        <v>0</v>
      </c>
      <c r="S54">
        <v>0</v>
      </c>
      <c r="T54">
        <v>1</v>
      </c>
      <c r="U54">
        <v>0</v>
      </c>
      <c r="V54">
        <v>1</v>
      </c>
      <c r="W54">
        <v>5435893.1702112686</v>
      </c>
      <c r="X54">
        <v>0.75</v>
      </c>
      <c r="Y54">
        <v>72478.575602816913</v>
      </c>
      <c r="Z54">
        <v>1</v>
      </c>
      <c r="AA54">
        <f>IF(Table6[[#This Row],[Total Cov]]&gt;=0.7,1,0)</f>
        <v>1</v>
      </c>
    </row>
    <row r="55" spans="14:27" x14ac:dyDescent="0.25">
      <c r="N55">
        <v>50</v>
      </c>
      <c r="O55">
        <v>1</v>
      </c>
      <c r="P55">
        <v>0</v>
      </c>
      <c r="Q55">
        <v>0.75</v>
      </c>
      <c r="R55">
        <v>0.25</v>
      </c>
      <c r="S55">
        <v>0</v>
      </c>
      <c r="T55">
        <v>1</v>
      </c>
      <c r="U55">
        <v>0</v>
      </c>
      <c r="V55">
        <v>1</v>
      </c>
      <c r="W55">
        <v>5620169.489902176</v>
      </c>
      <c r="X55">
        <v>0.76</v>
      </c>
      <c r="Y55">
        <v>73949.598551344418</v>
      </c>
      <c r="Z55">
        <v>1</v>
      </c>
      <c r="AA55">
        <f>IF(Table6[[#This Row],[Total Cov]]&gt;=0.7,1,0)</f>
        <v>1</v>
      </c>
    </row>
    <row r="56" spans="14:27" x14ac:dyDescent="0.25">
      <c r="N56">
        <v>124</v>
      </c>
      <c r="O56">
        <v>1</v>
      </c>
      <c r="P56">
        <v>0</v>
      </c>
      <c r="Q56">
        <v>0</v>
      </c>
      <c r="R56">
        <v>1</v>
      </c>
      <c r="S56">
        <v>0</v>
      </c>
      <c r="T56">
        <v>1</v>
      </c>
      <c r="U56">
        <v>0.25</v>
      </c>
      <c r="V56">
        <v>0.75</v>
      </c>
      <c r="W56">
        <v>5793045.568739742</v>
      </c>
      <c r="X56">
        <v>0.77</v>
      </c>
      <c r="Y56">
        <v>75234.35803558107</v>
      </c>
      <c r="Z56">
        <v>1</v>
      </c>
      <c r="AA56">
        <f>IF(Table6[[#This Row],[Total Cov]]&gt;=0.7,1,0)</f>
        <v>1</v>
      </c>
    </row>
    <row r="57" spans="14:27" x14ac:dyDescent="0.25">
      <c r="N57">
        <v>75</v>
      </c>
      <c r="O57">
        <v>1</v>
      </c>
      <c r="P57">
        <v>0</v>
      </c>
      <c r="Q57">
        <v>0.5</v>
      </c>
      <c r="R57">
        <v>0.5</v>
      </c>
      <c r="S57">
        <v>0</v>
      </c>
      <c r="T57">
        <v>1</v>
      </c>
      <c r="U57">
        <v>0</v>
      </c>
      <c r="V57">
        <v>1</v>
      </c>
      <c r="W57">
        <v>5804445.8095930852</v>
      </c>
      <c r="X57">
        <v>0.78</v>
      </c>
      <c r="Y57">
        <v>74415.971917860064</v>
      </c>
      <c r="Z57">
        <v>1</v>
      </c>
      <c r="AA57">
        <f>IF(Table6[[#This Row],[Total Cov]]&gt;=0.7,1,0)</f>
        <v>1</v>
      </c>
    </row>
    <row r="58" spans="14:27" x14ac:dyDescent="0.25">
      <c r="N58">
        <v>249</v>
      </c>
      <c r="O58">
        <v>0.75</v>
      </c>
      <c r="P58">
        <v>0.25</v>
      </c>
      <c r="Q58">
        <v>0</v>
      </c>
      <c r="R58">
        <v>1</v>
      </c>
      <c r="S58">
        <v>0</v>
      </c>
      <c r="T58">
        <v>1</v>
      </c>
      <c r="U58">
        <v>0.25</v>
      </c>
      <c r="V58">
        <v>0.75</v>
      </c>
      <c r="W58">
        <v>6286067.2726393975</v>
      </c>
      <c r="X58">
        <v>0.79</v>
      </c>
      <c r="Y58">
        <v>79570.471805561989</v>
      </c>
      <c r="Z58">
        <v>1</v>
      </c>
      <c r="AA58">
        <f>IF(Table6[[#This Row],[Total Cov]]&gt;=0.7,1,0)</f>
        <v>1</v>
      </c>
    </row>
    <row r="59" spans="14:27" x14ac:dyDescent="0.25">
      <c r="N59">
        <v>200</v>
      </c>
      <c r="O59">
        <v>0.75</v>
      </c>
      <c r="P59">
        <v>0.25</v>
      </c>
      <c r="Q59">
        <v>0.5</v>
      </c>
      <c r="R59">
        <v>0.5</v>
      </c>
      <c r="S59">
        <v>0</v>
      </c>
      <c r="T59">
        <v>1</v>
      </c>
      <c r="U59">
        <v>0</v>
      </c>
      <c r="V59">
        <v>1</v>
      </c>
      <c r="W59">
        <v>6297467.5134927407</v>
      </c>
      <c r="X59">
        <v>0.8</v>
      </c>
      <c r="Y59">
        <v>78718.343918659259</v>
      </c>
      <c r="Z59">
        <v>1</v>
      </c>
      <c r="AA59">
        <f>IF(Table6[[#This Row],[Total Cov]]&gt;=0.7,1,0)</f>
        <v>1</v>
      </c>
    </row>
    <row r="60" spans="14:27" x14ac:dyDescent="0.25">
      <c r="N60">
        <v>125</v>
      </c>
      <c r="O60">
        <v>1</v>
      </c>
      <c r="P60">
        <v>0</v>
      </c>
      <c r="Q60">
        <v>0</v>
      </c>
      <c r="R60">
        <v>1</v>
      </c>
      <c r="S60">
        <v>0</v>
      </c>
      <c r="T60">
        <v>1</v>
      </c>
      <c r="U60">
        <v>0</v>
      </c>
      <c r="V60">
        <v>1</v>
      </c>
      <c r="W60">
        <v>6172998.4489749018</v>
      </c>
      <c r="X60">
        <v>0.81</v>
      </c>
      <c r="Y60">
        <v>76209.857394751874</v>
      </c>
      <c r="Z60">
        <v>1</v>
      </c>
      <c r="AA60">
        <f>IF(Table6[[#This Row],[Total Cov]]&gt;=0.7,1,0)</f>
        <v>1</v>
      </c>
    </row>
    <row r="61" spans="14:27" x14ac:dyDescent="0.25">
      <c r="N61">
        <v>225</v>
      </c>
      <c r="O61">
        <v>0.75</v>
      </c>
      <c r="P61">
        <v>0.25</v>
      </c>
      <c r="Q61">
        <v>0.25</v>
      </c>
      <c r="R61">
        <v>0.75</v>
      </c>
      <c r="S61">
        <v>0</v>
      </c>
      <c r="T61">
        <v>1</v>
      </c>
      <c r="U61">
        <v>0</v>
      </c>
      <c r="V61">
        <v>1</v>
      </c>
      <c r="W61">
        <v>6481743.8331836499</v>
      </c>
      <c r="X61">
        <v>0.82</v>
      </c>
      <c r="Y61">
        <v>79045.656502239639</v>
      </c>
      <c r="Z61">
        <v>1</v>
      </c>
      <c r="AA61">
        <f>IF(Table6[[#This Row],[Total Cov]]&gt;=0.7,1,0)</f>
        <v>1</v>
      </c>
    </row>
    <row r="62" spans="14:27" x14ac:dyDescent="0.25">
      <c r="N62">
        <v>250</v>
      </c>
      <c r="O62">
        <v>0.75</v>
      </c>
      <c r="P62">
        <v>0.25</v>
      </c>
      <c r="Q62">
        <v>0</v>
      </c>
      <c r="R62">
        <v>1</v>
      </c>
      <c r="S62">
        <v>0</v>
      </c>
      <c r="T62">
        <v>1</v>
      </c>
      <c r="U62">
        <v>0</v>
      </c>
      <c r="V62">
        <v>1</v>
      </c>
      <c r="W62">
        <v>6666020.1528745573</v>
      </c>
      <c r="X62">
        <v>0.83</v>
      </c>
      <c r="Y62">
        <v>80313.495817765754</v>
      </c>
      <c r="Z62">
        <v>1</v>
      </c>
      <c r="AA62">
        <f>IF(Table6[[#This Row],[Total Cov]]&gt;=0.7,1,0)</f>
        <v>1</v>
      </c>
    </row>
    <row r="63" spans="14:27" x14ac:dyDescent="0.25">
      <c r="N63">
        <v>350</v>
      </c>
      <c r="O63">
        <v>0.5</v>
      </c>
      <c r="P63">
        <v>0.5</v>
      </c>
      <c r="Q63">
        <v>0.25</v>
      </c>
      <c r="R63">
        <v>0.75</v>
      </c>
      <c r="S63">
        <v>0</v>
      </c>
      <c r="T63">
        <v>1</v>
      </c>
      <c r="U63">
        <v>0</v>
      </c>
      <c r="V63">
        <v>1</v>
      </c>
      <c r="W63">
        <v>6974765.5370833054</v>
      </c>
      <c r="X63">
        <v>0.84</v>
      </c>
      <c r="Y63">
        <v>83032.923060515546</v>
      </c>
      <c r="Z63">
        <v>1</v>
      </c>
      <c r="AA63">
        <f>IF(Table6[[#This Row],[Total Cov]]&gt;=0.7,1,0)</f>
        <v>1</v>
      </c>
    </row>
    <row r="64" spans="14:27" x14ac:dyDescent="0.25">
      <c r="N64">
        <v>375</v>
      </c>
      <c r="O64">
        <v>0.5</v>
      </c>
      <c r="P64">
        <v>0.5</v>
      </c>
      <c r="Q64">
        <v>0</v>
      </c>
      <c r="R64">
        <v>1</v>
      </c>
      <c r="S64">
        <v>0</v>
      </c>
      <c r="T64">
        <v>1</v>
      </c>
      <c r="U64">
        <v>0</v>
      </c>
      <c r="V64">
        <v>1</v>
      </c>
      <c r="W64">
        <v>7159041.8567742137</v>
      </c>
      <c r="X64">
        <v>0.85</v>
      </c>
      <c r="Y64">
        <v>84224.021844402509</v>
      </c>
      <c r="Z64">
        <v>1</v>
      </c>
      <c r="AA64">
        <f>IF(Table6[[#This Row],[Total Cov]]&gt;=0.7,1,0)</f>
        <v>1</v>
      </c>
    </row>
    <row r="65" spans="14:27" x14ac:dyDescent="0.25">
      <c r="N65">
        <v>475</v>
      </c>
      <c r="O65">
        <v>0.25</v>
      </c>
      <c r="P65">
        <v>0.75</v>
      </c>
      <c r="Q65">
        <v>0.25</v>
      </c>
      <c r="R65">
        <v>0.75</v>
      </c>
      <c r="S65">
        <v>0</v>
      </c>
      <c r="T65">
        <v>1</v>
      </c>
      <c r="U65">
        <v>0</v>
      </c>
      <c r="V65">
        <v>1</v>
      </c>
      <c r="W65">
        <v>7467787.2409829609</v>
      </c>
      <c r="X65">
        <v>0.86</v>
      </c>
      <c r="Y65">
        <v>86834.73536026699</v>
      </c>
      <c r="Z65">
        <v>1</v>
      </c>
      <c r="AA65">
        <f>IF(Table6[[#This Row],[Total Cov]]&gt;=0.7,1,0)</f>
        <v>1</v>
      </c>
    </row>
    <row r="66" spans="14:27" x14ac:dyDescent="0.25">
      <c r="N66">
        <v>575</v>
      </c>
      <c r="O66">
        <v>0</v>
      </c>
      <c r="P66">
        <v>1</v>
      </c>
      <c r="Q66">
        <v>0.5</v>
      </c>
      <c r="R66">
        <v>0.5</v>
      </c>
      <c r="S66">
        <v>0</v>
      </c>
      <c r="T66">
        <v>1</v>
      </c>
      <c r="U66">
        <v>0</v>
      </c>
      <c r="V66">
        <v>1</v>
      </c>
      <c r="W66">
        <v>7776532.625191709</v>
      </c>
      <c r="X66">
        <v>0.87</v>
      </c>
      <c r="Y66">
        <v>89385.432473467925</v>
      </c>
      <c r="Z66">
        <v>1</v>
      </c>
      <c r="AA66">
        <f>IF(Table6[[#This Row],[Total Cov]]&gt;=0.7,1,0)</f>
        <v>1</v>
      </c>
    </row>
    <row r="67" spans="14:27" x14ac:dyDescent="0.25">
      <c r="N67">
        <v>500</v>
      </c>
      <c r="O67">
        <v>0.25</v>
      </c>
      <c r="P67">
        <v>0.75</v>
      </c>
      <c r="Q67">
        <v>0</v>
      </c>
      <c r="R67">
        <v>1</v>
      </c>
      <c r="S67">
        <v>0</v>
      </c>
      <c r="T67">
        <v>1</v>
      </c>
      <c r="U67">
        <v>0</v>
      </c>
      <c r="V67">
        <v>1</v>
      </c>
      <c r="W67">
        <v>7652063.5606738701</v>
      </c>
      <c r="X67">
        <v>0.88</v>
      </c>
      <c r="Y67">
        <v>86955.267734930341</v>
      </c>
      <c r="Z67">
        <v>1</v>
      </c>
      <c r="AA67">
        <f>IF(Table6[[#This Row],[Total Cov]]&gt;=0.7,1,0)</f>
        <v>1</v>
      </c>
    </row>
    <row r="68" spans="14:27" x14ac:dyDescent="0.25">
      <c r="N68">
        <v>600</v>
      </c>
      <c r="O68">
        <v>0</v>
      </c>
      <c r="P68">
        <v>1</v>
      </c>
      <c r="Q68">
        <v>0.25</v>
      </c>
      <c r="R68">
        <v>0.75</v>
      </c>
      <c r="S68">
        <v>0</v>
      </c>
      <c r="T68">
        <v>1</v>
      </c>
      <c r="U68">
        <v>0</v>
      </c>
      <c r="V68">
        <v>1</v>
      </c>
      <c r="W68">
        <v>8067218.5737808663</v>
      </c>
      <c r="X68">
        <v>0.89</v>
      </c>
      <c r="Y68">
        <v>90642.905323380517</v>
      </c>
      <c r="Z68">
        <v>1</v>
      </c>
      <c r="AA68">
        <f>IF(Table6[[#This Row],[Total Cov]]&gt;=0.7,1,0)</f>
        <v>1</v>
      </c>
    </row>
    <row r="69" spans="14:27" x14ac:dyDescent="0.25">
      <c r="N69">
        <v>625</v>
      </c>
      <c r="O69">
        <v>0</v>
      </c>
      <c r="P69">
        <v>1</v>
      </c>
      <c r="Q69">
        <v>0</v>
      </c>
      <c r="R69">
        <v>1</v>
      </c>
      <c r="S69">
        <v>0</v>
      </c>
      <c r="T69">
        <v>1</v>
      </c>
      <c r="U69">
        <v>0</v>
      </c>
      <c r="V69">
        <v>1</v>
      </c>
      <c r="W69">
        <v>8145085.2645735256</v>
      </c>
      <c r="X69">
        <v>0.9</v>
      </c>
      <c r="Y69">
        <v>90500.947384150291</v>
      </c>
      <c r="Z69">
        <v>1</v>
      </c>
      <c r="AA69">
        <f>IF(Table6[[#This Row],[Total Cov]]&gt;=0.7,1,0)</f>
        <v>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16CA-BAC8-4A80-8991-1BE4A70E6D54}">
  <dimension ref="A1:L45"/>
  <sheetViews>
    <sheetView workbookViewId="0">
      <selection activeCell="E2" sqref="E2"/>
    </sheetView>
  </sheetViews>
  <sheetFormatPr defaultColWidth="11.42578125" defaultRowHeight="15" x14ac:dyDescent="0.25"/>
  <cols>
    <col min="1" max="1" width="11.42578125" style="13"/>
    <col min="2" max="2" width="13.7109375" style="13" bestFit="1" customWidth="1"/>
    <col min="3" max="3" width="22.42578125" style="13" customWidth="1"/>
    <col min="4" max="4" width="26.140625" style="13" bestFit="1" customWidth="1"/>
    <col min="5" max="5" width="20" style="13" customWidth="1"/>
    <col min="6" max="6" width="24.42578125" style="13" bestFit="1" customWidth="1"/>
    <col min="7" max="8" width="20" style="13" customWidth="1"/>
    <col min="9" max="9" width="22.42578125" style="13" customWidth="1"/>
    <col min="10" max="10" width="21.42578125" style="13" customWidth="1"/>
    <col min="11" max="11" width="25.42578125" style="13" bestFit="1" customWidth="1"/>
    <col min="12" max="12" width="17.85546875" style="13" customWidth="1"/>
    <col min="13" max="13" width="2.85546875" style="13" customWidth="1"/>
    <col min="14" max="16384" width="11.42578125" style="13"/>
  </cols>
  <sheetData>
    <row r="1" spans="1:12" ht="60" x14ac:dyDescent="0.25">
      <c r="A1" s="30" t="s">
        <v>67</v>
      </c>
      <c r="B1" s="7" t="s">
        <v>13</v>
      </c>
      <c r="C1" s="8" t="s">
        <v>14</v>
      </c>
      <c r="D1" s="9" t="s">
        <v>15</v>
      </c>
      <c r="E1" s="10" t="s">
        <v>16</v>
      </c>
      <c r="F1" s="29" t="s">
        <v>68</v>
      </c>
      <c r="G1" s="89" t="s">
        <v>99</v>
      </c>
      <c r="H1" s="89" t="s">
        <v>100</v>
      </c>
      <c r="I1" s="11" t="s">
        <v>10</v>
      </c>
      <c r="J1" s="12" t="s">
        <v>17</v>
      </c>
      <c r="K1" s="12" t="s">
        <v>18</v>
      </c>
      <c r="L1" s="12" t="s">
        <v>19</v>
      </c>
    </row>
    <row r="2" spans="1:12" x14ac:dyDescent="0.25">
      <c r="A2" s="31">
        <v>1</v>
      </c>
      <c r="B2" s="16" t="s">
        <v>20</v>
      </c>
      <c r="C2" s="14">
        <v>2416000</v>
      </c>
      <c r="D2" s="15">
        <f t="shared" ref="D2:D27" si="0">C2*D$29</f>
        <v>350320</v>
      </c>
      <c r="E2" s="134">
        <f>D2*1.170573</f>
        <v>410075.13336000004</v>
      </c>
      <c r="F2" s="135">
        <f>E2/E$28</f>
        <v>2.4560333434990343E-2</v>
      </c>
      <c r="G2" s="128">
        <v>0.44695859995635101</v>
      </c>
      <c r="H2" s="128">
        <v>0.55304140004364899</v>
      </c>
      <c r="I2" s="16" t="s">
        <v>21</v>
      </c>
      <c r="J2" s="197" t="s">
        <v>22</v>
      </c>
      <c r="K2" s="198">
        <v>0.13855982999999999</v>
      </c>
      <c r="L2" s="199">
        <f>SUM(E2:E4)</f>
        <v>1810542.817695</v>
      </c>
    </row>
    <row r="3" spans="1:12" x14ac:dyDescent="0.25">
      <c r="A3" s="15">
        <v>2</v>
      </c>
      <c r="B3" s="16" t="s">
        <v>23</v>
      </c>
      <c r="C3" s="14">
        <v>6169000</v>
      </c>
      <c r="D3" s="15">
        <f t="shared" si="0"/>
        <v>894504.99999999988</v>
      </c>
      <c r="E3" s="134">
        <f t="shared" ref="E3:E27" si="1">D3*1.170573</f>
        <v>1047083.4013649999</v>
      </c>
      <c r="F3" s="135">
        <f t="shared" ref="F2:F28" si="2">E3/E$28</f>
        <v>6.2712209006811015E-2</v>
      </c>
      <c r="G3" s="128">
        <v>0.76320922787128898</v>
      </c>
      <c r="H3" s="128">
        <v>0.23679077212871</v>
      </c>
      <c r="I3" s="16" t="s">
        <v>21</v>
      </c>
      <c r="J3" s="197"/>
      <c r="K3" s="198"/>
      <c r="L3" s="199"/>
    </row>
    <row r="4" spans="1:12" x14ac:dyDescent="0.25">
      <c r="A4" s="31">
        <v>3</v>
      </c>
      <c r="B4" s="16" t="s">
        <v>24</v>
      </c>
      <c r="C4" s="14">
        <v>2082000</v>
      </c>
      <c r="D4" s="15">
        <f t="shared" si="0"/>
        <v>301890</v>
      </c>
      <c r="E4" s="134">
        <f t="shared" si="1"/>
        <v>353384.28297</v>
      </c>
      <c r="F4" s="135">
        <f t="shared" si="2"/>
        <v>2.1164989326014027E-2</v>
      </c>
      <c r="G4" s="128">
        <v>0.62908642735921705</v>
      </c>
      <c r="H4" s="128">
        <v>0.37091357264078301</v>
      </c>
      <c r="I4" s="16" t="s">
        <v>21</v>
      </c>
      <c r="J4" s="197"/>
      <c r="K4" s="198"/>
      <c r="L4" s="199"/>
    </row>
    <row r="5" spans="1:12" x14ac:dyDescent="0.25">
      <c r="A5" s="15">
        <v>4</v>
      </c>
      <c r="B5" s="16" t="s">
        <v>25</v>
      </c>
      <c r="C5" s="14">
        <v>6365000</v>
      </c>
      <c r="D5" s="15">
        <f t="shared" si="0"/>
        <v>922924.99999999988</v>
      </c>
      <c r="E5" s="134">
        <f t="shared" si="1"/>
        <v>1080351.0860249999</v>
      </c>
      <c r="F5" s="135">
        <f>E5/E$28</f>
        <v>6.4704686388126445E-2</v>
      </c>
      <c r="G5" s="128">
        <v>0.84661239623818696</v>
      </c>
      <c r="H5" s="128">
        <v>0.15338760376181301</v>
      </c>
      <c r="I5" s="16" t="s">
        <v>26</v>
      </c>
      <c r="J5" s="17" t="s">
        <v>27</v>
      </c>
      <c r="K5" s="18">
        <v>4.6985230000000003E-2</v>
      </c>
      <c r="L5" s="19">
        <f>E5</f>
        <v>1080351.0860249999</v>
      </c>
    </row>
    <row r="6" spans="1:12" x14ac:dyDescent="0.25">
      <c r="A6" s="31">
        <v>5</v>
      </c>
      <c r="B6" s="16" t="s">
        <v>28</v>
      </c>
      <c r="C6" s="14">
        <v>1712000</v>
      </c>
      <c r="D6" s="15">
        <f t="shared" si="0"/>
        <v>248239.99999999997</v>
      </c>
      <c r="E6" s="134">
        <f t="shared" si="1"/>
        <v>290583.04151999997</v>
      </c>
      <c r="F6" s="135">
        <f t="shared" si="2"/>
        <v>1.7403679983734877E-2</v>
      </c>
      <c r="G6" s="128">
        <v>0.42019298279714001</v>
      </c>
      <c r="H6" s="128">
        <v>0.57980701720285999</v>
      </c>
      <c r="I6" s="16" t="s">
        <v>28</v>
      </c>
      <c r="J6" s="197" t="s">
        <v>29</v>
      </c>
      <c r="K6" s="198">
        <v>0.15573007</v>
      </c>
      <c r="L6" s="199">
        <f>SUM(E6:E10)</f>
        <v>1634699.341635</v>
      </c>
    </row>
    <row r="7" spans="1:12" x14ac:dyDescent="0.25">
      <c r="A7" s="15">
        <v>6</v>
      </c>
      <c r="B7" s="16" t="s">
        <v>30</v>
      </c>
      <c r="C7" s="14">
        <v>1950000</v>
      </c>
      <c r="D7" s="15">
        <f t="shared" si="0"/>
        <v>282750</v>
      </c>
      <c r="E7" s="134">
        <f t="shared" si="1"/>
        <v>330979.51575000002</v>
      </c>
      <c r="F7" s="135">
        <f t="shared" si="2"/>
        <v>1.9823116803903629E-2</v>
      </c>
      <c r="G7" s="128">
        <v>0.74943695212407302</v>
      </c>
      <c r="H7" s="128">
        <v>0.25056304787592698</v>
      </c>
      <c r="I7" s="16" t="s">
        <v>28</v>
      </c>
      <c r="J7" s="197"/>
      <c r="K7" s="198"/>
      <c r="L7" s="199"/>
    </row>
    <row r="8" spans="1:12" x14ac:dyDescent="0.25">
      <c r="A8" s="31">
        <v>7</v>
      </c>
      <c r="B8" s="16" t="s">
        <v>31</v>
      </c>
      <c r="C8" s="14">
        <v>1425000</v>
      </c>
      <c r="D8" s="15">
        <f t="shared" si="0"/>
        <v>206625</v>
      </c>
      <c r="E8" s="134">
        <f t="shared" si="1"/>
        <v>241869.64612500003</v>
      </c>
      <c r="F8" s="135">
        <f t="shared" si="2"/>
        <v>1.4486123818237268E-2</v>
      </c>
      <c r="G8" s="128">
        <v>0.95840285791311997</v>
      </c>
      <c r="H8" s="128">
        <v>4.1597142086880499E-2</v>
      </c>
      <c r="I8" s="16" t="s">
        <v>28</v>
      </c>
      <c r="J8" s="197"/>
      <c r="K8" s="198"/>
      <c r="L8" s="199"/>
    </row>
    <row r="9" spans="1:12" x14ac:dyDescent="0.25">
      <c r="A9" s="15">
        <v>8</v>
      </c>
      <c r="B9" s="16" t="s">
        <v>32</v>
      </c>
      <c r="C9" s="14">
        <v>2755000</v>
      </c>
      <c r="D9" s="15">
        <f t="shared" si="0"/>
        <v>399475</v>
      </c>
      <c r="E9" s="134">
        <f t="shared" si="1"/>
        <v>467614.64917500003</v>
      </c>
      <c r="F9" s="135">
        <f t="shared" si="2"/>
        <v>2.8006506048592051E-2</v>
      </c>
      <c r="G9" s="128">
        <v>0.43962132763316503</v>
      </c>
      <c r="H9" s="128">
        <v>0.56037867236683503</v>
      </c>
      <c r="I9" s="16" t="s">
        <v>28</v>
      </c>
      <c r="J9" s="197"/>
      <c r="K9" s="198"/>
      <c r="L9" s="199"/>
    </row>
    <row r="10" spans="1:12" x14ac:dyDescent="0.25">
      <c r="A10" s="31">
        <v>9</v>
      </c>
      <c r="B10" s="16" t="s">
        <v>33</v>
      </c>
      <c r="C10" s="14">
        <v>1789000</v>
      </c>
      <c r="D10" s="15">
        <f t="shared" si="0"/>
        <v>259404.99999999997</v>
      </c>
      <c r="E10" s="134">
        <f t="shared" si="1"/>
        <v>303652.48906499997</v>
      </c>
      <c r="F10" s="135">
        <f t="shared" si="2"/>
        <v>1.8186438954965942E-2</v>
      </c>
      <c r="G10" s="128">
        <v>0.39646538087404998</v>
      </c>
      <c r="H10" s="128">
        <v>0.60353461912594997</v>
      </c>
      <c r="I10" s="16" t="s">
        <v>28</v>
      </c>
      <c r="J10" s="197"/>
      <c r="K10" s="198"/>
      <c r="L10" s="199"/>
    </row>
    <row r="11" spans="1:12" x14ac:dyDescent="0.25">
      <c r="A11" s="15">
        <v>10</v>
      </c>
      <c r="B11" s="16" t="s">
        <v>34</v>
      </c>
      <c r="C11" s="14">
        <v>3165000</v>
      </c>
      <c r="D11" s="15">
        <f t="shared" si="0"/>
        <v>458924.99999999994</v>
      </c>
      <c r="E11" s="134">
        <f t="shared" si="1"/>
        <v>537205.21402499999</v>
      </c>
      <c r="F11" s="135">
        <f t="shared" si="2"/>
        <v>3.2174443427874351E-2</v>
      </c>
      <c r="G11" s="128">
        <v>0.80663819884827503</v>
      </c>
      <c r="H11" s="128">
        <v>0.19336180115172499</v>
      </c>
      <c r="I11" s="16" t="s">
        <v>35</v>
      </c>
      <c r="J11" s="197" t="s">
        <v>36</v>
      </c>
      <c r="K11" s="198">
        <v>9.1175300000000001E-2</v>
      </c>
      <c r="L11" s="199">
        <f>SUM(E11:E12)</f>
        <v>1172516.15118</v>
      </c>
    </row>
    <row r="12" spans="1:12" x14ac:dyDescent="0.25">
      <c r="A12" s="31">
        <v>11</v>
      </c>
      <c r="B12" s="16" t="s">
        <v>37</v>
      </c>
      <c r="C12" s="14">
        <v>3743000</v>
      </c>
      <c r="D12" s="15">
        <f t="shared" si="0"/>
        <v>542735</v>
      </c>
      <c r="E12" s="134">
        <f t="shared" si="1"/>
        <v>635310.93715500005</v>
      </c>
      <c r="F12" s="135">
        <f t="shared" si="2"/>
        <v>3.805021856256989E-2</v>
      </c>
      <c r="G12" s="128">
        <v>0.94607708409607305</v>
      </c>
      <c r="H12" s="128">
        <v>5.3922915903927102E-2</v>
      </c>
      <c r="I12" s="16" t="s">
        <v>35</v>
      </c>
      <c r="J12" s="197"/>
      <c r="K12" s="198"/>
      <c r="L12" s="199"/>
    </row>
    <row r="13" spans="1:12" x14ac:dyDescent="0.25">
      <c r="A13" s="15">
        <v>12</v>
      </c>
      <c r="B13" s="16" t="s">
        <v>38</v>
      </c>
      <c r="C13" s="14">
        <v>3601000</v>
      </c>
      <c r="D13" s="15">
        <f t="shared" si="0"/>
        <v>522144.99999999994</v>
      </c>
      <c r="E13" s="134">
        <f t="shared" si="1"/>
        <v>611208.83908499999</v>
      </c>
      <c r="F13" s="135">
        <f t="shared" si="2"/>
        <v>3.66066890312087E-2</v>
      </c>
      <c r="G13" s="128">
        <v>1</v>
      </c>
      <c r="H13" s="128">
        <v>0</v>
      </c>
      <c r="I13" s="16" t="s">
        <v>38</v>
      </c>
      <c r="J13" s="197" t="s">
        <v>39</v>
      </c>
      <c r="K13" s="198">
        <v>0.12019167</v>
      </c>
      <c r="L13" s="199">
        <f>SUM(E13:E15)</f>
        <v>1496876.0766150001</v>
      </c>
    </row>
    <row r="14" spans="1:12" x14ac:dyDescent="0.25">
      <c r="A14" s="31">
        <v>13</v>
      </c>
      <c r="B14" s="16" t="s">
        <v>40</v>
      </c>
      <c r="C14" s="14">
        <v>2801000</v>
      </c>
      <c r="D14" s="15">
        <f t="shared" si="0"/>
        <v>406145</v>
      </c>
      <c r="E14" s="134">
        <f t="shared" si="1"/>
        <v>475422.37108500005</v>
      </c>
      <c r="F14" s="135">
        <f t="shared" si="2"/>
        <v>2.8474128291145675E-2</v>
      </c>
      <c r="G14" s="128">
        <v>0.82054623340529098</v>
      </c>
      <c r="H14" s="128">
        <v>0.17945376659470899</v>
      </c>
      <c r="I14" s="16" t="s">
        <v>38</v>
      </c>
      <c r="J14" s="197"/>
      <c r="K14" s="198"/>
      <c r="L14" s="199"/>
    </row>
    <row r="15" spans="1:12" x14ac:dyDescent="0.25">
      <c r="A15" s="15">
        <v>14</v>
      </c>
      <c r="B15" s="16" t="s">
        <v>41</v>
      </c>
      <c r="C15" s="14">
        <v>2417000</v>
      </c>
      <c r="D15" s="15">
        <f t="shared" si="0"/>
        <v>350465</v>
      </c>
      <c r="E15" s="134">
        <f t="shared" si="1"/>
        <v>410244.86644500005</v>
      </c>
      <c r="F15" s="135">
        <f t="shared" si="2"/>
        <v>2.4570499135915424E-2</v>
      </c>
      <c r="G15" s="128">
        <v>0.333469467065939</v>
      </c>
      <c r="H15" s="128">
        <v>0.66653053293406095</v>
      </c>
      <c r="I15" s="16" t="s">
        <v>38</v>
      </c>
      <c r="J15" s="197"/>
      <c r="K15" s="198"/>
      <c r="L15" s="199"/>
    </row>
    <row r="16" spans="1:12" x14ac:dyDescent="0.25">
      <c r="A16" s="31">
        <v>15</v>
      </c>
      <c r="B16" s="16" t="s">
        <v>42</v>
      </c>
      <c r="C16" s="14">
        <v>5378000</v>
      </c>
      <c r="D16" s="15">
        <f t="shared" si="0"/>
        <v>779810</v>
      </c>
      <c r="E16" s="134">
        <f t="shared" si="1"/>
        <v>912824.53113000002</v>
      </c>
      <c r="F16" s="135">
        <f t="shared" si="2"/>
        <v>5.4671139575073698E-2</v>
      </c>
      <c r="G16" s="128">
        <v>0.74905234116793296</v>
      </c>
      <c r="H16" s="128">
        <v>0.25094765883206699</v>
      </c>
      <c r="I16" s="16" t="s">
        <v>43</v>
      </c>
      <c r="J16" s="197" t="s">
        <v>44</v>
      </c>
      <c r="K16" s="198">
        <v>0.12578197999999999</v>
      </c>
      <c r="L16" s="199">
        <f>SUM(E16:E19)</f>
        <v>2611343.5127249998</v>
      </c>
    </row>
    <row r="17" spans="1:12" x14ac:dyDescent="0.25">
      <c r="A17" s="15">
        <v>16</v>
      </c>
      <c r="B17" s="16" t="s">
        <v>45</v>
      </c>
      <c r="C17" s="14">
        <v>3444000</v>
      </c>
      <c r="D17" s="15">
        <f t="shared" si="0"/>
        <v>499379.99999999994</v>
      </c>
      <c r="E17" s="134">
        <f t="shared" si="1"/>
        <v>584560.74473999999</v>
      </c>
      <c r="F17" s="135">
        <f t="shared" si="2"/>
        <v>3.5010673985971331E-2</v>
      </c>
      <c r="G17" s="128">
        <v>0.57402055427095799</v>
      </c>
      <c r="H17" s="128">
        <v>0.42597944572904201</v>
      </c>
      <c r="I17" s="16" t="s">
        <v>43</v>
      </c>
      <c r="J17" s="197"/>
      <c r="K17" s="198"/>
      <c r="L17" s="199"/>
    </row>
    <row r="18" spans="1:12" x14ac:dyDescent="0.25">
      <c r="A18" s="31">
        <v>17</v>
      </c>
      <c r="B18" s="16" t="s">
        <v>46</v>
      </c>
      <c r="C18" s="14">
        <v>2993000</v>
      </c>
      <c r="D18" s="15">
        <f t="shared" si="0"/>
        <v>433984.99999999994</v>
      </c>
      <c r="E18" s="134">
        <f t="shared" si="1"/>
        <v>508011.12340499996</v>
      </c>
      <c r="F18" s="135">
        <f t="shared" si="2"/>
        <v>3.0425942868760797E-2</v>
      </c>
      <c r="G18" s="128">
        <v>0.59696214837842798</v>
      </c>
      <c r="H18" s="128">
        <v>0.40303785162157302</v>
      </c>
      <c r="I18" s="16" t="s">
        <v>43</v>
      </c>
      <c r="J18" s="197"/>
      <c r="K18" s="198"/>
      <c r="L18" s="199"/>
    </row>
    <row r="19" spans="1:12" x14ac:dyDescent="0.25">
      <c r="A19" s="15">
        <v>18</v>
      </c>
      <c r="B19" s="16" t="s">
        <v>47</v>
      </c>
      <c r="C19" s="14">
        <v>3570000</v>
      </c>
      <c r="D19" s="15">
        <f t="shared" si="0"/>
        <v>517649.99999999994</v>
      </c>
      <c r="E19" s="134">
        <f t="shared" si="1"/>
        <v>605947.11344999995</v>
      </c>
      <c r="F19" s="135">
        <f t="shared" si="2"/>
        <v>3.6291552302531255E-2</v>
      </c>
      <c r="G19" s="128">
        <v>0.43867911636224199</v>
      </c>
      <c r="H19" s="128">
        <v>0.56132088363775801</v>
      </c>
      <c r="I19" s="16" t="s">
        <v>43</v>
      </c>
      <c r="J19" s="197"/>
      <c r="K19" s="198"/>
      <c r="L19" s="199"/>
    </row>
    <row r="20" spans="1:12" x14ac:dyDescent="0.25">
      <c r="A20" s="31">
        <v>19</v>
      </c>
      <c r="B20" s="14" t="s">
        <v>48</v>
      </c>
      <c r="C20" s="14">
        <v>13916000</v>
      </c>
      <c r="D20" s="15">
        <f t="shared" si="0"/>
        <v>2017819.9999999998</v>
      </c>
      <c r="E20" s="134">
        <f t="shared" si="1"/>
        <v>2362005.6108599999</v>
      </c>
      <c r="F20" s="135">
        <f t="shared" si="2"/>
        <v>0.14146589407339635</v>
      </c>
      <c r="G20" s="128">
        <v>0.98994137403887095</v>
      </c>
      <c r="H20" s="128">
        <v>1.00586259611292E-2</v>
      </c>
      <c r="I20" s="14" t="s">
        <v>48</v>
      </c>
      <c r="J20" s="17" t="s">
        <v>49</v>
      </c>
      <c r="K20" s="18">
        <v>5.0978299999999997E-2</v>
      </c>
      <c r="L20" s="19">
        <f>E20</f>
        <v>2362005.6108599999</v>
      </c>
    </row>
    <row r="21" spans="1:12" x14ac:dyDescent="0.25">
      <c r="A21" s="15">
        <v>20</v>
      </c>
      <c r="B21" s="16" t="s">
        <v>50</v>
      </c>
      <c r="C21" s="14">
        <v>2654000</v>
      </c>
      <c r="D21" s="15">
        <f t="shared" si="0"/>
        <v>384830</v>
      </c>
      <c r="E21" s="134">
        <f t="shared" si="1"/>
        <v>450471.60759000003</v>
      </c>
      <c r="F21" s="135">
        <f t="shared" si="2"/>
        <v>2.6979770255159095E-2</v>
      </c>
      <c r="G21" s="128">
        <v>0.62120327044673596</v>
      </c>
      <c r="H21" s="128">
        <v>0.37879672955326399</v>
      </c>
      <c r="I21" s="16" t="s">
        <v>50</v>
      </c>
      <c r="J21" s="17" t="s">
        <v>51</v>
      </c>
      <c r="K21" s="18">
        <v>4.8183150000000001E-2</v>
      </c>
      <c r="L21" s="19">
        <f>E21</f>
        <v>450471.60759000003</v>
      </c>
    </row>
    <row r="22" spans="1:12" x14ac:dyDescent="0.25">
      <c r="A22" s="31">
        <v>21</v>
      </c>
      <c r="B22" s="16" t="s">
        <v>52</v>
      </c>
      <c r="C22" s="14">
        <v>7574000</v>
      </c>
      <c r="D22" s="15">
        <f t="shared" si="0"/>
        <v>1098230</v>
      </c>
      <c r="E22" s="134">
        <f t="shared" si="1"/>
        <v>1285558.3857900002</v>
      </c>
      <c r="F22" s="135">
        <f t="shared" si="2"/>
        <v>7.6995018806546717E-2</v>
      </c>
      <c r="G22" s="128">
        <v>0.77558650026636</v>
      </c>
      <c r="H22" s="128">
        <v>0.22441349973364</v>
      </c>
      <c r="I22" s="16" t="s">
        <v>53</v>
      </c>
      <c r="J22" s="17" t="s">
        <v>54</v>
      </c>
      <c r="K22" s="18">
        <v>5.8964460000000003E-2</v>
      </c>
      <c r="L22" s="19">
        <f>E22</f>
        <v>1285558.3857900002</v>
      </c>
    </row>
    <row r="23" spans="1:12" x14ac:dyDescent="0.25">
      <c r="A23" s="15">
        <v>22</v>
      </c>
      <c r="B23" s="16" t="s">
        <v>55</v>
      </c>
      <c r="C23" s="14">
        <v>1250000</v>
      </c>
      <c r="D23" s="15">
        <f t="shared" si="0"/>
        <v>181250</v>
      </c>
      <c r="E23" s="134">
        <f t="shared" si="1"/>
        <v>212166.35625000001</v>
      </c>
      <c r="F23" s="135">
        <f t="shared" si="2"/>
        <v>1.270712615634848E-2</v>
      </c>
      <c r="G23" s="128">
        <v>0.904204471217955</v>
      </c>
      <c r="H23" s="128">
        <v>9.5795528782044503E-2</v>
      </c>
      <c r="I23" s="16" t="s">
        <v>56</v>
      </c>
      <c r="J23" s="197" t="s">
        <v>57</v>
      </c>
      <c r="K23" s="198">
        <v>0.10395314999999999</v>
      </c>
      <c r="L23" s="199">
        <f>SUM(E23:E26)</f>
        <v>1677981.27831</v>
      </c>
    </row>
    <row r="24" spans="1:12" x14ac:dyDescent="0.25">
      <c r="A24" s="31">
        <v>23</v>
      </c>
      <c r="B24" s="16" t="s">
        <v>58</v>
      </c>
      <c r="C24" s="14">
        <v>2046000</v>
      </c>
      <c r="D24" s="15">
        <f t="shared" si="0"/>
        <v>296670</v>
      </c>
      <c r="E24" s="134">
        <f t="shared" si="1"/>
        <v>347273.89191000001</v>
      </c>
      <c r="F24" s="135">
        <f t="shared" si="2"/>
        <v>2.0799024092711192E-2</v>
      </c>
      <c r="G24" s="128">
        <v>0.69403644764260097</v>
      </c>
      <c r="H24" s="128">
        <v>0.30596355235739903</v>
      </c>
      <c r="I24" s="16" t="s">
        <v>56</v>
      </c>
      <c r="J24" s="197"/>
      <c r="K24" s="198"/>
      <c r="L24" s="199"/>
    </row>
    <row r="25" spans="1:12" x14ac:dyDescent="0.25">
      <c r="A25" s="15">
        <v>24</v>
      </c>
      <c r="B25" s="16" t="s">
        <v>59</v>
      </c>
      <c r="C25" s="14">
        <v>4008000</v>
      </c>
      <c r="D25" s="15">
        <f t="shared" si="0"/>
        <v>581160</v>
      </c>
      <c r="E25" s="134">
        <f t="shared" si="1"/>
        <v>680290.20468000008</v>
      </c>
      <c r="F25" s="135">
        <f t="shared" si="2"/>
        <v>4.0744129307715773E-2</v>
      </c>
      <c r="G25" s="128">
        <v>0.850582253114474</v>
      </c>
      <c r="H25" s="128">
        <v>0.149417746885526</v>
      </c>
      <c r="I25" s="16" t="s">
        <v>56</v>
      </c>
      <c r="J25" s="197"/>
      <c r="K25" s="198"/>
      <c r="L25" s="199"/>
    </row>
    <row r="26" spans="1:12" x14ac:dyDescent="0.25">
      <c r="A26" s="31">
        <v>25</v>
      </c>
      <c r="B26" s="16" t="s">
        <v>60</v>
      </c>
      <c r="C26" s="14">
        <v>2582000</v>
      </c>
      <c r="D26" s="15">
        <f t="shared" si="0"/>
        <v>374390</v>
      </c>
      <c r="E26" s="134">
        <f t="shared" si="1"/>
        <v>438250.82547000004</v>
      </c>
      <c r="F26" s="135">
        <f t="shared" si="2"/>
        <v>2.6247839788553422E-2</v>
      </c>
      <c r="G26" s="128">
        <v>0.48712835104580099</v>
      </c>
      <c r="H26" s="128">
        <v>0.51287164895419901</v>
      </c>
      <c r="I26" s="16" t="s">
        <v>56</v>
      </c>
      <c r="J26" s="197"/>
      <c r="K26" s="198"/>
      <c r="L26" s="199"/>
    </row>
    <row r="27" spans="1:12" x14ac:dyDescent="0.25">
      <c r="A27" s="15">
        <v>26</v>
      </c>
      <c r="B27" s="16" t="s">
        <v>61</v>
      </c>
      <c r="C27" s="14">
        <v>6565000</v>
      </c>
      <c r="D27" s="15">
        <f t="shared" si="0"/>
        <v>951924.99999999988</v>
      </c>
      <c r="E27" s="134">
        <f t="shared" si="1"/>
        <v>1114297.7030249999</v>
      </c>
      <c r="F27" s="135">
        <f t="shared" si="2"/>
        <v>6.6737826573142214E-2</v>
      </c>
      <c r="G27" s="128">
        <v>0.78841361571133695</v>
      </c>
      <c r="H27" s="128">
        <v>0.211586384288663</v>
      </c>
      <c r="I27" s="16" t="s">
        <v>62</v>
      </c>
      <c r="J27" s="17" t="s">
        <v>63</v>
      </c>
      <c r="K27" s="18">
        <v>5.949687E-2</v>
      </c>
      <c r="L27" s="19">
        <f>E27</f>
        <v>1114297.7030249999</v>
      </c>
    </row>
    <row r="28" spans="1:12" x14ac:dyDescent="0.25">
      <c r="A28" s="39">
        <v>27</v>
      </c>
      <c r="B28" s="136" t="s">
        <v>71</v>
      </c>
      <c r="C28" s="137">
        <f>SUM(C2:C27)</f>
        <v>98370000</v>
      </c>
      <c r="D28" s="137">
        <f>SUM(D2:D27)</f>
        <v>14263650</v>
      </c>
      <c r="E28" s="138">
        <f>D28*1.170573</f>
        <v>16696643.571450001</v>
      </c>
      <c r="F28" s="139">
        <f t="shared" si="2"/>
        <v>1</v>
      </c>
      <c r="G28" s="128">
        <v>0.69299999999999995</v>
      </c>
      <c r="H28" s="128">
        <v>0.307</v>
      </c>
      <c r="I28" s="16"/>
      <c r="J28" s="17"/>
      <c r="K28" s="18"/>
      <c r="L28" s="19"/>
    </row>
    <row r="29" spans="1:12" x14ac:dyDescent="0.25">
      <c r="D29" s="20">
        <v>0.14499999999999999</v>
      </c>
      <c r="E29" s="133"/>
      <c r="F29" s="28"/>
      <c r="G29" s="196" t="s">
        <v>123</v>
      </c>
      <c r="H29" s="196"/>
      <c r="I29" s="196"/>
      <c r="J29" s="196"/>
      <c r="K29" s="196"/>
      <c r="L29" s="196"/>
    </row>
    <row r="30" spans="1:12" x14ac:dyDescent="0.25">
      <c r="A30" s="195" t="s">
        <v>65</v>
      </c>
      <c r="B30" s="195"/>
      <c r="C30" s="195"/>
      <c r="D30" s="195"/>
      <c r="E30" s="195"/>
      <c r="F30" s="195"/>
    </row>
    <row r="31" spans="1:12" x14ac:dyDescent="0.25">
      <c r="D31" s="13">
        <v>2020</v>
      </c>
      <c r="E31" s="21">
        <f>D28*E$36</f>
        <v>14720086.800000001</v>
      </c>
      <c r="G31" s="21"/>
      <c r="H31" s="21"/>
      <c r="K31" s="144" t="s">
        <v>3</v>
      </c>
      <c r="L31" s="144" t="s">
        <v>4</v>
      </c>
    </row>
    <row r="32" spans="1:12" x14ac:dyDescent="0.25">
      <c r="D32" s="13">
        <v>2021</v>
      </c>
      <c r="E32" s="21">
        <f>E31*E$36</f>
        <v>15191129.5776</v>
      </c>
      <c r="F32" s="21"/>
      <c r="G32" s="21"/>
      <c r="H32" s="21"/>
      <c r="K32" s="142">
        <v>0.35470000000000002</v>
      </c>
      <c r="L32" s="142">
        <v>0.64529999999999998</v>
      </c>
    </row>
    <row r="33" spans="4:12" x14ac:dyDescent="0.25">
      <c r="D33" s="13">
        <v>2022</v>
      </c>
      <c r="E33" s="21">
        <f>E32*E$36</f>
        <v>15677245.7240832</v>
      </c>
      <c r="F33" s="21"/>
      <c r="G33" s="21"/>
      <c r="H33" s="21"/>
      <c r="K33" s="145" t="s">
        <v>72</v>
      </c>
      <c r="L33" s="145" t="s">
        <v>4</v>
      </c>
    </row>
    <row r="34" spans="4:12" x14ac:dyDescent="0.25">
      <c r="D34" s="13">
        <v>2023</v>
      </c>
      <c r="E34" s="21">
        <f>E33*E$36</f>
        <v>16178917.587253863</v>
      </c>
      <c r="F34" s="21"/>
      <c r="G34" s="21"/>
      <c r="H34" s="21"/>
      <c r="J34" s="22"/>
      <c r="K34" s="143">
        <v>0.43309999999999998</v>
      </c>
      <c r="L34" s="143">
        <v>0.56679999999999997</v>
      </c>
    </row>
    <row r="35" spans="4:12" x14ac:dyDescent="0.25">
      <c r="D35" s="13">
        <v>2024</v>
      </c>
      <c r="E35" s="21">
        <f>E34*E$36</f>
        <v>16696642.950045988</v>
      </c>
      <c r="F35" s="21"/>
      <c r="G35" s="21"/>
      <c r="H35" s="21"/>
      <c r="J35" s="23"/>
      <c r="K35" s="200" t="s">
        <v>151</v>
      </c>
      <c r="L35" s="200"/>
    </row>
    <row r="36" spans="4:12" x14ac:dyDescent="0.25">
      <c r="D36" s="24" t="s">
        <v>64</v>
      </c>
      <c r="E36" s="25">
        <v>1.032</v>
      </c>
      <c r="F36" s="140">
        <v>3.2000000000000001E-2</v>
      </c>
      <c r="G36" s="25"/>
      <c r="H36" s="25"/>
      <c r="J36" s="23"/>
    </row>
    <row r="37" spans="4:12" x14ac:dyDescent="0.25">
      <c r="D37" s="26" t="s">
        <v>66</v>
      </c>
      <c r="E37" s="27">
        <f>E35/D28</f>
        <v>1.170572956434432</v>
      </c>
      <c r="F37" s="141">
        <v>0.17</v>
      </c>
      <c r="G37" s="27"/>
      <c r="H37" s="27"/>
      <c r="J37" s="23"/>
    </row>
    <row r="38" spans="4:12" x14ac:dyDescent="0.25">
      <c r="J38" s="23"/>
    </row>
    <row r="39" spans="4:12" x14ac:dyDescent="0.25">
      <c r="J39" s="23"/>
    </row>
    <row r="40" spans="4:12" x14ac:dyDescent="0.25">
      <c r="J40" s="23"/>
    </row>
    <row r="41" spans="4:12" x14ac:dyDescent="0.25">
      <c r="J41" s="23"/>
    </row>
    <row r="42" spans="4:12" x14ac:dyDescent="0.25">
      <c r="J42" s="23"/>
    </row>
    <row r="43" spans="4:12" x14ac:dyDescent="0.25">
      <c r="J43" s="23"/>
    </row>
    <row r="44" spans="4:12" x14ac:dyDescent="0.25">
      <c r="J44" s="23"/>
    </row>
    <row r="45" spans="4:12" x14ac:dyDescent="0.25">
      <c r="J45" s="23"/>
    </row>
  </sheetData>
  <mergeCells count="21">
    <mergeCell ref="K35:L35"/>
    <mergeCell ref="L16:L19"/>
    <mergeCell ref="J23:J26"/>
    <mergeCell ref="K23:K26"/>
    <mergeCell ref="L23:L26"/>
    <mergeCell ref="A30:F30"/>
    <mergeCell ref="G29:L29"/>
    <mergeCell ref="J16:J19"/>
    <mergeCell ref="K16:K19"/>
    <mergeCell ref="J2:J4"/>
    <mergeCell ref="K2:K4"/>
    <mergeCell ref="L2:L4"/>
    <mergeCell ref="J6:J10"/>
    <mergeCell ref="K6:K10"/>
    <mergeCell ref="L6:L10"/>
    <mergeCell ref="J11:J12"/>
    <mergeCell ref="K11:K12"/>
    <mergeCell ref="L11:L12"/>
    <mergeCell ref="J13:J15"/>
    <mergeCell ref="K13:K15"/>
    <mergeCell ref="L13:L15"/>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76AB2-E6EB-4DEB-9465-644A66E50F2C}">
  <dimension ref="A1:K32"/>
  <sheetViews>
    <sheetView workbookViewId="0">
      <selection activeCell="J20" sqref="J20"/>
    </sheetView>
  </sheetViews>
  <sheetFormatPr defaultRowHeight="15" x14ac:dyDescent="0.25"/>
  <cols>
    <col min="4" max="4" width="3.140625" customWidth="1"/>
    <col min="5" max="5" width="14.42578125" bestFit="1" customWidth="1"/>
    <col min="6" max="7" width="14.28515625" bestFit="1" customWidth="1"/>
  </cols>
  <sheetData>
    <row r="1" spans="1:11" x14ac:dyDescent="0.25">
      <c r="A1" t="s">
        <v>268</v>
      </c>
    </row>
    <row r="2" spans="1:11" x14ac:dyDescent="0.25">
      <c r="B2">
        <v>2023</v>
      </c>
    </row>
    <row r="3" spans="1:11" x14ac:dyDescent="0.25">
      <c r="A3" t="s">
        <v>13</v>
      </c>
      <c r="B3" s="146" t="s">
        <v>169</v>
      </c>
      <c r="C3" s="146" t="s">
        <v>170</v>
      </c>
      <c r="E3" s="146" t="s">
        <v>153</v>
      </c>
      <c r="F3" s="146" t="s">
        <v>168</v>
      </c>
      <c r="J3" t="s">
        <v>171</v>
      </c>
      <c r="K3" t="s">
        <v>172</v>
      </c>
    </row>
    <row r="4" spans="1:11" x14ac:dyDescent="0.25">
      <c r="A4" t="s">
        <v>154</v>
      </c>
      <c r="B4">
        <v>185748</v>
      </c>
      <c r="C4">
        <v>172977</v>
      </c>
      <c r="E4" s="322">
        <v>358725</v>
      </c>
      <c r="F4" s="322">
        <v>518931</v>
      </c>
      <c r="G4" s="322">
        <f>SUM(E4:F4)</f>
        <v>877656</v>
      </c>
      <c r="H4" s="277">
        <f>G4/$G$30</f>
        <v>3.7752766301973092E-2</v>
      </c>
      <c r="J4">
        <f>((B4/2)+C4)/SUM((B4/2)+C4,F4)</f>
        <v>0.33875776967361637</v>
      </c>
      <c r="K4">
        <f>F4/SUM(E4:F4)</f>
        <v>0.59126924444201368</v>
      </c>
    </row>
    <row r="5" spans="1:11" x14ac:dyDescent="0.25">
      <c r="A5" t="s">
        <v>155</v>
      </c>
      <c r="B5">
        <v>233320</v>
      </c>
      <c r="C5">
        <v>217280</v>
      </c>
      <c r="E5" s="322">
        <v>450600</v>
      </c>
      <c r="F5" s="322">
        <v>651840</v>
      </c>
      <c r="G5" s="322">
        <f t="shared" ref="G5:G29" si="0">SUM(E5:F5)</f>
        <v>1102440</v>
      </c>
      <c r="H5" s="277">
        <f t="shared" ref="H5:H29" si="1">G5/$G$30</f>
        <v>4.742195083489114E-2</v>
      </c>
      <c r="J5">
        <f>((B5/2)+C5)/SUM((B5/2)+C5,F5)</f>
        <v>0.33875712633650512</v>
      </c>
      <c r="K5">
        <f>F5/SUM(E5:F5)</f>
        <v>0.59127027321214765</v>
      </c>
    </row>
    <row r="6" spans="1:11" x14ac:dyDescent="0.25">
      <c r="A6" t="s">
        <v>48</v>
      </c>
      <c r="B6">
        <v>478184</v>
      </c>
      <c r="C6">
        <v>445309</v>
      </c>
      <c r="E6" s="322">
        <v>923493</v>
      </c>
      <c r="F6" s="322">
        <v>1335927</v>
      </c>
      <c r="G6" s="322">
        <f t="shared" si="0"/>
        <v>2259420</v>
      </c>
      <c r="H6" s="277">
        <f t="shared" si="1"/>
        <v>9.7189964220610409E-2</v>
      </c>
      <c r="J6">
        <f>((B6/2)+C6)/SUM((B6/2)+C6,F6)</f>
        <v>0.33875737009040119</v>
      </c>
      <c r="K6">
        <f>F6/SUM(E6:F6)</f>
        <v>0.59126988342140907</v>
      </c>
    </row>
    <row r="7" spans="1:11" x14ac:dyDescent="0.25">
      <c r="A7" t="s">
        <v>23</v>
      </c>
      <c r="B7">
        <v>248918</v>
      </c>
      <c r="C7">
        <v>231805</v>
      </c>
      <c r="E7" s="322">
        <v>480723</v>
      </c>
      <c r="F7" s="322">
        <v>695415</v>
      </c>
      <c r="G7" s="322">
        <f t="shared" si="0"/>
        <v>1176138</v>
      </c>
      <c r="H7" s="277">
        <f t="shared" si="1"/>
        <v>5.0592103344442502E-2</v>
      </c>
      <c r="J7">
        <f>((B7/2)+C7)/SUM((B7/2)+C7,F7)</f>
        <v>0.33875735847154881</v>
      </c>
      <c r="K7">
        <f>F7/SUM(E7:F7)</f>
        <v>0.59126990200129581</v>
      </c>
    </row>
    <row r="8" spans="1:11" x14ac:dyDescent="0.25">
      <c r="A8" t="s">
        <v>40</v>
      </c>
      <c r="B8">
        <v>186650</v>
      </c>
      <c r="C8">
        <v>173819</v>
      </c>
      <c r="E8" s="322">
        <v>360469</v>
      </c>
      <c r="F8" s="322">
        <v>521456</v>
      </c>
      <c r="G8" s="322">
        <f t="shared" si="0"/>
        <v>881925</v>
      </c>
      <c r="H8" s="277">
        <f t="shared" si="1"/>
        <v>3.7936399250808543E-2</v>
      </c>
      <c r="J8">
        <f>((B8/2)+C8)/SUM((B8/2)+C8,F8)</f>
        <v>0.33875729140248539</v>
      </c>
      <c r="K8">
        <f>F8/SUM(E8:F8)</f>
        <v>0.59127023272954049</v>
      </c>
    </row>
    <row r="9" spans="1:11" x14ac:dyDescent="0.25">
      <c r="A9" t="s">
        <v>156</v>
      </c>
      <c r="B9">
        <v>230438</v>
      </c>
      <c r="C9">
        <v>214595</v>
      </c>
      <c r="E9" s="322">
        <v>445033</v>
      </c>
      <c r="F9" s="322">
        <v>643785</v>
      </c>
      <c r="G9" s="322">
        <f t="shared" si="0"/>
        <v>1088818</v>
      </c>
      <c r="H9" s="277">
        <f t="shared" si="1"/>
        <v>4.6835994398012136E-2</v>
      </c>
      <c r="J9">
        <f>((B9/2)+C9)/SUM((B9/2)+C9,F9)</f>
        <v>0.33875753775424994</v>
      </c>
      <c r="K9">
        <f>F9/SUM(E9:F9)</f>
        <v>0.5912696153076088</v>
      </c>
    </row>
    <row r="10" spans="1:11" x14ac:dyDescent="0.25">
      <c r="A10" t="s">
        <v>157</v>
      </c>
      <c r="B10">
        <v>61482</v>
      </c>
      <c r="C10">
        <v>57254</v>
      </c>
      <c r="E10" s="322">
        <v>118736</v>
      </c>
      <c r="F10" s="322">
        <v>171763</v>
      </c>
      <c r="G10" s="322">
        <f t="shared" si="0"/>
        <v>290499</v>
      </c>
      <c r="H10" s="277">
        <f t="shared" si="1"/>
        <v>1.2495944718610574E-2</v>
      </c>
      <c r="J10">
        <f>((B10/2)+C10)/SUM((B10/2)+C10,F10)</f>
        <v>0.33875761285504202</v>
      </c>
      <c r="K10">
        <f>F10/SUM(E10:F10)</f>
        <v>0.59126881676012655</v>
      </c>
    </row>
    <row r="11" spans="1:11" x14ac:dyDescent="0.25">
      <c r="A11" t="s">
        <v>158</v>
      </c>
      <c r="B11">
        <v>126054</v>
      </c>
      <c r="C11">
        <v>117387</v>
      </c>
      <c r="E11" s="322">
        <v>243441</v>
      </c>
      <c r="F11" s="322">
        <v>352162</v>
      </c>
      <c r="G11" s="322">
        <f t="shared" si="0"/>
        <v>595603</v>
      </c>
      <c r="H11" s="277">
        <f t="shared" si="1"/>
        <v>2.562013005978889E-2</v>
      </c>
      <c r="J11">
        <f>((B11/2)+C11)/SUM((B11/2)+C11,F11)</f>
        <v>0.33875728534519017</v>
      </c>
      <c r="K11">
        <f>F11/SUM(E11:F11)</f>
        <v>0.59126968803044977</v>
      </c>
    </row>
    <row r="12" spans="1:11" x14ac:dyDescent="0.25">
      <c r="A12" t="s">
        <v>159</v>
      </c>
      <c r="B12">
        <v>310048</v>
      </c>
      <c r="C12">
        <v>288733</v>
      </c>
      <c r="E12" s="322">
        <v>598781</v>
      </c>
      <c r="F12" s="322">
        <v>866198</v>
      </c>
      <c r="G12" s="322">
        <f t="shared" si="0"/>
        <v>1464979</v>
      </c>
      <c r="H12" s="277">
        <f t="shared" si="1"/>
        <v>6.3016728449755074E-2</v>
      </c>
      <c r="J12">
        <f>((B12/2)+C12)/SUM((B12/2)+C12,F12)</f>
        <v>0.33875743823261106</v>
      </c>
      <c r="K12">
        <f>F12/SUM(E12:F12)</f>
        <v>0.59126990898845644</v>
      </c>
    </row>
    <row r="13" spans="1:11" x14ac:dyDescent="0.25">
      <c r="A13" t="s">
        <v>160</v>
      </c>
      <c r="B13">
        <v>187346</v>
      </c>
      <c r="C13">
        <v>174465</v>
      </c>
      <c r="E13" s="322">
        <v>361811</v>
      </c>
      <c r="F13" s="322">
        <v>523396</v>
      </c>
      <c r="G13" s="322">
        <f t="shared" si="0"/>
        <v>885207</v>
      </c>
      <c r="H13" s="277">
        <f t="shared" si="1"/>
        <v>3.8077575952162004E-2</v>
      </c>
      <c r="J13">
        <f>((B13/2)+C13)/SUM((B13/2)+C13,F13)</f>
        <v>0.33875740018748407</v>
      </c>
      <c r="K13">
        <f>F13/SUM(E13:F13)</f>
        <v>0.59126961264427413</v>
      </c>
    </row>
    <row r="14" spans="1:11" x14ac:dyDescent="0.25">
      <c r="A14" t="s">
        <v>161</v>
      </c>
      <c r="B14">
        <v>96450</v>
      </c>
      <c r="C14">
        <v>89820</v>
      </c>
      <c r="E14" s="322">
        <v>186270</v>
      </c>
      <c r="F14" s="322">
        <v>269460</v>
      </c>
      <c r="G14" s="322">
        <f t="shared" si="0"/>
        <v>455730</v>
      </c>
      <c r="H14" s="277">
        <f t="shared" si="1"/>
        <v>1.9603430258322393E-2</v>
      </c>
      <c r="J14">
        <f>((B14/2)+C14)/SUM((B14/2)+C14,F14)</f>
        <v>0.33875657967386902</v>
      </c>
      <c r="K14">
        <f>F14/SUM(E14:F14)</f>
        <v>0.59127114738990194</v>
      </c>
    </row>
    <row r="15" spans="1:11" x14ac:dyDescent="0.25">
      <c r="A15" t="s">
        <v>59</v>
      </c>
      <c r="B15">
        <v>261694</v>
      </c>
      <c r="C15">
        <v>243702</v>
      </c>
      <c r="E15" s="322">
        <v>505396</v>
      </c>
      <c r="F15" s="322">
        <v>731106</v>
      </c>
      <c r="G15" s="322">
        <f t="shared" si="0"/>
        <v>1236502</v>
      </c>
      <c r="H15" s="277">
        <f t="shared" si="1"/>
        <v>5.318868786622815E-2</v>
      </c>
      <c r="J15">
        <f>((B15/2)+C15)/SUM((B15/2)+C15,F15)</f>
        <v>0.33875756904278459</v>
      </c>
      <c r="K15">
        <f>F15/SUM(E15:F15)</f>
        <v>0.59126956527365104</v>
      </c>
    </row>
    <row r="16" spans="1:11" x14ac:dyDescent="0.25">
      <c r="A16" t="s">
        <v>162</v>
      </c>
      <c r="B16">
        <v>228216</v>
      </c>
      <c r="C16">
        <v>212527</v>
      </c>
      <c r="E16" s="322">
        <v>440743</v>
      </c>
      <c r="F16" s="322">
        <v>637580</v>
      </c>
      <c r="G16" s="322">
        <f t="shared" si="0"/>
        <v>1078323</v>
      </c>
      <c r="H16" s="277">
        <f t="shared" si="1"/>
        <v>4.6384547267998545E-2</v>
      </c>
      <c r="J16">
        <f>((B16/2)+C16)/SUM((B16/2)+C16,F16)</f>
        <v>0.33875743480447823</v>
      </c>
      <c r="K16">
        <f>F16/SUM(E16:F16)</f>
        <v>0.59126996271061638</v>
      </c>
    </row>
    <row r="17" spans="1:11" x14ac:dyDescent="0.25">
      <c r="A17" t="s">
        <v>20</v>
      </c>
      <c r="B17">
        <v>117826</v>
      </c>
      <c r="C17">
        <v>109726</v>
      </c>
      <c r="E17" s="322">
        <v>227552</v>
      </c>
      <c r="F17" s="322">
        <v>329177</v>
      </c>
      <c r="G17" s="322">
        <f t="shared" si="0"/>
        <v>556729</v>
      </c>
      <c r="H17" s="277">
        <f t="shared" si="1"/>
        <v>2.3947947522185431E-2</v>
      </c>
      <c r="J17">
        <f>((B17/2)+C17)/SUM((B17/2)+C17,F17)</f>
        <v>0.33875769360566954</v>
      </c>
      <c r="K17">
        <f>F17/SUM(E17:F17)</f>
        <v>0.59126972009721068</v>
      </c>
    </row>
    <row r="18" spans="1:11" x14ac:dyDescent="0.25">
      <c r="A18" t="s">
        <v>46</v>
      </c>
      <c r="B18">
        <v>126982</v>
      </c>
      <c r="C18">
        <v>118251</v>
      </c>
      <c r="E18" s="322">
        <v>245233</v>
      </c>
      <c r="F18" s="322">
        <v>354754</v>
      </c>
      <c r="G18" s="322">
        <f t="shared" si="0"/>
        <v>599987</v>
      </c>
      <c r="H18" s="277">
        <f t="shared" si="1"/>
        <v>2.580870978517999E-2</v>
      </c>
      <c r="J18">
        <f>((B18/2)+C18)/SUM((B18/2)+C18,F18)</f>
        <v>0.33875741850824609</v>
      </c>
      <c r="K18">
        <f>F18/SUM(E18:F18)</f>
        <v>0.59126947750534598</v>
      </c>
    </row>
    <row r="19" spans="1:11" x14ac:dyDescent="0.25">
      <c r="A19" t="s">
        <v>163</v>
      </c>
      <c r="B19">
        <v>83968</v>
      </c>
      <c r="C19">
        <v>78195</v>
      </c>
      <c r="E19" s="322">
        <v>162163</v>
      </c>
      <c r="F19" s="322">
        <v>234584</v>
      </c>
      <c r="G19" s="322">
        <f t="shared" si="0"/>
        <v>396747</v>
      </c>
      <c r="H19" s="277">
        <f t="shared" si="1"/>
        <v>1.7066250070652874E-2</v>
      </c>
      <c r="J19">
        <f>((B19/2)+C19)/SUM((B19/2)+C19,F19)</f>
        <v>0.33875855148366657</v>
      </c>
      <c r="K19">
        <f>F19/SUM(E19:F19)</f>
        <v>0.59126849100308254</v>
      </c>
    </row>
    <row r="20" spans="1:11" x14ac:dyDescent="0.25">
      <c r="A20" t="s">
        <v>50</v>
      </c>
      <c r="B20">
        <v>128424</v>
      </c>
      <c r="C20">
        <v>119594</v>
      </c>
      <c r="E20" s="322">
        <v>248018</v>
      </c>
      <c r="F20" s="322">
        <v>358783</v>
      </c>
      <c r="G20" s="322">
        <f t="shared" si="0"/>
        <v>606801</v>
      </c>
      <c r="H20" s="277">
        <f t="shared" si="1"/>
        <v>2.6101817049964421E-2</v>
      </c>
      <c r="J20">
        <f>((B20/2)+C20)/SUM((B20/2)+C20,F20)</f>
        <v>0.3387573282908426</v>
      </c>
      <c r="K20">
        <f>F20/SUM(E20:F20)</f>
        <v>0.5912696254620543</v>
      </c>
    </row>
    <row r="21" spans="1:11" x14ac:dyDescent="0.25">
      <c r="A21" t="s">
        <v>30</v>
      </c>
      <c r="B21">
        <v>123040</v>
      </c>
      <c r="C21">
        <v>114582</v>
      </c>
      <c r="E21" s="322">
        <v>237622</v>
      </c>
      <c r="F21" s="322">
        <v>343745</v>
      </c>
      <c r="G21" s="322">
        <f t="shared" si="0"/>
        <v>581367</v>
      </c>
      <c r="H21" s="277">
        <f t="shared" si="1"/>
        <v>2.5007762137647542E-2</v>
      </c>
      <c r="J21">
        <f>((B21/2)+C21)/SUM((B21/2)+C21,F21)</f>
        <v>0.33875736514782234</v>
      </c>
      <c r="K21">
        <f>F21/SUM(E21:F21)</f>
        <v>0.59127023033643122</v>
      </c>
    </row>
    <row r="22" spans="1:11" x14ac:dyDescent="0.25">
      <c r="A22" t="s">
        <v>164</v>
      </c>
      <c r="B22">
        <v>421642</v>
      </c>
      <c r="C22">
        <v>392655</v>
      </c>
      <c r="E22" s="322">
        <v>814297</v>
      </c>
      <c r="F22" s="322">
        <v>1177965</v>
      </c>
      <c r="G22" s="322">
        <f t="shared" si="0"/>
        <v>1992262</v>
      </c>
      <c r="H22" s="277">
        <f t="shared" si="1"/>
        <v>8.5698043081003858E-2</v>
      </c>
      <c r="J22">
        <f>((B22/2)+C22)/SUM((B22/2)+C22,F22)</f>
        <v>0.33875721957673594</v>
      </c>
      <c r="K22">
        <f>F22/SUM(E22:F22)</f>
        <v>0.59127012411018232</v>
      </c>
    </row>
    <row r="23" spans="1:11" x14ac:dyDescent="0.25">
      <c r="A23" t="s">
        <v>165</v>
      </c>
      <c r="B23">
        <v>73938</v>
      </c>
      <c r="C23">
        <v>68854</v>
      </c>
      <c r="E23" s="322">
        <v>142792</v>
      </c>
      <c r="F23" s="322">
        <v>206563</v>
      </c>
      <c r="G23" s="322">
        <f t="shared" si="0"/>
        <v>349355</v>
      </c>
      <c r="H23" s="277">
        <f t="shared" si="1"/>
        <v>1.502766194434472E-2</v>
      </c>
      <c r="J23">
        <f>((B23/2)+C23)/SUM((B23/2)+C23,F23)</f>
        <v>0.33875717861876015</v>
      </c>
      <c r="K23">
        <f>F23/SUM(E23:F23)</f>
        <v>0.59126962545261985</v>
      </c>
    </row>
    <row r="24" spans="1:11" x14ac:dyDescent="0.25">
      <c r="A24" t="s">
        <v>41</v>
      </c>
      <c r="B24">
        <v>108842</v>
      </c>
      <c r="C24">
        <v>101359</v>
      </c>
      <c r="E24" s="322">
        <v>210201</v>
      </c>
      <c r="F24" s="322">
        <v>304076</v>
      </c>
      <c r="G24" s="322">
        <f t="shared" si="0"/>
        <v>514277</v>
      </c>
      <c r="H24" s="277">
        <f t="shared" si="1"/>
        <v>2.2121855710528746E-2</v>
      </c>
      <c r="J24">
        <f>((B24/2)+C24)/SUM((B24/2)+C24,F24)</f>
        <v>0.33875821996451061</v>
      </c>
      <c r="K24">
        <f>F24/SUM(E24:F24)</f>
        <v>0.59126890761204565</v>
      </c>
    </row>
    <row r="25" spans="1:11" x14ac:dyDescent="0.25">
      <c r="A25" t="s">
        <v>166</v>
      </c>
      <c r="B25">
        <v>347742</v>
      </c>
      <c r="C25">
        <v>323835</v>
      </c>
      <c r="E25" s="322">
        <v>671577</v>
      </c>
      <c r="F25" s="322">
        <v>971505</v>
      </c>
      <c r="G25" s="322">
        <f t="shared" si="0"/>
        <v>1643082</v>
      </c>
      <c r="H25" s="277">
        <f t="shared" si="1"/>
        <v>7.0677908840113379E-2</v>
      </c>
      <c r="J25">
        <f>((B25/2)+C25)/SUM((B25/2)+C25,F25)</f>
        <v>0.33875733301751759</v>
      </c>
      <c r="K25">
        <f>F25/SUM(E25:F25)</f>
        <v>0.59126994270523325</v>
      </c>
    </row>
    <row r="26" spans="1:11" x14ac:dyDescent="0.25">
      <c r="A26" t="s">
        <v>167</v>
      </c>
      <c r="B26">
        <v>148922</v>
      </c>
      <c r="C26">
        <v>138683</v>
      </c>
      <c r="E26" s="322">
        <v>287605</v>
      </c>
      <c r="F26" s="322">
        <v>416049</v>
      </c>
      <c r="G26" s="322">
        <f t="shared" si="0"/>
        <v>703654</v>
      </c>
      <c r="H26" s="277">
        <f t="shared" si="1"/>
        <v>3.0267992265134148E-2</v>
      </c>
      <c r="J26">
        <f>((B26/2)+C26)/SUM((B26/2)+C26,F26)</f>
        <v>0.33875774206006742</v>
      </c>
      <c r="K26">
        <f>F26/SUM(E26:F26)</f>
        <v>0.59126928859922634</v>
      </c>
    </row>
    <row r="27" spans="1:11" x14ac:dyDescent="0.25">
      <c r="A27" t="s">
        <v>47</v>
      </c>
      <c r="B27">
        <v>143520</v>
      </c>
      <c r="C27">
        <v>133653</v>
      </c>
      <c r="E27" s="322">
        <v>277173</v>
      </c>
      <c r="F27" s="322">
        <v>400959</v>
      </c>
      <c r="G27" s="322">
        <f t="shared" si="0"/>
        <v>678132</v>
      </c>
      <c r="H27" s="277">
        <f t="shared" si="1"/>
        <v>2.9170151993365985E-2</v>
      </c>
      <c r="J27">
        <f>((B27/2)+C27)/SUM((B27/2)+C27,F27)</f>
        <v>0.33875739644970415</v>
      </c>
      <c r="K27">
        <f>F27/SUM(E27:F27)</f>
        <v>0.59126984126984128</v>
      </c>
    </row>
    <row r="28" spans="1:11" x14ac:dyDescent="0.25">
      <c r="A28" t="s">
        <v>60</v>
      </c>
      <c r="B28">
        <v>161928</v>
      </c>
      <c r="C28">
        <v>150796</v>
      </c>
      <c r="E28" s="322">
        <v>312724</v>
      </c>
      <c r="F28" s="322">
        <v>452388</v>
      </c>
      <c r="G28" s="322">
        <f t="shared" si="0"/>
        <v>765112</v>
      </c>
      <c r="H28" s="277">
        <f t="shared" si="1"/>
        <v>3.2911635687370946E-2</v>
      </c>
      <c r="J28">
        <f>((B28/2)+C28)/SUM((B28/2)+C28,F28)</f>
        <v>0.33875711103445455</v>
      </c>
      <c r="K28">
        <f>F28/SUM(E28:F28)</f>
        <v>0.59127029768190797</v>
      </c>
    </row>
    <row r="29" spans="1:11" x14ac:dyDescent="0.25">
      <c r="A29" t="s">
        <v>33</v>
      </c>
      <c r="B29">
        <v>98776</v>
      </c>
      <c r="C29">
        <v>91985</v>
      </c>
      <c r="E29" s="322">
        <v>190761</v>
      </c>
      <c r="F29" s="322">
        <v>275956</v>
      </c>
      <c r="G29" s="322">
        <f t="shared" si="0"/>
        <v>466717</v>
      </c>
      <c r="H29" s="277">
        <f t="shared" si="1"/>
        <v>2.007604098890451E-2</v>
      </c>
      <c r="J29">
        <f>((B29/2)+C29)/SUM((B29/2)+C29,F29)</f>
        <v>0.33875671233008009</v>
      </c>
      <c r="K29">
        <f>F29/SUM(E29:F29)</f>
        <v>0.59127051296610156</v>
      </c>
    </row>
    <row r="30" spans="1:11" x14ac:dyDescent="0.25">
      <c r="A30" t="s">
        <v>71</v>
      </c>
      <c r="B30">
        <f>SUM(B4:B29)</f>
        <v>4920098</v>
      </c>
      <c r="C30">
        <f t="shared" ref="C30:H30" si="2">SUM(C4:C29)</f>
        <v>4581841</v>
      </c>
      <c r="E30" s="322">
        <f t="shared" si="2"/>
        <v>9501939</v>
      </c>
      <c r="F30" s="322">
        <f t="shared" si="2"/>
        <v>13745523</v>
      </c>
      <c r="G30" s="322">
        <f t="shared" si="2"/>
        <v>23247462</v>
      </c>
      <c r="H30" s="232">
        <f t="shared" si="2"/>
        <v>0.99999999999999989</v>
      </c>
    </row>
    <row r="32" spans="1:11" x14ac:dyDescent="0.25">
      <c r="E32" s="27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90E79-2A23-41A5-9841-03572AB78811}">
  <dimension ref="A1:F5"/>
  <sheetViews>
    <sheetView workbookViewId="0">
      <selection activeCell="E22" sqref="E22"/>
    </sheetView>
  </sheetViews>
  <sheetFormatPr defaultColWidth="11.42578125" defaultRowHeight="15" x14ac:dyDescent="0.25"/>
  <cols>
    <col min="1" max="1" width="2" style="1" bestFit="1" customWidth="1"/>
    <col min="2" max="2" width="19" style="1" customWidth="1"/>
    <col min="3" max="3" width="21" style="1" customWidth="1"/>
    <col min="4" max="4" width="18.7109375" style="1" customWidth="1"/>
    <col min="5" max="5" width="24.140625" style="1" customWidth="1"/>
    <col min="6" max="6" width="16.85546875" style="1" bestFit="1" customWidth="1"/>
    <col min="7" max="16384" width="11.42578125" style="1"/>
  </cols>
  <sheetData>
    <row r="1" spans="1:6" x14ac:dyDescent="0.25">
      <c r="F1" s="2"/>
    </row>
    <row r="2" spans="1:6" x14ac:dyDescent="0.25">
      <c r="B2" s="201" t="s">
        <v>80</v>
      </c>
      <c r="C2" s="202"/>
      <c r="D2" s="203" t="s">
        <v>75</v>
      </c>
      <c r="E2" s="204"/>
    </row>
    <row r="3" spans="1:6" x14ac:dyDescent="0.25">
      <c r="B3" s="60" t="s">
        <v>81</v>
      </c>
      <c r="C3" s="61" t="s">
        <v>142</v>
      </c>
      <c r="D3" s="61" t="s">
        <v>78</v>
      </c>
      <c r="E3" s="62" t="s">
        <v>79</v>
      </c>
    </row>
    <row r="4" spans="1:6" x14ac:dyDescent="0.25">
      <c r="A4" s="1">
        <v>1</v>
      </c>
      <c r="B4" s="58" t="s">
        <v>76</v>
      </c>
      <c r="C4" s="129">
        <v>0.2006</v>
      </c>
      <c r="D4" s="129">
        <v>0.26040000000000002</v>
      </c>
      <c r="E4" s="130">
        <v>0.23</v>
      </c>
    </row>
    <row r="5" spans="1:6" x14ac:dyDescent="0.25">
      <c r="A5" s="1">
        <v>2</v>
      </c>
      <c r="B5" s="59" t="s">
        <v>77</v>
      </c>
      <c r="C5" s="131">
        <v>0.53390000000000004</v>
      </c>
      <c r="D5" s="131">
        <v>0.54649999999999999</v>
      </c>
      <c r="E5" s="132">
        <v>0.54</v>
      </c>
    </row>
  </sheetData>
  <mergeCells count="2">
    <mergeCell ref="B2:C2"/>
    <mergeCell ref="D2:E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16C4D-3E47-4E52-A1EC-88EB8BD59193}">
  <dimension ref="A1:L52"/>
  <sheetViews>
    <sheetView topLeftCell="A28" zoomScale="85" zoomScaleNormal="85" workbookViewId="0">
      <selection activeCell="G37" sqref="G37"/>
    </sheetView>
  </sheetViews>
  <sheetFormatPr defaultColWidth="11.42578125" defaultRowHeight="15" x14ac:dyDescent="0.25"/>
  <cols>
    <col min="1" max="1" width="3.140625" style="1" bestFit="1" customWidth="1"/>
    <col min="2" max="2" width="14.28515625" style="1" bestFit="1" customWidth="1"/>
    <col min="3" max="3" width="17.5703125" style="1" bestFit="1" customWidth="1"/>
    <col min="4" max="4" width="10.28515625" style="1" bestFit="1" customWidth="1"/>
    <col min="5" max="5" width="16.42578125" style="1" bestFit="1" customWidth="1"/>
    <col min="6" max="6" width="19.28515625" style="1" customWidth="1"/>
    <col min="7" max="7" width="26.5703125" style="1" customWidth="1"/>
    <col min="8" max="8" width="12" style="1" customWidth="1"/>
    <col min="9" max="9" width="54" style="1" customWidth="1"/>
    <col min="10" max="10" width="33.42578125" style="1" bestFit="1" customWidth="1"/>
    <col min="11" max="11" width="16.28515625" style="1" customWidth="1"/>
    <col min="12" max="12" width="33.42578125" style="1" customWidth="1"/>
    <col min="13" max="13" width="16.85546875" style="1" customWidth="1"/>
    <col min="14" max="14" width="25.140625" style="1" bestFit="1" customWidth="1"/>
    <col min="15" max="16384" width="11.42578125" style="1"/>
  </cols>
  <sheetData>
    <row r="1" spans="1:10" x14ac:dyDescent="0.25">
      <c r="F1" s="2" t="s">
        <v>73</v>
      </c>
    </row>
    <row r="2" spans="1:10" x14ac:dyDescent="0.25">
      <c r="B2" s="44" t="s">
        <v>13</v>
      </c>
      <c r="C2" s="34" t="s">
        <v>69</v>
      </c>
      <c r="D2" s="35" t="s">
        <v>2</v>
      </c>
      <c r="E2" s="35" t="s">
        <v>70</v>
      </c>
      <c r="F2" s="6" t="s">
        <v>9</v>
      </c>
      <c r="G2" s="32" t="s">
        <v>7</v>
      </c>
      <c r="I2" s="57"/>
      <c r="J2" s="57"/>
    </row>
    <row r="3" spans="1:10" x14ac:dyDescent="0.25">
      <c r="A3" s="49">
        <f>C3</f>
        <v>1</v>
      </c>
      <c r="B3" s="40" t="s">
        <v>20</v>
      </c>
      <c r="C3" s="36">
        <v>1</v>
      </c>
      <c r="D3" s="38">
        <v>410075.13336000004</v>
      </c>
      <c r="E3" s="37">
        <v>2.4560333434990343E-2</v>
      </c>
      <c r="F3" s="5">
        <v>2.1</v>
      </c>
      <c r="G3" s="33">
        <v>-8.0000000000000002E-3</v>
      </c>
      <c r="H3" s="2" t="s">
        <v>74</v>
      </c>
    </row>
    <row r="4" spans="1:10" x14ac:dyDescent="0.25">
      <c r="A4" s="49">
        <f t="shared" ref="A4:A29" si="0">C4</f>
        <v>2</v>
      </c>
      <c r="B4" s="41" t="s">
        <v>23</v>
      </c>
      <c r="C4" s="36">
        <v>2</v>
      </c>
      <c r="D4" s="38">
        <v>1047083.4013649999</v>
      </c>
      <c r="E4" s="37">
        <v>6.2712209006811015E-2</v>
      </c>
      <c r="F4" s="5">
        <v>10.5</v>
      </c>
      <c r="G4" s="2"/>
    </row>
    <row r="5" spans="1:10" x14ac:dyDescent="0.25">
      <c r="A5" s="49">
        <f t="shared" si="0"/>
        <v>3</v>
      </c>
      <c r="B5" s="40" t="s">
        <v>24</v>
      </c>
      <c r="C5" s="36">
        <v>3</v>
      </c>
      <c r="D5" s="38">
        <v>353384.28297</v>
      </c>
      <c r="E5" s="37">
        <v>2.1164989326014027E-2</v>
      </c>
      <c r="F5" s="5">
        <v>15.8</v>
      </c>
    </row>
    <row r="6" spans="1:10" x14ac:dyDescent="0.25">
      <c r="A6" s="49">
        <f t="shared" si="0"/>
        <v>4</v>
      </c>
      <c r="B6" s="41" t="s">
        <v>25</v>
      </c>
      <c r="C6" s="36">
        <v>4</v>
      </c>
      <c r="D6" s="38">
        <v>1080351.0860249999</v>
      </c>
      <c r="E6" s="37">
        <v>6.4704686388126445E-2</v>
      </c>
      <c r="F6" s="5">
        <v>37.4</v>
      </c>
    </row>
    <row r="7" spans="1:10" x14ac:dyDescent="0.25">
      <c r="A7" s="49">
        <f t="shared" si="0"/>
        <v>5</v>
      </c>
      <c r="B7" s="40" t="s">
        <v>28</v>
      </c>
      <c r="C7" s="36">
        <v>5</v>
      </c>
      <c r="D7" s="38">
        <v>290583.04151999997</v>
      </c>
      <c r="E7" s="37">
        <v>1.7403679983734877E-2</v>
      </c>
      <c r="F7" s="5">
        <v>70.3</v>
      </c>
    </row>
    <row r="8" spans="1:10" x14ac:dyDescent="0.25">
      <c r="A8" s="49">
        <f t="shared" si="0"/>
        <v>6</v>
      </c>
      <c r="B8" s="41" t="s">
        <v>30</v>
      </c>
      <c r="C8" s="36">
        <v>6</v>
      </c>
      <c r="D8" s="38">
        <v>330979.51575000002</v>
      </c>
      <c r="E8" s="37">
        <v>1.9823116803903629E-2</v>
      </c>
      <c r="F8" s="5">
        <v>26</v>
      </c>
    </row>
    <row r="9" spans="1:10" x14ac:dyDescent="0.25">
      <c r="A9" s="49">
        <f t="shared" si="0"/>
        <v>7</v>
      </c>
      <c r="B9" s="40" t="s">
        <v>31</v>
      </c>
      <c r="C9" s="36">
        <v>7</v>
      </c>
      <c r="D9" s="38">
        <v>241869.64612500003</v>
      </c>
      <c r="E9" s="37">
        <v>1.4486123818237268E-2</v>
      </c>
      <c r="F9" s="5">
        <v>57</v>
      </c>
    </row>
    <row r="10" spans="1:10" x14ac:dyDescent="0.25">
      <c r="A10" s="49">
        <f t="shared" si="0"/>
        <v>8</v>
      </c>
      <c r="B10" s="41" t="s">
        <v>32</v>
      </c>
      <c r="C10" s="36">
        <v>8</v>
      </c>
      <c r="D10" s="38">
        <v>467614.64917500003</v>
      </c>
      <c r="E10" s="37">
        <v>2.8006506048592051E-2</v>
      </c>
      <c r="F10" s="5">
        <v>24</v>
      </c>
    </row>
    <row r="11" spans="1:10" x14ac:dyDescent="0.25">
      <c r="A11" s="49">
        <f t="shared" si="0"/>
        <v>9</v>
      </c>
      <c r="B11" s="40" t="s">
        <v>33</v>
      </c>
      <c r="C11" s="36">
        <v>9</v>
      </c>
      <c r="D11" s="38">
        <v>303652.48906499997</v>
      </c>
      <c r="E11" s="37">
        <v>1.8186438954965942E-2</v>
      </c>
      <c r="F11" s="5">
        <v>78</v>
      </c>
    </row>
    <row r="12" spans="1:10" x14ac:dyDescent="0.25">
      <c r="A12" s="49">
        <f t="shared" si="0"/>
        <v>10</v>
      </c>
      <c r="B12" s="41" t="s">
        <v>34</v>
      </c>
      <c r="C12" s="36">
        <v>10</v>
      </c>
      <c r="D12" s="38">
        <v>537205.21402499999</v>
      </c>
      <c r="E12" s="37">
        <v>3.2174443427874351E-2</v>
      </c>
      <c r="F12" s="5">
        <v>12</v>
      </c>
    </row>
    <row r="13" spans="1:10" x14ac:dyDescent="0.25">
      <c r="A13" s="49">
        <f t="shared" si="0"/>
        <v>11</v>
      </c>
      <c r="B13" s="40" t="s">
        <v>37</v>
      </c>
      <c r="C13" s="36">
        <v>11</v>
      </c>
      <c r="D13" s="38">
        <v>635310.93715500005</v>
      </c>
      <c r="E13" s="37">
        <v>3.805021856256989E-2</v>
      </c>
      <c r="F13" s="5">
        <v>2</v>
      </c>
    </row>
    <row r="14" spans="1:10" x14ac:dyDescent="0.25">
      <c r="A14" s="49">
        <f t="shared" si="0"/>
        <v>12</v>
      </c>
      <c r="B14" s="41" t="s">
        <v>38</v>
      </c>
      <c r="C14" s="36">
        <v>12</v>
      </c>
      <c r="D14" s="38">
        <v>611208.83908499999</v>
      </c>
      <c r="E14" s="37">
        <v>3.66066890312087E-2</v>
      </c>
      <c r="F14" s="5">
        <v>3</v>
      </c>
    </row>
    <row r="15" spans="1:10" x14ac:dyDescent="0.25">
      <c r="A15" s="49">
        <f t="shared" si="0"/>
        <v>13</v>
      </c>
      <c r="B15" s="40" t="s">
        <v>40</v>
      </c>
      <c r="C15" s="36">
        <v>13</v>
      </c>
      <c r="D15" s="38">
        <v>475422.37108500005</v>
      </c>
      <c r="E15" s="37">
        <v>2.8474128291145675E-2</v>
      </c>
      <c r="F15" s="5">
        <v>6</v>
      </c>
    </row>
    <row r="16" spans="1:10" x14ac:dyDescent="0.25">
      <c r="A16" s="49">
        <f t="shared" si="0"/>
        <v>14</v>
      </c>
      <c r="B16" s="41" t="s">
        <v>41</v>
      </c>
      <c r="C16" s="36">
        <v>14</v>
      </c>
      <c r="D16" s="38">
        <v>410244.86644500005</v>
      </c>
      <c r="E16" s="37">
        <v>2.4570499135915424E-2</v>
      </c>
      <c r="F16" s="5">
        <v>8</v>
      </c>
    </row>
    <row r="17" spans="1:12" x14ac:dyDescent="0.25">
      <c r="A17" s="49">
        <f t="shared" si="0"/>
        <v>15</v>
      </c>
      <c r="B17" s="40" t="s">
        <v>42</v>
      </c>
      <c r="C17" s="36">
        <v>15</v>
      </c>
      <c r="D17" s="38">
        <v>912824.53113000002</v>
      </c>
      <c r="E17" s="37">
        <v>5.4671139575073698E-2</v>
      </c>
      <c r="F17" s="5">
        <v>9</v>
      </c>
    </row>
    <row r="18" spans="1:12" x14ac:dyDescent="0.25">
      <c r="A18" s="49">
        <f t="shared" si="0"/>
        <v>16</v>
      </c>
      <c r="B18" s="41" t="s">
        <v>45</v>
      </c>
      <c r="C18" s="36">
        <v>16</v>
      </c>
      <c r="D18" s="38">
        <v>584560.74473999999</v>
      </c>
      <c r="E18" s="37">
        <v>3.5010673985971331E-2</v>
      </c>
      <c r="F18" s="5">
        <v>3</v>
      </c>
    </row>
    <row r="19" spans="1:12" x14ac:dyDescent="0.25">
      <c r="A19" s="49">
        <f t="shared" si="0"/>
        <v>17</v>
      </c>
      <c r="B19" s="40" t="s">
        <v>46</v>
      </c>
      <c r="C19" s="36">
        <v>17</v>
      </c>
      <c r="D19" s="38">
        <v>508011.12340499996</v>
      </c>
      <c r="E19" s="37">
        <v>3.0425942868760797E-2</v>
      </c>
      <c r="F19" s="5">
        <v>26</v>
      </c>
    </row>
    <row r="20" spans="1:12" x14ac:dyDescent="0.25">
      <c r="A20" s="49">
        <f t="shared" si="0"/>
        <v>18</v>
      </c>
      <c r="B20" s="41" t="s">
        <v>47</v>
      </c>
      <c r="C20" s="36">
        <v>18</v>
      </c>
      <c r="D20" s="38">
        <v>605947.11344999995</v>
      </c>
      <c r="E20" s="37">
        <v>3.6291552302531255E-2</v>
      </c>
      <c r="F20" s="5">
        <v>36</v>
      </c>
    </row>
    <row r="21" spans="1:12" x14ac:dyDescent="0.25">
      <c r="A21" s="49">
        <f t="shared" si="0"/>
        <v>19</v>
      </c>
      <c r="B21" s="42" t="s">
        <v>48</v>
      </c>
      <c r="C21" s="36">
        <v>19</v>
      </c>
      <c r="D21" s="38">
        <v>2362005.6108599999</v>
      </c>
      <c r="E21" s="37">
        <v>0.14146589407339635</v>
      </c>
      <c r="F21" s="5">
        <v>12</v>
      </c>
    </row>
    <row r="22" spans="1:12" x14ac:dyDescent="0.25">
      <c r="A22" s="49">
        <f t="shared" si="0"/>
        <v>20</v>
      </c>
      <c r="B22" s="41" t="s">
        <v>50</v>
      </c>
      <c r="C22" s="36">
        <v>20</v>
      </c>
      <c r="D22" s="38">
        <v>450471.60759000003</v>
      </c>
      <c r="E22" s="37">
        <v>2.6979770255159095E-2</v>
      </c>
      <c r="F22" s="5">
        <v>13</v>
      </c>
    </row>
    <row r="23" spans="1:12" x14ac:dyDescent="0.25">
      <c r="A23" s="49">
        <f t="shared" si="0"/>
        <v>21</v>
      </c>
      <c r="B23" s="40" t="s">
        <v>52</v>
      </c>
      <c r="C23" s="36">
        <v>21</v>
      </c>
      <c r="D23" s="38">
        <v>1285558.3857900002</v>
      </c>
      <c r="E23" s="37">
        <v>7.6995018806546717E-2</v>
      </c>
      <c r="F23" s="5">
        <v>4</v>
      </c>
    </row>
    <row r="24" spans="1:12" x14ac:dyDescent="0.25">
      <c r="A24" s="49">
        <f t="shared" si="0"/>
        <v>22</v>
      </c>
      <c r="B24" s="41" t="s">
        <v>55</v>
      </c>
      <c r="C24" s="36">
        <v>22</v>
      </c>
      <c r="D24" s="38">
        <v>212166.35625000001</v>
      </c>
      <c r="E24" s="37">
        <v>1.270712615634848E-2</v>
      </c>
      <c r="F24" s="5">
        <v>6</v>
      </c>
    </row>
    <row r="25" spans="1:12" x14ac:dyDescent="0.25">
      <c r="A25" s="49">
        <f t="shared" si="0"/>
        <v>23</v>
      </c>
      <c r="B25" s="40" t="s">
        <v>58</v>
      </c>
      <c r="C25" s="36">
        <v>23</v>
      </c>
      <c r="D25" s="38">
        <v>347273.89191000001</v>
      </c>
      <c r="E25" s="37">
        <v>2.0799024092711192E-2</v>
      </c>
      <c r="F25" s="5">
        <v>7</v>
      </c>
    </row>
    <row r="26" spans="1:12" x14ac:dyDescent="0.25">
      <c r="A26" s="49">
        <f t="shared" si="0"/>
        <v>24</v>
      </c>
      <c r="B26" s="41" t="s">
        <v>59</v>
      </c>
      <c r="C26" s="36">
        <v>24</v>
      </c>
      <c r="D26" s="38">
        <v>680290.20468000008</v>
      </c>
      <c r="E26" s="37">
        <v>4.0744129307715773E-2</v>
      </c>
      <c r="F26" s="5">
        <v>89</v>
      </c>
    </row>
    <row r="27" spans="1:12" x14ac:dyDescent="0.25">
      <c r="A27" s="49">
        <f t="shared" si="0"/>
        <v>25</v>
      </c>
      <c r="B27" s="40" t="s">
        <v>60</v>
      </c>
      <c r="C27" s="36">
        <v>25</v>
      </c>
      <c r="D27" s="38">
        <v>438250.82547000004</v>
      </c>
      <c r="E27" s="37">
        <v>2.6247839788553422E-2</v>
      </c>
      <c r="F27" s="5">
        <v>56</v>
      </c>
    </row>
    <row r="28" spans="1:12" x14ac:dyDescent="0.25">
      <c r="A28" s="49">
        <f t="shared" si="0"/>
        <v>26</v>
      </c>
      <c r="B28" s="41" t="s">
        <v>61</v>
      </c>
      <c r="C28" s="36">
        <v>26</v>
      </c>
      <c r="D28" s="38">
        <v>1114297.7030249999</v>
      </c>
      <c r="E28" s="37">
        <v>6.6737826573142214E-2</v>
      </c>
      <c r="F28" s="5">
        <v>22</v>
      </c>
    </row>
    <row r="29" spans="1:12" x14ac:dyDescent="0.25">
      <c r="A29" s="49">
        <f t="shared" si="0"/>
        <v>27</v>
      </c>
      <c r="B29" s="43" t="s">
        <v>71</v>
      </c>
      <c r="C29" s="45">
        <v>27</v>
      </c>
      <c r="D29" s="46">
        <v>16696643.571450001</v>
      </c>
      <c r="E29" s="47">
        <v>1</v>
      </c>
      <c r="F29" s="48">
        <f>AVERAGE(F3:F28)</f>
        <v>24.426923076923078</v>
      </c>
    </row>
    <row r="31" spans="1:12" x14ac:dyDescent="0.25">
      <c r="D31" s="3"/>
    </row>
    <row r="32" spans="1:12" x14ac:dyDescent="0.25">
      <c r="C32" s="69" t="s">
        <v>88</v>
      </c>
      <c r="L32" s="50" t="s">
        <v>89</v>
      </c>
    </row>
    <row r="33" spans="3:12" x14ac:dyDescent="0.25">
      <c r="C33" s="50"/>
      <c r="L33" s="70">
        <f>'DRC VAS Cost'!C4</f>
        <v>0.2006</v>
      </c>
    </row>
    <row r="34" spans="3:12" x14ac:dyDescent="0.25">
      <c r="C34" s="50"/>
      <c r="I34" s="4" t="s">
        <v>8</v>
      </c>
      <c r="L34" s="50" t="s">
        <v>84</v>
      </c>
    </row>
    <row r="35" spans="3:12" x14ac:dyDescent="0.25">
      <c r="G35" s="50" t="s">
        <v>3</v>
      </c>
      <c r="I35" s="50" t="s">
        <v>82</v>
      </c>
      <c r="J35" s="50" t="s">
        <v>86</v>
      </c>
      <c r="L35" s="68" t="e">
        <f>J38*L33</f>
        <v>#REF!</v>
      </c>
    </row>
    <row r="36" spans="3:12" x14ac:dyDescent="0.25">
      <c r="G36" s="52">
        <f>G$43*G$37</f>
        <v>5922299.4747933159</v>
      </c>
      <c r="I36" s="65" t="e">
        <f>VLOOKUP(E$40,#REF!,3,FALSE)</f>
        <v>#REF!</v>
      </c>
      <c r="J36" s="67" t="e">
        <f>I36*(1+E45)</f>
        <v>#REF!</v>
      </c>
      <c r="L36" s="3"/>
    </row>
    <row r="37" spans="3:12" x14ac:dyDescent="0.25">
      <c r="D37" s="3"/>
      <c r="E37" s="3"/>
      <c r="F37" s="3"/>
      <c r="G37" s="53">
        <f>'DRC Population'!K32</f>
        <v>0.35470000000000002</v>
      </c>
      <c r="I37" s="50" t="s">
        <v>83</v>
      </c>
      <c r="J37" s="50" t="s">
        <v>87</v>
      </c>
      <c r="L37" s="50" t="s">
        <v>90</v>
      </c>
    </row>
    <row r="38" spans="3:12" x14ac:dyDescent="0.25">
      <c r="D38" s="3"/>
      <c r="F38" s="3"/>
      <c r="G38" s="4" t="s">
        <v>8</v>
      </c>
      <c r="I38" s="52" t="e">
        <f>G36*I36</f>
        <v>#REF!</v>
      </c>
      <c r="J38" s="52" t="e">
        <f>G36*J36</f>
        <v>#REF!</v>
      </c>
      <c r="L38" s="70">
        <f>'DRC VAS Cost'!C5</f>
        <v>0.53390000000000004</v>
      </c>
    </row>
    <row r="39" spans="3:12" x14ac:dyDescent="0.25">
      <c r="C39" s="50" t="s">
        <v>0</v>
      </c>
      <c r="D39" s="3"/>
      <c r="E39" s="50" t="s">
        <v>13</v>
      </c>
      <c r="G39" s="3"/>
      <c r="L39" s="50" t="s">
        <v>85</v>
      </c>
    </row>
    <row r="40" spans="3:12" x14ac:dyDescent="0.25">
      <c r="C40" s="50" t="s">
        <v>1</v>
      </c>
      <c r="D40" s="3"/>
      <c r="E40" s="54">
        <v>27</v>
      </c>
      <c r="G40" s="50" t="s">
        <v>13</v>
      </c>
      <c r="L40" s="68" t="e">
        <f>J38*L38</f>
        <v>#REF!</v>
      </c>
    </row>
    <row r="41" spans="3:12" x14ac:dyDescent="0.25">
      <c r="C41" s="52">
        <f>GETPIVOTDATA("Children",$C$2,"Province_id",27)</f>
        <v>16696643.571450001</v>
      </c>
      <c r="E41" s="50" t="s">
        <v>11</v>
      </c>
      <c r="F41" s="3"/>
      <c r="G41" s="51" t="str">
        <f>VLOOKUP(E40,A$3:B$29,2,FALSE)</f>
        <v>DRC Total</v>
      </c>
      <c r="I41" s="1" t="s">
        <v>96</v>
      </c>
    </row>
    <row r="42" spans="3:12" x14ac:dyDescent="0.25">
      <c r="C42" s="4" t="s">
        <v>5</v>
      </c>
      <c r="E42" s="55">
        <f>VLOOKUP(E40,C$2:F$29,4,FALSE)</f>
        <v>24.426923076923078</v>
      </c>
      <c r="G42" s="50" t="s">
        <v>2</v>
      </c>
      <c r="I42" s="1" t="s">
        <v>95</v>
      </c>
    </row>
    <row r="43" spans="3:12" x14ac:dyDescent="0.25">
      <c r="C43" s="4" t="s">
        <v>6</v>
      </c>
      <c r="E43" s="50" t="s">
        <v>94</v>
      </c>
      <c r="G43" s="52">
        <f>VLOOKUP(E40,C$2:F$29,2,FALSE)</f>
        <v>16696643.571450001</v>
      </c>
      <c r="L43" s="50" t="s">
        <v>89</v>
      </c>
    </row>
    <row r="44" spans="3:12" x14ac:dyDescent="0.25">
      <c r="C44" s="56" t="s">
        <v>92</v>
      </c>
      <c r="E44" s="50" t="s">
        <v>12</v>
      </c>
      <c r="G44" s="50" t="s">
        <v>93</v>
      </c>
      <c r="L44" s="70">
        <f>'DRC VAS Cost'!D4</f>
        <v>0.26040000000000002</v>
      </c>
    </row>
    <row r="45" spans="3:12" x14ac:dyDescent="0.25">
      <c r="E45" s="56">
        <f>E42*G$3</f>
        <v>-0.19541538461538463</v>
      </c>
      <c r="G45" s="53">
        <f>VLOOKUP(E40,C$2:F$29,3,FALSE)</f>
        <v>1</v>
      </c>
      <c r="I45" s="4" t="s">
        <v>8</v>
      </c>
      <c r="L45" s="50" t="s">
        <v>84</v>
      </c>
    </row>
    <row r="46" spans="3:12" x14ac:dyDescent="0.25">
      <c r="E46" s="4" t="s">
        <v>91</v>
      </c>
      <c r="G46" s="3"/>
      <c r="I46" s="50" t="s">
        <v>82</v>
      </c>
      <c r="J46" s="50" t="s">
        <v>86</v>
      </c>
      <c r="L46" s="68" t="e">
        <f>J49*L44</f>
        <v>#REF!</v>
      </c>
    </row>
    <row r="47" spans="3:12" x14ac:dyDescent="0.25">
      <c r="G47" s="50" t="s">
        <v>4</v>
      </c>
      <c r="I47" s="65" t="e">
        <f>VLOOKUP(E$40,#REF!,4,FALSE)</f>
        <v>#REF!</v>
      </c>
      <c r="J47" s="67" t="e">
        <f>I47*(1+E45)</f>
        <v>#REF!</v>
      </c>
      <c r="L47" s="3"/>
    </row>
    <row r="48" spans="3:12" x14ac:dyDescent="0.25">
      <c r="C48" s="50"/>
      <c r="G48" s="52">
        <f>G$43*G$49</f>
        <v>10774344.096656686</v>
      </c>
      <c r="I48" s="50" t="s">
        <v>83</v>
      </c>
      <c r="J48" s="50" t="s">
        <v>87</v>
      </c>
      <c r="L48" s="50" t="s">
        <v>90</v>
      </c>
    </row>
    <row r="49" spans="3:12" x14ac:dyDescent="0.25">
      <c r="C49" s="50"/>
      <c r="G49" s="53">
        <f>'DRC Population'!L32</f>
        <v>0.64529999999999998</v>
      </c>
      <c r="I49" s="52" t="e">
        <f>G48*I47</f>
        <v>#REF!</v>
      </c>
      <c r="J49" s="52" t="e">
        <f>G48*J47</f>
        <v>#REF!</v>
      </c>
      <c r="L49" s="70">
        <f>'DRC VAS Cost'!D5</f>
        <v>0.54649999999999999</v>
      </c>
    </row>
    <row r="50" spans="3:12" x14ac:dyDescent="0.25">
      <c r="G50" s="4" t="s">
        <v>8</v>
      </c>
      <c r="L50" s="50" t="s">
        <v>85</v>
      </c>
    </row>
    <row r="51" spans="3:12" x14ac:dyDescent="0.25">
      <c r="L51" s="68" t="e">
        <f>J49*L49</f>
        <v>#REF!</v>
      </c>
    </row>
    <row r="52" spans="3:12" x14ac:dyDescent="0.25">
      <c r="G52" s="71">
        <f>G49+G37</f>
        <v>1</v>
      </c>
    </row>
  </sheetData>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5B712-6F4B-4B85-AD62-2410F316ACF1}">
  <dimension ref="B3:AJ628"/>
  <sheetViews>
    <sheetView topLeftCell="A214" zoomScale="70" zoomScaleNormal="70" workbookViewId="0">
      <selection activeCell="N236" sqref="N236"/>
    </sheetView>
  </sheetViews>
  <sheetFormatPr defaultColWidth="11.42578125" defaultRowHeight="15" x14ac:dyDescent="0.25"/>
  <cols>
    <col min="1" max="1" width="3" style="109" bestFit="1" customWidth="1"/>
    <col min="2" max="4" width="12.5703125" style="109" customWidth="1"/>
    <col min="5" max="14" width="18.140625" style="109" customWidth="1"/>
    <col min="15" max="15" width="17.5703125" style="109" customWidth="1"/>
    <col min="16" max="20" width="15.7109375" style="109" customWidth="1"/>
    <col min="21" max="25" width="11.42578125" style="109"/>
    <col min="26" max="26" width="12.5703125" style="109" customWidth="1"/>
    <col min="27" max="16384" width="11.42578125" style="109"/>
  </cols>
  <sheetData>
    <row r="3" spans="2:13" x14ac:dyDescent="0.25">
      <c r="B3" s="309" t="s">
        <v>259</v>
      </c>
      <c r="E3" s="113" t="s">
        <v>145</v>
      </c>
      <c r="F3" s="113" t="s">
        <v>13</v>
      </c>
    </row>
    <row r="4" spans="2:13" x14ac:dyDescent="0.25">
      <c r="B4" s="236">
        <v>1</v>
      </c>
      <c r="E4" s="307">
        <v>1</v>
      </c>
      <c r="F4" s="307" t="s">
        <v>20</v>
      </c>
      <c r="H4" s="112" t="s">
        <v>146</v>
      </c>
      <c r="I4" s="112" t="s">
        <v>147</v>
      </c>
      <c r="J4" s="112"/>
      <c r="K4" s="112"/>
      <c r="L4" s="112"/>
      <c r="M4" s="112"/>
    </row>
    <row r="5" spans="2:13" x14ac:dyDescent="0.25">
      <c r="B5" s="236">
        <v>2</v>
      </c>
      <c r="E5" s="307">
        <v>2</v>
      </c>
      <c r="F5" s="307" t="s">
        <v>23</v>
      </c>
      <c r="H5" s="115">
        <v>1</v>
      </c>
      <c r="I5" s="110" t="s">
        <v>263</v>
      </c>
      <c r="J5" s="110"/>
      <c r="K5" s="110"/>
      <c r="L5" s="110"/>
      <c r="M5" s="110"/>
    </row>
    <row r="6" spans="2:13" x14ac:dyDescent="0.25">
      <c r="B6" s="236">
        <v>3</v>
      </c>
      <c r="E6" s="307">
        <v>3</v>
      </c>
      <c r="F6" s="307" t="s">
        <v>24</v>
      </c>
      <c r="H6" s="115">
        <v>2</v>
      </c>
      <c r="I6" s="110" t="s">
        <v>264</v>
      </c>
      <c r="J6" s="110"/>
      <c r="K6" s="110"/>
      <c r="L6" s="110"/>
      <c r="M6" s="110"/>
    </row>
    <row r="7" spans="2:13" x14ac:dyDescent="0.25">
      <c r="B7" s="236">
        <v>4</v>
      </c>
      <c r="E7" s="307">
        <v>4</v>
      </c>
      <c r="F7" s="307" t="s">
        <v>25</v>
      </c>
      <c r="H7" s="115">
        <v>3</v>
      </c>
      <c r="I7" s="33" t="s">
        <v>265</v>
      </c>
      <c r="J7" s="33"/>
      <c r="K7" s="33"/>
      <c r="L7" s="33"/>
      <c r="M7" s="33"/>
    </row>
    <row r="8" spans="2:13" x14ac:dyDescent="0.25">
      <c r="B8" s="236">
        <v>5</v>
      </c>
      <c r="E8" s="307">
        <v>5</v>
      </c>
      <c r="F8" s="307" t="s">
        <v>28</v>
      </c>
      <c r="H8" s="115">
        <v>4</v>
      </c>
      <c r="I8" s="33" t="s">
        <v>266</v>
      </c>
      <c r="J8" s="33"/>
      <c r="K8" s="33"/>
      <c r="L8" s="33"/>
      <c r="M8" s="33"/>
    </row>
    <row r="9" spans="2:13" x14ac:dyDescent="0.25">
      <c r="B9" s="236">
        <v>6</v>
      </c>
      <c r="E9" s="307">
        <v>6</v>
      </c>
      <c r="F9" s="307" t="s">
        <v>30</v>
      </c>
    </row>
    <row r="10" spans="2:13" x14ac:dyDescent="0.25">
      <c r="B10" s="236">
        <v>7</v>
      </c>
      <c r="E10" s="307">
        <v>7</v>
      </c>
      <c r="F10" s="307" t="s">
        <v>31</v>
      </c>
    </row>
    <row r="11" spans="2:13" x14ac:dyDescent="0.25">
      <c r="B11" s="236">
        <v>8</v>
      </c>
      <c r="E11" s="307">
        <v>8</v>
      </c>
      <c r="F11" s="307" t="s">
        <v>32</v>
      </c>
    </row>
    <row r="12" spans="2:13" x14ac:dyDescent="0.25">
      <c r="B12" s="236">
        <v>9</v>
      </c>
      <c r="E12" s="307">
        <v>9</v>
      </c>
      <c r="F12" s="307" t="s">
        <v>33</v>
      </c>
    </row>
    <row r="13" spans="2:13" x14ac:dyDescent="0.25">
      <c r="B13" s="236">
        <v>10</v>
      </c>
      <c r="E13" s="307">
        <v>10</v>
      </c>
      <c r="F13" s="307" t="s">
        <v>34</v>
      </c>
    </row>
    <row r="14" spans="2:13" x14ac:dyDescent="0.25">
      <c r="B14" s="236">
        <v>11</v>
      </c>
      <c r="E14" s="307">
        <v>11</v>
      </c>
      <c r="F14" s="307" t="s">
        <v>37</v>
      </c>
    </row>
    <row r="15" spans="2:13" x14ac:dyDescent="0.25">
      <c r="B15" s="236">
        <v>12</v>
      </c>
      <c r="E15" s="307">
        <v>12</v>
      </c>
      <c r="F15" s="307" t="s">
        <v>38</v>
      </c>
    </row>
    <row r="16" spans="2:13" x14ac:dyDescent="0.25">
      <c r="B16" s="236">
        <v>13</v>
      </c>
      <c r="E16" s="307">
        <v>13</v>
      </c>
      <c r="F16" s="307" t="s">
        <v>40</v>
      </c>
    </row>
    <row r="17" spans="2:10" x14ac:dyDescent="0.25">
      <c r="B17" s="236">
        <v>14</v>
      </c>
      <c r="E17" s="307">
        <v>14</v>
      </c>
      <c r="F17" s="307" t="s">
        <v>41</v>
      </c>
    </row>
    <row r="18" spans="2:10" x14ac:dyDescent="0.25">
      <c r="B18" s="236">
        <v>15</v>
      </c>
      <c r="E18" s="307">
        <v>15</v>
      </c>
      <c r="F18" s="307" t="s">
        <v>42</v>
      </c>
    </row>
    <row r="19" spans="2:10" x14ac:dyDescent="0.25">
      <c r="B19" s="236">
        <v>16</v>
      </c>
      <c r="E19" s="307">
        <v>16</v>
      </c>
      <c r="F19" s="307" t="s">
        <v>45</v>
      </c>
    </row>
    <row r="20" spans="2:10" x14ac:dyDescent="0.25">
      <c r="B20" s="236">
        <v>17</v>
      </c>
      <c r="E20" s="307">
        <v>17</v>
      </c>
      <c r="F20" s="307" t="s">
        <v>46</v>
      </c>
    </row>
    <row r="21" spans="2:10" x14ac:dyDescent="0.25">
      <c r="B21" s="236">
        <v>18</v>
      </c>
      <c r="E21" s="307">
        <v>18</v>
      </c>
      <c r="F21" s="307" t="s">
        <v>47</v>
      </c>
    </row>
    <row r="22" spans="2:10" x14ac:dyDescent="0.25">
      <c r="B22" s="236">
        <v>19</v>
      </c>
      <c r="E22" s="307">
        <v>19</v>
      </c>
      <c r="F22" s="307" t="s">
        <v>48</v>
      </c>
    </row>
    <row r="23" spans="2:10" x14ac:dyDescent="0.25">
      <c r="B23" s="236">
        <v>20</v>
      </c>
      <c r="E23" s="307">
        <v>20</v>
      </c>
      <c r="F23" s="307" t="s">
        <v>50</v>
      </c>
    </row>
    <row r="24" spans="2:10" x14ac:dyDescent="0.25">
      <c r="B24" s="236">
        <v>21</v>
      </c>
      <c r="E24" s="307">
        <v>21</v>
      </c>
      <c r="F24" s="307" t="s">
        <v>52</v>
      </c>
    </row>
    <row r="25" spans="2:10" x14ac:dyDescent="0.25">
      <c r="B25" s="236">
        <v>22</v>
      </c>
      <c r="E25" s="307">
        <v>22</v>
      </c>
      <c r="F25" s="307" t="s">
        <v>55</v>
      </c>
    </row>
    <row r="26" spans="2:10" x14ac:dyDescent="0.25">
      <c r="B26" s="236">
        <v>23</v>
      </c>
      <c r="E26" s="307">
        <v>23</v>
      </c>
      <c r="F26" s="307" t="s">
        <v>58</v>
      </c>
    </row>
    <row r="27" spans="2:10" x14ac:dyDescent="0.25">
      <c r="B27" s="236">
        <v>24</v>
      </c>
      <c r="E27" s="307">
        <v>24</v>
      </c>
      <c r="F27" s="307" t="s">
        <v>59</v>
      </c>
    </row>
    <row r="28" spans="2:10" x14ac:dyDescent="0.25">
      <c r="B28" s="236">
        <v>25</v>
      </c>
      <c r="E28" s="307">
        <v>25</v>
      </c>
      <c r="F28" s="307" t="s">
        <v>60</v>
      </c>
    </row>
    <row r="29" spans="2:10" x14ac:dyDescent="0.25">
      <c r="B29" s="236">
        <v>26</v>
      </c>
      <c r="E29" s="307">
        <v>26</v>
      </c>
      <c r="F29" s="307" t="s">
        <v>61</v>
      </c>
    </row>
    <row r="30" spans="2:10" x14ac:dyDescent="0.25">
      <c r="B30" s="236">
        <v>27</v>
      </c>
      <c r="E30" s="308">
        <v>27</v>
      </c>
      <c r="F30" s="308" t="s">
        <v>71</v>
      </c>
    </row>
    <row r="31" spans="2:10" x14ac:dyDescent="0.25">
      <c r="B31" s="236">
        <v>28</v>
      </c>
    </row>
    <row r="32" spans="2:10" x14ac:dyDescent="0.25">
      <c r="B32" s="236">
        <v>29</v>
      </c>
      <c r="I32" s="169">
        <v>0.338758</v>
      </c>
      <c r="J32" s="169">
        <v>0.661242</v>
      </c>
    </row>
    <row r="33" spans="2:15" x14ac:dyDescent="0.25">
      <c r="B33" s="236">
        <v>30</v>
      </c>
      <c r="E33" s="106" t="s">
        <v>13</v>
      </c>
      <c r="F33" s="106" t="s">
        <v>69</v>
      </c>
      <c r="G33" s="106" t="s">
        <v>2</v>
      </c>
      <c r="H33" s="106" t="s">
        <v>70</v>
      </c>
      <c r="I33" s="106" t="s">
        <v>193</v>
      </c>
      <c r="J33" s="106" t="s">
        <v>194</v>
      </c>
      <c r="K33" s="162" t="s">
        <v>101</v>
      </c>
      <c r="L33" s="162" t="s">
        <v>102</v>
      </c>
      <c r="M33" s="162" t="s">
        <v>103</v>
      </c>
      <c r="N33" s="162" t="s">
        <v>104</v>
      </c>
    </row>
    <row r="34" spans="2:15" x14ac:dyDescent="0.25">
      <c r="B34" s="236">
        <v>31</v>
      </c>
      <c r="D34" s="109">
        <v>1</v>
      </c>
      <c r="E34" s="40" t="s">
        <v>20</v>
      </c>
      <c r="F34" s="40">
        <v>1</v>
      </c>
      <c r="G34" s="166">
        <v>410075.13336000004</v>
      </c>
      <c r="H34" s="164">
        <v>2.4560333434990343E-2</v>
      </c>
      <c r="I34" s="170">
        <f>I$32*$G34</f>
        <v>138916.2320267669</v>
      </c>
      <c r="J34" s="170">
        <f>J$32*$G34</f>
        <v>271158.90133323317</v>
      </c>
      <c r="K34" s="164">
        <v>0.44695859995635101</v>
      </c>
      <c r="L34" s="164">
        <v>0.55304140004364899</v>
      </c>
      <c r="M34" s="40">
        <v>8.7347926701838094</v>
      </c>
      <c r="N34" s="40">
        <v>30.558621369614599</v>
      </c>
    </row>
    <row r="35" spans="2:15" x14ac:dyDescent="0.25">
      <c r="B35" s="236">
        <v>32</v>
      </c>
      <c r="D35" s="109">
        <v>2</v>
      </c>
      <c r="E35" s="41" t="s">
        <v>23</v>
      </c>
      <c r="F35" s="41">
        <v>2</v>
      </c>
      <c r="G35" s="167">
        <v>1047083.4013649999</v>
      </c>
      <c r="H35" s="161">
        <v>6.2712209006811015E-2</v>
      </c>
      <c r="I35" s="170">
        <f>I$32*$G35</f>
        <v>354707.87887960463</v>
      </c>
      <c r="J35" s="170">
        <f>J$32*$G35</f>
        <v>692375.52248539531</v>
      </c>
      <c r="K35" s="161">
        <v>0.76320922787128898</v>
      </c>
      <c r="L35" s="161">
        <v>0.23679077212871</v>
      </c>
      <c r="M35" s="41">
        <v>5.8305183656552799</v>
      </c>
      <c r="N35" s="41">
        <v>28.620390338617799</v>
      </c>
    </row>
    <row r="36" spans="2:15" x14ac:dyDescent="0.25">
      <c r="B36" s="236">
        <v>33</v>
      </c>
      <c r="D36" s="109">
        <v>3</v>
      </c>
      <c r="E36" s="40" t="s">
        <v>24</v>
      </c>
      <c r="F36" s="40">
        <v>3</v>
      </c>
      <c r="G36" s="166">
        <v>353384.28297</v>
      </c>
      <c r="H36" s="164">
        <v>2.1164989326014027E-2</v>
      </c>
      <c r="I36" s="170">
        <f>I$32*$G36</f>
        <v>119711.75293035126</v>
      </c>
      <c r="J36" s="170">
        <f>J$32*$G36</f>
        <v>233672.53003964873</v>
      </c>
      <c r="K36" s="164">
        <v>0.62908642735921705</v>
      </c>
      <c r="L36" s="164">
        <v>0.37091357264078301</v>
      </c>
      <c r="M36" s="40">
        <v>6.9178088177616397</v>
      </c>
      <c r="N36" s="40">
        <v>39.030718029709199</v>
      </c>
    </row>
    <row r="37" spans="2:15" x14ac:dyDescent="0.25">
      <c r="B37" s="236">
        <v>34</v>
      </c>
      <c r="D37" s="109">
        <v>4</v>
      </c>
      <c r="E37" s="41" t="s">
        <v>25</v>
      </c>
      <c r="F37" s="41">
        <v>4</v>
      </c>
      <c r="G37" s="167">
        <v>1080351.0860249999</v>
      </c>
      <c r="H37" s="161">
        <v>6.4704686388126445E-2</v>
      </c>
      <c r="I37" s="170">
        <f>I$32*$G37</f>
        <v>365977.57319965691</v>
      </c>
      <c r="J37" s="170">
        <f>J$32*$G37</f>
        <v>714373.51282534294</v>
      </c>
      <c r="K37" s="161">
        <v>0.84661239623818696</v>
      </c>
      <c r="L37" s="161">
        <v>0.15338760376181301</v>
      </c>
      <c r="M37" s="41">
        <v>10.1697415606729</v>
      </c>
      <c r="N37" s="41">
        <v>27.8745837282355</v>
      </c>
      <c r="O37" s="1"/>
    </row>
    <row r="38" spans="2:15" x14ac:dyDescent="0.25">
      <c r="B38" s="236">
        <v>35</v>
      </c>
      <c r="D38" s="109">
        <v>5</v>
      </c>
      <c r="E38" s="40" t="s">
        <v>28</v>
      </c>
      <c r="F38" s="40">
        <v>5</v>
      </c>
      <c r="G38" s="166">
        <v>290583.04151999997</v>
      </c>
      <c r="H38" s="164">
        <v>1.7403679983734877E-2</v>
      </c>
      <c r="I38" s="170">
        <f>I$32*$G38</f>
        <v>98437.329979232149</v>
      </c>
      <c r="J38" s="170">
        <f>J$32*$G38</f>
        <v>192145.71154076781</v>
      </c>
      <c r="K38" s="164">
        <v>0.42019298279714001</v>
      </c>
      <c r="L38" s="164">
        <v>0.57980701720285999</v>
      </c>
      <c r="M38" s="40">
        <v>9.4526620961216707</v>
      </c>
      <c r="N38" s="40">
        <v>32.541208673741203</v>
      </c>
      <c r="O38" s="1"/>
    </row>
    <row r="39" spans="2:15" x14ac:dyDescent="0.25">
      <c r="B39" s="236">
        <v>36</v>
      </c>
      <c r="D39" s="109">
        <v>6</v>
      </c>
      <c r="E39" s="41" t="s">
        <v>30</v>
      </c>
      <c r="F39" s="41">
        <v>6</v>
      </c>
      <c r="G39" s="167">
        <v>330979.51575000002</v>
      </c>
      <c r="H39" s="161">
        <v>1.9823116803903629E-2</v>
      </c>
      <c r="I39" s="170">
        <f>I$32*$G39</f>
        <v>112121.95879643851</v>
      </c>
      <c r="J39" s="170">
        <f>J$32*$G39</f>
        <v>218857.55695356152</v>
      </c>
      <c r="K39" s="161">
        <v>0.74943695212407302</v>
      </c>
      <c r="L39" s="161">
        <v>0.25056304787592698</v>
      </c>
      <c r="M39" s="41">
        <v>2.8452571785940601</v>
      </c>
      <c r="N39" s="41">
        <v>24.712720665430599</v>
      </c>
      <c r="O39" s="1"/>
    </row>
    <row r="40" spans="2:15" x14ac:dyDescent="0.25">
      <c r="B40" s="236">
        <v>37</v>
      </c>
      <c r="D40" s="109">
        <v>7</v>
      </c>
      <c r="E40" s="40" t="s">
        <v>31</v>
      </c>
      <c r="F40" s="40">
        <v>7</v>
      </c>
      <c r="G40" s="166">
        <v>241869.64612500003</v>
      </c>
      <c r="H40" s="164">
        <v>1.4486123818237268E-2</v>
      </c>
      <c r="I40" s="170">
        <f>I$32*$G40</f>
        <v>81935.277582012757</v>
      </c>
      <c r="J40" s="170">
        <f>J$32*$G40</f>
        <v>159934.36854298727</v>
      </c>
      <c r="K40" s="164">
        <v>0.95840285791311997</v>
      </c>
      <c r="L40" s="164">
        <v>4.1597142086880499E-2</v>
      </c>
      <c r="M40" s="40">
        <v>7.3559355489181604</v>
      </c>
      <c r="N40" s="40">
        <v>24.716435061992801</v>
      </c>
      <c r="O40" s="1"/>
    </row>
    <row r="41" spans="2:15" x14ac:dyDescent="0.25">
      <c r="B41" s="236">
        <v>38</v>
      </c>
      <c r="D41" s="109">
        <v>8</v>
      </c>
      <c r="E41" s="41" t="s">
        <v>32</v>
      </c>
      <c r="F41" s="41">
        <v>8</v>
      </c>
      <c r="G41" s="167">
        <v>467614.64917500003</v>
      </c>
      <c r="H41" s="161">
        <v>2.8006506048592051E-2</v>
      </c>
      <c r="I41" s="170">
        <f>I$32*$G41</f>
        <v>158408.20332522466</v>
      </c>
      <c r="J41" s="170">
        <f>J$32*$G41</f>
        <v>309206.44584977539</v>
      </c>
      <c r="K41" s="161">
        <v>0.43962132763316503</v>
      </c>
      <c r="L41" s="161">
        <v>0.56037867236683503</v>
      </c>
      <c r="M41" s="41">
        <v>2.3501133414245401</v>
      </c>
      <c r="N41" s="41">
        <v>27.680116823631199</v>
      </c>
      <c r="O41" s="1"/>
    </row>
    <row r="42" spans="2:15" x14ac:dyDescent="0.25">
      <c r="B42" s="236">
        <v>39</v>
      </c>
      <c r="D42" s="109">
        <v>9</v>
      </c>
      <c r="E42" s="40" t="s">
        <v>33</v>
      </c>
      <c r="F42" s="40">
        <v>9</v>
      </c>
      <c r="G42" s="166">
        <v>303652.48906499997</v>
      </c>
      <c r="H42" s="164">
        <v>1.8186438954965942E-2</v>
      </c>
      <c r="I42" s="170">
        <f>I$32*$G42</f>
        <v>102864.70989068126</v>
      </c>
      <c r="J42" s="170">
        <f>J$32*$G42</f>
        <v>200787.77917431871</v>
      </c>
      <c r="K42" s="164">
        <v>0.39646538087404998</v>
      </c>
      <c r="L42" s="164">
        <v>0.60353461912594997</v>
      </c>
      <c r="M42" s="40">
        <v>13.692592187123299</v>
      </c>
      <c r="N42" s="40">
        <v>38.957094997480802</v>
      </c>
      <c r="O42" s="1"/>
    </row>
    <row r="43" spans="2:15" x14ac:dyDescent="0.25">
      <c r="B43" s="236">
        <v>40</v>
      </c>
      <c r="D43" s="109">
        <v>10</v>
      </c>
      <c r="E43" s="41" t="s">
        <v>34</v>
      </c>
      <c r="F43" s="41">
        <v>10</v>
      </c>
      <c r="G43" s="167">
        <v>537205.21402499999</v>
      </c>
      <c r="H43" s="161">
        <v>3.2174443427874351E-2</v>
      </c>
      <c r="I43" s="170">
        <f>I$32*$G43</f>
        <v>181982.56389268095</v>
      </c>
      <c r="J43" s="170">
        <f>J$32*$G43</f>
        <v>355222.65013231902</v>
      </c>
      <c r="K43" s="161">
        <v>0.80663819884827503</v>
      </c>
      <c r="L43" s="161">
        <v>0.19336180115172499</v>
      </c>
      <c r="M43" s="41">
        <v>5.1918139288328504</v>
      </c>
      <c r="N43" s="41">
        <v>30.424662132171601</v>
      </c>
      <c r="O43" s="1"/>
    </row>
    <row r="44" spans="2:15" x14ac:dyDescent="0.25">
      <c r="B44" s="236">
        <v>41</v>
      </c>
      <c r="D44" s="109">
        <v>11</v>
      </c>
      <c r="E44" s="40" t="s">
        <v>37</v>
      </c>
      <c r="F44" s="40">
        <v>11</v>
      </c>
      <c r="G44" s="166">
        <v>635310.93715500005</v>
      </c>
      <c r="H44" s="164">
        <v>3.805021856256989E-2</v>
      </c>
      <c r="I44" s="170">
        <f>I$32*$G44</f>
        <v>215216.66244875352</v>
      </c>
      <c r="J44" s="170">
        <f>J$32*$G44</f>
        <v>420094.27470624656</v>
      </c>
      <c r="K44" s="164">
        <v>0.94607708409607305</v>
      </c>
      <c r="L44" s="164">
        <v>5.3922915903927102E-2</v>
      </c>
      <c r="M44" s="40">
        <v>6.2874800226314598</v>
      </c>
      <c r="N44" s="40">
        <v>30.235992573805699</v>
      </c>
      <c r="O44" s="1"/>
    </row>
    <row r="45" spans="2:15" x14ac:dyDescent="0.25">
      <c r="B45" s="236">
        <v>42</v>
      </c>
      <c r="D45" s="109">
        <v>12</v>
      </c>
      <c r="E45" s="41" t="s">
        <v>38</v>
      </c>
      <c r="F45" s="41">
        <v>12</v>
      </c>
      <c r="G45" s="167">
        <v>611208.83908499999</v>
      </c>
      <c r="H45" s="161">
        <v>3.66066890312087E-2</v>
      </c>
      <c r="I45" s="170">
        <f>I$32*$G45</f>
        <v>207051.88391075641</v>
      </c>
      <c r="J45" s="170">
        <f>J$32*$G45</f>
        <v>404156.95517424354</v>
      </c>
      <c r="K45" s="161">
        <v>1</v>
      </c>
      <c r="L45" s="161">
        <v>0</v>
      </c>
      <c r="M45" s="41">
        <v>3.8575171717200099</v>
      </c>
      <c r="N45" s="41">
        <v>0</v>
      </c>
      <c r="O45" s="1"/>
    </row>
    <row r="46" spans="2:15" x14ac:dyDescent="0.25">
      <c r="B46" s="236">
        <v>43</v>
      </c>
      <c r="D46" s="109">
        <v>13</v>
      </c>
      <c r="E46" s="40" t="s">
        <v>40</v>
      </c>
      <c r="F46" s="40">
        <v>13</v>
      </c>
      <c r="G46" s="166">
        <v>475422.37108500005</v>
      </c>
      <c r="H46" s="164">
        <v>2.8474128291145675E-2</v>
      </c>
      <c r="I46" s="170">
        <f>I$32*$G46</f>
        <v>161053.13158401244</v>
      </c>
      <c r="J46" s="170">
        <f>J$32*$G46</f>
        <v>314369.23950098758</v>
      </c>
      <c r="K46" s="164">
        <v>0.82054623340529098</v>
      </c>
      <c r="L46" s="164">
        <v>0.17945376659470899</v>
      </c>
      <c r="M46" s="40">
        <v>9.0559588956078105</v>
      </c>
      <c r="N46" s="40">
        <v>31.210540144290501</v>
      </c>
      <c r="O46" s="1"/>
    </row>
    <row r="47" spans="2:15" x14ac:dyDescent="0.25">
      <c r="B47" s="236">
        <v>44</v>
      </c>
      <c r="D47" s="109">
        <v>14</v>
      </c>
      <c r="E47" s="41" t="s">
        <v>41</v>
      </c>
      <c r="F47" s="41">
        <v>14</v>
      </c>
      <c r="G47" s="167">
        <v>410244.86644500005</v>
      </c>
      <c r="H47" s="161">
        <v>2.4570499135915424E-2</v>
      </c>
      <c r="I47" s="170">
        <f>I$32*$G47</f>
        <v>138973.73046717534</v>
      </c>
      <c r="J47" s="170">
        <f>J$32*$G47</f>
        <v>271271.13597782474</v>
      </c>
      <c r="K47" s="161">
        <v>0.333469467065939</v>
      </c>
      <c r="L47" s="161">
        <v>0.66653053293406095</v>
      </c>
      <c r="M47" s="41">
        <v>10.538323771212101</v>
      </c>
      <c r="N47" s="41">
        <v>35.8868696436381</v>
      </c>
      <c r="O47" s="1"/>
    </row>
    <row r="48" spans="2:15" x14ac:dyDescent="0.25">
      <c r="B48" s="236">
        <v>45</v>
      </c>
      <c r="D48" s="109">
        <v>15</v>
      </c>
      <c r="E48" s="40" t="s">
        <v>42</v>
      </c>
      <c r="F48" s="40">
        <v>15</v>
      </c>
      <c r="G48" s="166">
        <v>912824.53113000002</v>
      </c>
      <c r="H48" s="164">
        <v>5.4671139575073698E-2</v>
      </c>
      <c r="I48" s="170">
        <f>I$32*$G48</f>
        <v>309226.61251653655</v>
      </c>
      <c r="J48" s="170">
        <f>J$32*$G48</f>
        <v>603597.91861346352</v>
      </c>
      <c r="K48" s="164">
        <v>0.74905234116793296</v>
      </c>
      <c r="L48" s="164">
        <v>0.25094765883206699</v>
      </c>
      <c r="M48" s="40">
        <v>2.65009202194303</v>
      </c>
      <c r="N48" s="40">
        <v>65.075342150905499</v>
      </c>
      <c r="O48" s="1"/>
    </row>
    <row r="49" spans="2:15" x14ac:dyDescent="0.25">
      <c r="B49" s="236">
        <v>46</v>
      </c>
      <c r="D49" s="109">
        <v>16</v>
      </c>
      <c r="E49" s="41" t="s">
        <v>45</v>
      </c>
      <c r="F49" s="41">
        <v>16</v>
      </c>
      <c r="G49" s="167">
        <v>584560.74473999999</v>
      </c>
      <c r="H49" s="161">
        <v>3.5010673985971331E-2</v>
      </c>
      <c r="I49" s="170">
        <f>I$32*$G49</f>
        <v>198024.62876663293</v>
      </c>
      <c r="J49" s="170">
        <f>J$32*$G49</f>
        <v>386536.11597336706</v>
      </c>
      <c r="K49" s="161">
        <v>0.57402055427095799</v>
      </c>
      <c r="L49" s="161">
        <v>0.42597944572904201</v>
      </c>
      <c r="M49" s="41">
        <v>7.0255102710496899</v>
      </c>
      <c r="N49" s="41">
        <v>46.588105661991101</v>
      </c>
      <c r="O49" s="1"/>
    </row>
    <row r="50" spans="2:15" x14ac:dyDescent="0.25">
      <c r="B50" s="236">
        <v>47</v>
      </c>
      <c r="D50" s="109">
        <v>17</v>
      </c>
      <c r="E50" s="40" t="s">
        <v>46</v>
      </c>
      <c r="F50" s="40">
        <v>17</v>
      </c>
      <c r="G50" s="166">
        <v>508011.12340499996</v>
      </c>
      <c r="H50" s="164">
        <v>3.0425942868760797E-2</v>
      </c>
      <c r="I50" s="170">
        <f>I$32*$G50</f>
        <v>172092.83214243097</v>
      </c>
      <c r="J50" s="170">
        <f>J$32*$G50</f>
        <v>335918.29126256896</v>
      </c>
      <c r="K50" s="164">
        <v>0.59696214837842798</v>
      </c>
      <c r="L50" s="164">
        <v>0.40303785162157302</v>
      </c>
      <c r="M50" s="40">
        <v>5.4752049782485601</v>
      </c>
      <c r="N50" s="40">
        <v>24.375236735132901</v>
      </c>
      <c r="O50" s="1"/>
    </row>
    <row r="51" spans="2:15" x14ac:dyDescent="0.25">
      <c r="B51" s="236">
        <v>48</v>
      </c>
      <c r="D51" s="109">
        <v>18</v>
      </c>
      <c r="E51" s="41" t="s">
        <v>47</v>
      </c>
      <c r="F51" s="41">
        <v>18</v>
      </c>
      <c r="G51" s="167">
        <v>605947.11344999995</v>
      </c>
      <c r="H51" s="161">
        <v>3.6291552302531255E-2</v>
      </c>
      <c r="I51" s="170">
        <f>I$32*$G51</f>
        <v>205269.4322580951</v>
      </c>
      <c r="J51" s="170">
        <f>J$32*$G51</f>
        <v>400677.68119190488</v>
      </c>
      <c r="K51" s="161">
        <v>0.43867911636224199</v>
      </c>
      <c r="L51" s="161">
        <v>0.56132088363775801</v>
      </c>
      <c r="M51" s="41">
        <v>7.6900241649236598</v>
      </c>
      <c r="N51" s="41">
        <v>40.5587907098936</v>
      </c>
      <c r="O51" s="1"/>
    </row>
    <row r="52" spans="2:15" x14ac:dyDescent="0.25">
      <c r="B52" s="236">
        <v>49</v>
      </c>
      <c r="D52" s="109">
        <v>19</v>
      </c>
      <c r="E52" s="42" t="s">
        <v>48</v>
      </c>
      <c r="F52" s="42">
        <v>19</v>
      </c>
      <c r="G52" s="166">
        <v>2362005.6108599999</v>
      </c>
      <c r="H52" s="164">
        <v>0.14146589407339635</v>
      </c>
      <c r="I52" s="170">
        <f>I$32*$G52</f>
        <v>800148.29672371189</v>
      </c>
      <c r="J52" s="170">
        <f>J$32*$G52</f>
        <v>1561857.3141362881</v>
      </c>
      <c r="K52" s="164">
        <v>0.98994137403887095</v>
      </c>
      <c r="L52" s="164">
        <v>1.00586259611292E-2</v>
      </c>
      <c r="M52" s="42">
        <v>1.1592203926769999</v>
      </c>
      <c r="N52" s="42">
        <v>28.9299423682309</v>
      </c>
      <c r="O52" s="1"/>
    </row>
    <row r="53" spans="2:15" x14ac:dyDescent="0.25">
      <c r="B53" s="236">
        <v>50</v>
      </c>
      <c r="D53" s="109">
        <v>20</v>
      </c>
      <c r="E53" s="41" t="s">
        <v>50</v>
      </c>
      <c r="F53" s="41">
        <v>20</v>
      </c>
      <c r="G53" s="167">
        <v>450471.60759000003</v>
      </c>
      <c r="H53" s="161">
        <v>2.6979770255159095E-2</v>
      </c>
      <c r="I53" s="170">
        <f>I$32*$G53</f>
        <v>152600.86084397323</v>
      </c>
      <c r="J53" s="170">
        <f>J$32*$G53</f>
        <v>297870.74674602679</v>
      </c>
      <c r="K53" s="161">
        <v>0.62120327044673596</v>
      </c>
      <c r="L53" s="161">
        <v>0.37879672955326399</v>
      </c>
      <c r="M53" s="41">
        <v>2.1802255402351798</v>
      </c>
      <c r="N53" s="41">
        <v>45.586704433810503</v>
      </c>
      <c r="O53" s="1"/>
    </row>
    <row r="54" spans="2:15" x14ac:dyDescent="0.25">
      <c r="B54" s="236">
        <v>51</v>
      </c>
      <c r="D54" s="109">
        <v>21</v>
      </c>
      <c r="E54" s="40" t="s">
        <v>52</v>
      </c>
      <c r="F54" s="40">
        <v>21</v>
      </c>
      <c r="G54" s="166">
        <v>1285558.3857900002</v>
      </c>
      <c r="H54" s="164">
        <v>7.6995018806546717E-2</v>
      </c>
      <c r="I54" s="170">
        <f>I$32*$G54</f>
        <v>435493.1876534489</v>
      </c>
      <c r="J54" s="170">
        <f>J$32*$G54</f>
        <v>850065.19813655131</v>
      </c>
      <c r="K54" s="164">
        <v>0.77558650026636</v>
      </c>
      <c r="L54" s="164">
        <v>0.22441349973364</v>
      </c>
      <c r="M54" s="40">
        <v>7.0686928720018596</v>
      </c>
      <c r="N54" s="40">
        <v>32.531865007856098</v>
      </c>
      <c r="O54" s="1"/>
    </row>
    <row r="55" spans="2:15" x14ac:dyDescent="0.25">
      <c r="B55" s="236">
        <v>52</v>
      </c>
      <c r="D55" s="109">
        <v>22</v>
      </c>
      <c r="E55" s="41" t="s">
        <v>55</v>
      </c>
      <c r="F55" s="41">
        <v>22</v>
      </c>
      <c r="G55" s="167">
        <v>212166.35625000001</v>
      </c>
      <c r="H55" s="161">
        <v>1.270712615634848E-2</v>
      </c>
      <c r="I55" s="170">
        <f>I$32*$G55</f>
        <v>71873.050510537505</v>
      </c>
      <c r="J55" s="170">
        <f>J$32*$G55</f>
        <v>140293.30573946252</v>
      </c>
      <c r="K55" s="161">
        <v>0.904204471217955</v>
      </c>
      <c r="L55" s="161">
        <v>9.5795528782044503E-2</v>
      </c>
      <c r="M55" s="41">
        <v>5.7287971194951597</v>
      </c>
      <c r="N55" s="41">
        <v>35.535225010914303</v>
      </c>
      <c r="O55" s="1"/>
    </row>
    <row r="56" spans="2:15" x14ac:dyDescent="0.25">
      <c r="B56" s="236">
        <v>53</v>
      </c>
      <c r="D56" s="109">
        <v>23</v>
      </c>
      <c r="E56" s="40" t="s">
        <v>58</v>
      </c>
      <c r="F56" s="40">
        <v>23</v>
      </c>
      <c r="G56" s="166">
        <v>347273.89191000001</v>
      </c>
      <c r="H56" s="164">
        <v>2.0799024092711192E-2</v>
      </c>
      <c r="I56" s="170">
        <f>I$32*$G56</f>
        <v>117641.80907564779</v>
      </c>
      <c r="J56" s="170">
        <f>J$32*$G56</f>
        <v>229632.08283435222</v>
      </c>
      <c r="K56" s="164">
        <v>0.69403644764260097</v>
      </c>
      <c r="L56" s="164">
        <v>0.30596355235739903</v>
      </c>
      <c r="M56" s="40">
        <v>4.4539753737075598</v>
      </c>
      <c r="N56" s="40">
        <v>38.090548737423198</v>
      </c>
      <c r="O56" s="1"/>
    </row>
    <row r="57" spans="2:15" x14ac:dyDescent="0.25">
      <c r="B57" s="236">
        <v>54</v>
      </c>
      <c r="D57" s="109">
        <v>24</v>
      </c>
      <c r="E57" s="41" t="s">
        <v>59</v>
      </c>
      <c r="F57" s="41">
        <v>24</v>
      </c>
      <c r="G57" s="167">
        <v>680290.20468000008</v>
      </c>
      <c r="H57" s="161">
        <v>4.0744129307715773E-2</v>
      </c>
      <c r="I57" s="170">
        <f>I$32*$G57</f>
        <v>230453.74915698747</v>
      </c>
      <c r="J57" s="170">
        <f>J$32*$G57</f>
        <v>449836.45552301261</v>
      </c>
      <c r="K57" s="161">
        <v>0.850582253114474</v>
      </c>
      <c r="L57" s="161">
        <v>0.149417746885526</v>
      </c>
      <c r="M57" s="41">
        <v>8.9378757444960293</v>
      </c>
      <c r="N57" s="41">
        <v>32.663937852209003</v>
      </c>
      <c r="O57" s="1"/>
    </row>
    <row r="58" spans="2:15" x14ac:dyDescent="0.25">
      <c r="B58" s="236">
        <v>55</v>
      </c>
      <c r="D58" s="109">
        <v>25</v>
      </c>
      <c r="E58" s="40" t="s">
        <v>60</v>
      </c>
      <c r="F58" s="40">
        <v>25</v>
      </c>
      <c r="G58" s="166">
        <v>438250.82547000004</v>
      </c>
      <c r="H58" s="164">
        <v>2.6247839788553422E-2</v>
      </c>
      <c r="I58" s="170">
        <f>I$32*$G58</f>
        <v>148460.97313456627</v>
      </c>
      <c r="J58" s="170">
        <f>J$32*$G58</f>
        <v>289789.85233543377</v>
      </c>
      <c r="K58" s="164">
        <v>0.48712835104580099</v>
      </c>
      <c r="L58" s="164">
        <v>0.51287164895419901</v>
      </c>
      <c r="M58" s="40">
        <v>6.8613181295124903</v>
      </c>
      <c r="N58" s="40">
        <v>33.8124119598791</v>
      </c>
      <c r="O58" s="1"/>
    </row>
    <row r="59" spans="2:15" x14ac:dyDescent="0.25">
      <c r="B59" s="236">
        <v>56</v>
      </c>
      <c r="D59" s="109">
        <v>26</v>
      </c>
      <c r="E59" s="41" t="s">
        <v>61</v>
      </c>
      <c r="F59" s="41">
        <v>26</v>
      </c>
      <c r="G59" s="167">
        <v>1114297.7030249999</v>
      </c>
      <c r="H59" s="161">
        <v>6.6737826573142214E-2</v>
      </c>
      <c r="I59" s="170">
        <f>I$32*$G59</f>
        <v>377477.26128134294</v>
      </c>
      <c r="J59" s="170">
        <f>J$32*$G59</f>
        <v>736820.44174365699</v>
      </c>
      <c r="K59" s="161">
        <v>0.78841361571133695</v>
      </c>
      <c r="L59" s="161">
        <v>0.211586384288663</v>
      </c>
      <c r="M59" s="41">
        <v>9.9189629929517498</v>
      </c>
      <c r="N59" s="41">
        <v>47.173659920432598</v>
      </c>
      <c r="O59" s="1"/>
    </row>
    <row r="60" spans="2:15" x14ac:dyDescent="0.25">
      <c r="B60" s="236">
        <v>57</v>
      </c>
      <c r="D60" s="109">
        <v>27</v>
      </c>
      <c r="E60" s="43" t="s">
        <v>71</v>
      </c>
      <c r="F60" s="43">
        <v>27</v>
      </c>
      <c r="G60" s="168">
        <v>16696643.571450001</v>
      </c>
      <c r="H60" s="165">
        <v>1</v>
      </c>
      <c r="I60" s="170">
        <f>I$32*$G60</f>
        <v>5656121.5829772595</v>
      </c>
      <c r="J60" s="170">
        <f>J$32*$G60</f>
        <v>11040521.988472741</v>
      </c>
      <c r="K60" s="165">
        <v>0.69299999999999995</v>
      </c>
      <c r="L60" s="165">
        <v>0.307</v>
      </c>
      <c r="M60" s="43">
        <v>6.1701952383025596</v>
      </c>
      <c r="N60" s="43">
        <v>36.182761094160803</v>
      </c>
      <c r="O60" s="1"/>
    </row>
    <row r="61" spans="2:15" x14ac:dyDescent="0.25">
      <c r="B61" s="236">
        <v>58</v>
      </c>
    </row>
    <row r="62" spans="2:15" x14ac:dyDescent="0.25">
      <c r="B62" s="236">
        <v>59</v>
      </c>
      <c r="G62" s="148" t="s">
        <v>208</v>
      </c>
      <c r="H62" s="194" t="s">
        <v>175</v>
      </c>
      <c r="I62" s="194"/>
      <c r="J62" s="194"/>
      <c r="K62" s="207" t="s">
        <v>201</v>
      </c>
    </row>
    <row r="63" spans="2:15" x14ac:dyDescent="0.25">
      <c r="B63" s="236">
        <v>60</v>
      </c>
      <c r="E63" s="106" t="s">
        <v>13</v>
      </c>
      <c r="F63" s="108" t="s">
        <v>112</v>
      </c>
      <c r="G63" s="188">
        <v>1</v>
      </c>
      <c r="H63" s="188">
        <v>2</v>
      </c>
      <c r="I63" s="189">
        <v>3</v>
      </c>
      <c r="J63" s="189">
        <v>4</v>
      </c>
      <c r="K63" s="208"/>
    </row>
    <row r="64" spans="2:15" x14ac:dyDescent="0.25">
      <c r="B64" s="236">
        <v>61</v>
      </c>
      <c r="D64" s="109">
        <f>D34</f>
        <v>1</v>
      </c>
      <c r="E64" s="40" t="s">
        <v>20</v>
      </c>
      <c r="F64" s="97">
        <v>0</v>
      </c>
      <c r="G64" s="248">
        <v>196396</v>
      </c>
      <c r="H64" s="250">
        <f>G34</f>
        <v>410075.13336000004</v>
      </c>
      <c r="I64" s="126">
        <f>G34*0.5</f>
        <v>205037.56668000002</v>
      </c>
      <c r="J64" s="126">
        <f>G34*0.2</f>
        <v>82015.026672000007</v>
      </c>
      <c r="K64" s="163">
        <f>G64/G34</f>
        <v>0.47892686979287358</v>
      </c>
    </row>
    <row r="65" spans="2:11" x14ac:dyDescent="0.25">
      <c r="B65" s="236">
        <v>62</v>
      </c>
      <c r="D65" s="109">
        <f>D35</f>
        <v>2</v>
      </c>
      <c r="E65" s="41" t="s">
        <v>23</v>
      </c>
      <c r="F65" s="97">
        <v>0</v>
      </c>
      <c r="G65" s="248">
        <v>232364</v>
      </c>
      <c r="H65" s="250">
        <f t="shared" ref="H65:H90" si="0">G35</f>
        <v>1047083.4013649999</v>
      </c>
      <c r="I65" s="126">
        <f t="shared" ref="I65:I89" si="1">G35*0.5</f>
        <v>523541.70068249997</v>
      </c>
      <c r="J65" s="126">
        <f t="shared" ref="J65:J89" si="2">G35*0.2</f>
        <v>209416.68027300001</v>
      </c>
      <c r="K65" s="163">
        <f>G65/G35</f>
        <v>0.22191546508815382</v>
      </c>
    </row>
    <row r="66" spans="2:11" x14ac:dyDescent="0.25">
      <c r="B66" s="236">
        <v>63</v>
      </c>
      <c r="D66" s="109">
        <f>D36</f>
        <v>3</v>
      </c>
      <c r="E66" s="40" t="s">
        <v>24</v>
      </c>
      <c r="F66" s="97">
        <v>9</v>
      </c>
      <c r="G66" s="248">
        <v>9950</v>
      </c>
      <c r="H66" s="250">
        <f t="shared" si="0"/>
        <v>353384.28297</v>
      </c>
      <c r="I66" s="126">
        <f t="shared" si="1"/>
        <v>176692.141485</v>
      </c>
      <c r="J66" s="126">
        <f t="shared" si="2"/>
        <v>70676.856593999997</v>
      </c>
      <c r="K66" s="163">
        <f>G66/G36</f>
        <v>2.8156317299614281E-2</v>
      </c>
    </row>
    <row r="67" spans="2:11" x14ac:dyDescent="0.25">
      <c r="B67" s="236">
        <v>64</v>
      </c>
      <c r="D67" s="109">
        <f>D37</f>
        <v>4</v>
      </c>
      <c r="E67" s="41" t="s">
        <v>25</v>
      </c>
      <c r="F67" s="97">
        <v>0</v>
      </c>
      <c r="G67" s="248">
        <v>2242960</v>
      </c>
      <c r="H67" s="250">
        <f t="shared" si="0"/>
        <v>1080351.0860249999</v>
      </c>
      <c r="I67" s="126">
        <f t="shared" si="1"/>
        <v>540175.54301249993</v>
      </c>
      <c r="J67" s="126">
        <f t="shared" si="2"/>
        <v>216070.21720499999</v>
      </c>
      <c r="K67" s="163">
        <f>G67/G37</f>
        <v>2.0761399039757125</v>
      </c>
    </row>
    <row r="68" spans="2:11" x14ac:dyDescent="0.25">
      <c r="B68" s="236">
        <v>65</v>
      </c>
      <c r="D68" s="109">
        <f>D38</f>
        <v>5</v>
      </c>
      <c r="E68" s="40" t="s">
        <v>28</v>
      </c>
      <c r="F68" s="97">
        <v>5</v>
      </c>
      <c r="G68" s="248">
        <v>40672</v>
      </c>
      <c r="H68" s="250">
        <f t="shared" si="0"/>
        <v>290583.04151999997</v>
      </c>
      <c r="I68" s="126">
        <f t="shared" si="1"/>
        <v>145291.52075999998</v>
      </c>
      <c r="J68" s="126">
        <f t="shared" si="2"/>
        <v>58116.608303999994</v>
      </c>
      <c r="K68" s="163">
        <f>G68/G38</f>
        <v>0.13996687414121056</v>
      </c>
    </row>
    <row r="69" spans="2:11" x14ac:dyDescent="0.25">
      <c r="B69" s="236">
        <v>66</v>
      </c>
      <c r="D69" s="109">
        <f>D39</f>
        <v>6</v>
      </c>
      <c r="E69" s="41" t="s">
        <v>30</v>
      </c>
      <c r="F69" s="97">
        <v>12</v>
      </c>
      <c r="G69" s="248">
        <v>0</v>
      </c>
      <c r="H69" s="250">
        <f t="shared" si="0"/>
        <v>330979.51575000002</v>
      </c>
      <c r="I69" s="126">
        <f t="shared" si="1"/>
        <v>165489.75787500001</v>
      </c>
      <c r="J69" s="126">
        <f t="shared" si="2"/>
        <v>66195.903150000013</v>
      </c>
      <c r="K69" s="163">
        <f>G69/G39</f>
        <v>0</v>
      </c>
    </row>
    <row r="70" spans="2:11" x14ac:dyDescent="0.25">
      <c r="B70" s="236">
        <v>67</v>
      </c>
      <c r="D70" s="109">
        <f>D40</f>
        <v>7</v>
      </c>
      <c r="E70" s="40" t="s">
        <v>31</v>
      </c>
      <c r="F70" s="97">
        <v>4</v>
      </c>
      <c r="G70" s="248">
        <v>27045</v>
      </c>
      <c r="H70" s="250">
        <f t="shared" si="0"/>
        <v>241869.64612500003</v>
      </c>
      <c r="I70" s="126">
        <f t="shared" si="1"/>
        <v>120934.82306250001</v>
      </c>
      <c r="J70" s="126">
        <f t="shared" si="2"/>
        <v>48373.929225000007</v>
      </c>
      <c r="K70" s="163">
        <f>G70/G40</f>
        <v>0.11181642853201573</v>
      </c>
    </row>
    <row r="71" spans="2:11" x14ac:dyDescent="0.25">
      <c r="B71" s="236">
        <v>68</v>
      </c>
      <c r="D71" s="109">
        <f>D41</f>
        <v>8</v>
      </c>
      <c r="E71" s="41" t="s">
        <v>32</v>
      </c>
      <c r="F71" s="97">
        <v>12</v>
      </c>
      <c r="G71" s="248">
        <v>0</v>
      </c>
      <c r="H71" s="250">
        <f t="shared" si="0"/>
        <v>467614.64917500003</v>
      </c>
      <c r="I71" s="126">
        <f t="shared" si="1"/>
        <v>233807.32458750001</v>
      </c>
      <c r="J71" s="126">
        <f t="shared" si="2"/>
        <v>93522.929835000017</v>
      </c>
      <c r="K71" s="163">
        <f>G71/G41</f>
        <v>0</v>
      </c>
    </row>
    <row r="72" spans="2:11" x14ac:dyDescent="0.25">
      <c r="B72" s="236">
        <v>69</v>
      </c>
      <c r="D72" s="109">
        <f>D42</f>
        <v>9</v>
      </c>
      <c r="E72" s="40" t="s">
        <v>33</v>
      </c>
      <c r="F72" s="97">
        <v>0</v>
      </c>
      <c r="G72" s="248">
        <v>255155</v>
      </c>
      <c r="H72" s="250">
        <f t="shared" si="0"/>
        <v>303652.48906499997</v>
      </c>
      <c r="I72" s="126">
        <f t="shared" si="1"/>
        <v>151826.24453249999</v>
      </c>
      <c r="J72" s="126">
        <f t="shared" si="2"/>
        <v>60730.497812999994</v>
      </c>
      <c r="K72" s="163">
        <f>G72/G42</f>
        <v>0.84028621265601222</v>
      </c>
    </row>
    <row r="73" spans="2:11" x14ac:dyDescent="0.25">
      <c r="B73" s="236">
        <v>70</v>
      </c>
      <c r="D73" s="109">
        <f>D43</f>
        <v>10</v>
      </c>
      <c r="E73" s="41" t="s">
        <v>34</v>
      </c>
      <c r="F73" s="97">
        <v>0</v>
      </c>
      <c r="G73" s="248">
        <v>718596</v>
      </c>
      <c r="H73" s="250">
        <f t="shared" si="0"/>
        <v>537205.21402499999</v>
      </c>
      <c r="I73" s="126">
        <f t="shared" si="1"/>
        <v>268602.6070125</v>
      </c>
      <c r="J73" s="126">
        <f t="shared" si="2"/>
        <v>107441.042805</v>
      </c>
      <c r="K73" s="163">
        <f>G73/G43</f>
        <v>1.3376564136746421</v>
      </c>
    </row>
    <row r="74" spans="2:11" x14ac:dyDescent="0.25">
      <c r="B74" s="236">
        <v>71</v>
      </c>
      <c r="D74" s="109">
        <f>D44</f>
        <v>11</v>
      </c>
      <c r="E74" s="40" t="s">
        <v>37</v>
      </c>
      <c r="F74" s="97">
        <v>0</v>
      </c>
      <c r="G74" s="248">
        <v>331568</v>
      </c>
      <c r="H74" s="250">
        <f t="shared" si="0"/>
        <v>635310.93715500005</v>
      </c>
      <c r="I74" s="126">
        <f t="shared" si="1"/>
        <v>317655.46857750003</v>
      </c>
      <c r="J74" s="126">
        <f t="shared" si="2"/>
        <v>127062.18743100001</v>
      </c>
      <c r="K74" s="163">
        <f>G74/G44</f>
        <v>0.52189877524350825</v>
      </c>
    </row>
    <row r="75" spans="2:11" x14ac:dyDescent="0.25">
      <c r="B75" s="236">
        <v>72</v>
      </c>
      <c r="D75" s="109">
        <f>D45</f>
        <v>12</v>
      </c>
      <c r="E75" s="41" t="s">
        <v>38</v>
      </c>
      <c r="F75" s="97">
        <v>0</v>
      </c>
      <c r="G75" s="248">
        <v>188638</v>
      </c>
      <c r="H75" s="250">
        <f t="shared" si="0"/>
        <v>611208.83908499999</v>
      </c>
      <c r="I75" s="126">
        <f t="shared" si="1"/>
        <v>305604.41954249999</v>
      </c>
      <c r="J75" s="126">
        <f t="shared" si="2"/>
        <v>122241.767817</v>
      </c>
      <c r="K75" s="163">
        <f>G75/G45</f>
        <v>0.30863100782769665</v>
      </c>
    </row>
    <row r="76" spans="2:11" x14ac:dyDescent="0.25">
      <c r="B76" s="236">
        <v>73</v>
      </c>
      <c r="D76" s="109">
        <f>D46</f>
        <v>13</v>
      </c>
      <c r="E76" s="40" t="s">
        <v>40</v>
      </c>
      <c r="F76" s="97">
        <v>0</v>
      </c>
      <c r="G76" s="248">
        <v>145235</v>
      </c>
      <c r="H76" s="250">
        <f t="shared" si="0"/>
        <v>475422.37108500005</v>
      </c>
      <c r="I76" s="126">
        <f t="shared" si="1"/>
        <v>237711.18554250002</v>
      </c>
      <c r="J76" s="126">
        <f t="shared" si="2"/>
        <v>95084.47421700001</v>
      </c>
      <c r="K76" s="163">
        <f>G76/G46</f>
        <v>0.30548625566051385</v>
      </c>
    </row>
    <row r="77" spans="2:11" x14ac:dyDescent="0.25">
      <c r="B77" s="236">
        <v>74</v>
      </c>
      <c r="D77" s="109">
        <f>D47</f>
        <v>14</v>
      </c>
      <c r="E77" s="41" t="s">
        <v>41</v>
      </c>
      <c r="F77" s="97">
        <v>7</v>
      </c>
      <c r="G77" s="248">
        <v>82340</v>
      </c>
      <c r="H77" s="250">
        <f t="shared" si="0"/>
        <v>410244.86644500005</v>
      </c>
      <c r="I77" s="126">
        <f t="shared" si="1"/>
        <v>205122.43322250003</v>
      </c>
      <c r="J77" s="126">
        <f t="shared" si="2"/>
        <v>82048.973289000016</v>
      </c>
      <c r="K77" s="163">
        <f>G77/G47</f>
        <v>0.20070939756911987</v>
      </c>
    </row>
    <row r="78" spans="2:11" x14ac:dyDescent="0.25">
      <c r="B78" s="236">
        <v>75</v>
      </c>
      <c r="D78" s="109">
        <f>D48</f>
        <v>15</v>
      </c>
      <c r="E78" s="40" t="s">
        <v>42</v>
      </c>
      <c r="F78" s="97">
        <v>1</v>
      </c>
      <c r="G78" s="248">
        <v>43604</v>
      </c>
      <c r="H78" s="250">
        <f t="shared" si="0"/>
        <v>912824.53113000002</v>
      </c>
      <c r="I78" s="126">
        <f t="shared" si="1"/>
        <v>456412.26556500001</v>
      </c>
      <c r="J78" s="126">
        <f t="shared" si="2"/>
        <v>182564.90622600002</v>
      </c>
      <c r="K78" s="163">
        <f>G78/G48</f>
        <v>4.7768216686751304E-2</v>
      </c>
    </row>
    <row r="79" spans="2:11" x14ac:dyDescent="0.25">
      <c r="B79" s="236">
        <v>76</v>
      </c>
      <c r="D79" s="109">
        <f>D49</f>
        <v>16</v>
      </c>
      <c r="E79" s="41" t="s">
        <v>45</v>
      </c>
      <c r="F79" s="97">
        <v>5</v>
      </c>
      <c r="G79" s="248">
        <v>19364</v>
      </c>
      <c r="H79" s="250">
        <f t="shared" si="0"/>
        <v>584560.74473999999</v>
      </c>
      <c r="I79" s="126">
        <f t="shared" si="1"/>
        <v>292280.37237</v>
      </c>
      <c r="J79" s="126">
        <f t="shared" si="2"/>
        <v>116912.148948</v>
      </c>
      <c r="K79" s="163">
        <f>G79/G49</f>
        <v>3.3125727606996072E-2</v>
      </c>
    </row>
    <row r="80" spans="2:11" x14ac:dyDescent="0.25">
      <c r="B80" s="236">
        <v>77</v>
      </c>
      <c r="D80" s="109">
        <f>D50</f>
        <v>17</v>
      </c>
      <c r="E80" s="40" t="s">
        <v>46</v>
      </c>
      <c r="F80" s="97">
        <v>0</v>
      </c>
      <c r="G80" s="248">
        <v>51178</v>
      </c>
      <c r="H80" s="250">
        <f t="shared" si="0"/>
        <v>508011.12340499996</v>
      </c>
      <c r="I80" s="126">
        <f t="shared" si="1"/>
        <v>254005.56170249998</v>
      </c>
      <c r="J80" s="126">
        <f t="shared" si="2"/>
        <v>101602.22468099999</v>
      </c>
      <c r="K80" s="163">
        <f>G80/G50</f>
        <v>0.10074188859679661</v>
      </c>
    </row>
    <row r="81" spans="2:29" x14ac:dyDescent="0.25">
      <c r="B81" s="236">
        <v>78</v>
      </c>
      <c r="D81" s="109">
        <f>D51</f>
        <v>18</v>
      </c>
      <c r="E81" s="41" t="s">
        <v>47</v>
      </c>
      <c r="F81" s="97">
        <v>0</v>
      </c>
      <c r="G81" s="248">
        <v>285815</v>
      </c>
      <c r="H81" s="250">
        <f t="shared" si="0"/>
        <v>605947.11344999995</v>
      </c>
      <c r="I81" s="126">
        <f t="shared" si="1"/>
        <v>302973.55672499997</v>
      </c>
      <c r="J81" s="126">
        <f t="shared" si="2"/>
        <v>121189.42268999999</v>
      </c>
      <c r="K81" s="163">
        <f>G81/G51</f>
        <v>0.4716830786975672</v>
      </c>
    </row>
    <row r="82" spans="2:29" x14ac:dyDescent="0.25">
      <c r="B82" s="236">
        <v>79</v>
      </c>
      <c r="D82" s="109">
        <f>D52</f>
        <v>19</v>
      </c>
      <c r="E82" s="42" t="s">
        <v>48</v>
      </c>
      <c r="F82" s="97">
        <v>0</v>
      </c>
      <c r="G82" s="248">
        <v>28607</v>
      </c>
      <c r="H82" s="250">
        <f t="shared" si="0"/>
        <v>2362005.6108599999</v>
      </c>
      <c r="I82" s="126">
        <f t="shared" si="1"/>
        <v>1181002.8054299999</v>
      </c>
      <c r="J82" s="126">
        <f t="shared" si="2"/>
        <v>472401.122172</v>
      </c>
      <c r="K82" s="163">
        <f>G82/G52</f>
        <v>1.2111317546610005E-2</v>
      </c>
    </row>
    <row r="83" spans="2:29" x14ac:dyDescent="0.25">
      <c r="B83" s="236">
        <v>80</v>
      </c>
      <c r="D83" s="109">
        <f>D53</f>
        <v>20</v>
      </c>
      <c r="E83" s="41" t="s">
        <v>50</v>
      </c>
      <c r="F83" s="97">
        <v>12</v>
      </c>
      <c r="G83" s="248">
        <v>0</v>
      </c>
      <c r="H83" s="250">
        <f t="shared" si="0"/>
        <v>450471.60759000003</v>
      </c>
      <c r="I83" s="126">
        <f t="shared" si="1"/>
        <v>225235.80379500001</v>
      </c>
      <c r="J83" s="126">
        <f t="shared" si="2"/>
        <v>90094.321518000012</v>
      </c>
      <c r="K83" s="163">
        <f>G83/G53</f>
        <v>0</v>
      </c>
    </row>
    <row r="84" spans="2:29" x14ac:dyDescent="0.25">
      <c r="B84" s="236">
        <v>81</v>
      </c>
      <c r="D84" s="109">
        <f>D54</f>
        <v>21</v>
      </c>
      <c r="E84" s="40" t="s">
        <v>52</v>
      </c>
      <c r="F84" s="97">
        <v>0</v>
      </c>
      <c r="G84" s="248">
        <v>2286472</v>
      </c>
      <c r="H84" s="250">
        <f t="shared" si="0"/>
        <v>1285558.3857900002</v>
      </c>
      <c r="I84" s="126">
        <f t="shared" si="1"/>
        <v>642779.1928950001</v>
      </c>
      <c r="J84" s="126">
        <f t="shared" si="2"/>
        <v>257111.67715800006</v>
      </c>
      <c r="K84" s="163">
        <f>G84/G54</f>
        <v>1.778582774048741</v>
      </c>
    </row>
    <row r="85" spans="2:29" x14ac:dyDescent="0.25">
      <c r="B85" s="236">
        <v>82</v>
      </c>
      <c r="D85" s="109">
        <f>D55</f>
        <v>22</v>
      </c>
      <c r="E85" s="41" t="s">
        <v>55</v>
      </c>
      <c r="F85" s="97">
        <v>10</v>
      </c>
      <c r="G85" s="248">
        <v>900</v>
      </c>
      <c r="H85" s="250">
        <f t="shared" si="0"/>
        <v>212166.35625000001</v>
      </c>
      <c r="I85" s="126">
        <f t="shared" si="1"/>
        <v>106083.17812500001</v>
      </c>
      <c r="J85" s="126">
        <f t="shared" si="2"/>
        <v>42433.271250000005</v>
      </c>
      <c r="K85" s="163">
        <f>G85/G55</f>
        <v>4.2419543602827932E-3</v>
      </c>
    </row>
    <row r="86" spans="2:29" x14ac:dyDescent="0.25">
      <c r="B86" s="236">
        <v>83</v>
      </c>
      <c r="D86" s="109">
        <f>D56</f>
        <v>23</v>
      </c>
      <c r="E86" s="40" t="s">
        <v>58</v>
      </c>
      <c r="F86" s="97">
        <v>6</v>
      </c>
      <c r="G86" s="248">
        <v>5068</v>
      </c>
      <c r="H86" s="250">
        <f t="shared" si="0"/>
        <v>347273.89191000001</v>
      </c>
      <c r="I86" s="126">
        <f t="shared" si="1"/>
        <v>173636.945955</v>
      </c>
      <c r="J86" s="126">
        <f t="shared" si="2"/>
        <v>69454.778382000004</v>
      </c>
      <c r="K86" s="163">
        <f>G86/G56</f>
        <v>1.4593668335175137E-2</v>
      </c>
    </row>
    <row r="87" spans="2:29" x14ac:dyDescent="0.25">
      <c r="B87" s="236">
        <v>84</v>
      </c>
      <c r="D87" s="109">
        <f>D57</f>
        <v>24</v>
      </c>
      <c r="E87" s="41" t="s">
        <v>59</v>
      </c>
      <c r="F87" s="97">
        <v>0</v>
      </c>
      <c r="G87" s="248">
        <v>74283</v>
      </c>
      <c r="H87" s="250">
        <f t="shared" si="0"/>
        <v>680290.20468000008</v>
      </c>
      <c r="I87" s="126">
        <f t="shared" si="1"/>
        <v>340145.10234000004</v>
      </c>
      <c r="J87" s="126">
        <f t="shared" si="2"/>
        <v>136058.04093600003</v>
      </c>
      <c r="K87" s="163">
        <f>G87/G57</f>
        <v>0.10919310536735095</v>
      </c>
    </row>
    <row r="88" spans="2:29" x14ac:dyDescent="0.25">
      <c r="B88" s="236">
        <v>85</v>
      </c>
      <c r="D88" s="109">
        <f>D58</f>
        <v>25</v>
      </c>
      <c r="E88" s="40" t="s">
        <v>60</v>
      </c>
      <c r="F88" s="97">
        <v>2</v>
      </c>
      <c r="G88" s="248">
        <v>49596</v>
      </c>
      <c r="H88" s="250">
        <f t="shared" si="0"/>
        <v>438250.82547000004</v>
      </c>
      <c r="I88" s="126">
        <f t="shared" si="1"/>
        <v>219125.41273500002</v>
      </c>
      <c r="J88" s="126">
        <f t="shared" si="2"/>
        <v>87650.165094000011</v>
      </c>
      <c r="K88" s="163">
        <f>G88/G58</f>
        <v>0.11316806978471974</v>
      </c>
    </row>
    <row r="89" spans="2:29" x14ac:dyDescent="0.25">
      <c r="B89" s="236">
        <v>86</v>
      </c>
      <c r="D89" s="109">
        <f>D59</f>
        <v>26</v>
      </c>
      <c r="E89" s="41" t="s">
        <v>61</v>
      </c>
      <c r="F89" s="97">
        <v>0</v>
      </c>
      <c r="G89" s="248">
        <v>1221581</v>
      </c>
      <c r="H89" s="250">
        <f t="shared" si="0"/>
        <v>1114297.7030249999</v>
      </c>
      <c r="I89" s="126">
        <f t="shared" si="1"/>
        <v>557148.85151249997</v>
      </c>
      <c r="J89" s="126">
        <f t="shared" si="2"/>
        <v>222859.54060499999</v>
      </c>
      <c r="K89" s="163">
        <f>G89/G59</f>
        <v>1.0962788460245019</v>
      </c>
    </row>
    <row r="90" spans="2:29" x14ac:dyDescent="0.25">
      <c r="B90" s="236">
        <v>87</v>
      </c>
      <c r="D90" s="109">
        <f>D60</f>
        <v>27</v>
      </c>
      <c r="E90" s="43" t="s">
        <v>71</v>
      </c>
      <c r="F90" s="96">
        <v>85</v>
      </c>
      <c r="G90" s="249">
        <f>SUM(G64:G89)</f>
        <v>8537387</v>
      </c>
      <c r="H90" s="249">
        <f t="shared" si="0"/>
        <v>16696643.571450001</v>
      </c>
      <c r="I90" s="127">
        <f>SUM(I64:I89)</f>
        <v>8348321.7857249985</v>
      </c>
      <c r="J90" s="127">
        <f>SUM(J64:J89)</f>
        <v>3339328.7142900005</v>
      </c>
      <c r="K90" s="163">
        <f>G90/G60</f>
        <v>0.51132354616458886</v>
      </c>
    </row>
    <row r="91" spans="2:29" x14ac:dyDescent="0.25">
      <c r="B91" s="236">
        <v>88</v>
      </c>
      <c r="T91" s="224"/>
      <c r="U91" s="223" t="s">
        <v>212</v>
      </c>
      <c r="V91" s="224"/>
      <c r="W91" s="224"/>
      <c r="X91" s="224"/>
      <c r="Y91" s="224"/>
      <c r="Z91" s="224"/>
      <c r="AA91" s="224"/>
      <c r="AB91" s="224"/>
      <c r="AC91" s="224"/>
    </row>
    <row r="92" spans="2:29" x14ac:dyDescent="0.25">
      <c r="B92" s="236">
        <v>89</v>
      </c>
      <c r="F92" s="205" t="s">
        <v>178</v>
      </c>
      <c r="G92" s="206"/>
      <c r="H92" s="148" t="s">
        <v>179</v>
      </c>
      <c r="I92" s="192"/>
      <c r="J92" s="148" t="s">
        <v>180</v>
      </c>
      <c r="K92" s="192"/>
      <c r="L92" s="244" t="s">
        <v>181</v>
      </c>
      <c r="M92" s="245"/>
      <c r="N92" s="245"/>
      <c r="W92" s="227" t="s">
        <v>210</v>
      </c>
      <c r="X92" s="227"/>
      <c r="Y92" s="234"/>
    </row>
    <row r="93" spans="2:29" x14ac:dyDescent="0.25">
      <c r="B93" s="236">
        <v>90</v>
      </c>
      <c r="E93" s="106" t="s">
        <v>13</v>
      </c>
      <c r="F93" s="63" t="s">
        <v>176</v>
      </c>
      <c r="G93" s="63" t="s">
        <v>177</v>
      </c>
      <c r="H93" s="63" t="s">
        <v>176</v>
      </c>
      <c r="I93" s="63" t="s">
        <v>177</v>
      </c>
      <c r="J93" s="63" t="s">
        <v>176</v>
      </c>
      <c r="K93" s="63" t="s">
        <v>177</v>
      </c>
      <c r="L93" s="63" t="s">
        <v>183</v>
      </c>
      <c r="M93" s="61" t="s">
        <v>182</v>
      </c>
      <c r="N93" s="61" t="s">
        <v>211</v>
      </c>
      <c r="Q93" s="147"/>
      <c r="T93" s="229" t="s">
        <v>213</v>
      </c>
      <c r="U93" s="229"/>
      <c r="V93" s="229"/>
      <c r="W93" s="110" t="s">
        <v>142</v>
      </c>
      <c r="X93" s="110" t="s">
        <v>209</v>
      </c>
      <c r="Y93" s="233" t="s">
        <v>203</v>
      </c>
      <c r="Z93" s="224" t="s">
        <v>217</v>
      </c>
      <c r="AA93" s="224" t="s">
        <v>218</v>
      </c>
      <c r="AB93" s="224" t="s">
        <v>216</v>
      </c>
    </row>
    <row r="94" spans="2:29" x14ac:dyDescent="0.25">
      <c r="B94" s="236">
        <v>91</v>
      </c>
      <c r="D94" s="109">
        <f>D64</f>
        <v>1</v>
      </c>
      <c r="E94" s="40" t="s">
        <v>20</v>
      </c>
      <c r="F94" s="66">
        <v>0.97</v>
      </c>
      <c r="G94" s="66">
        <v>0.97</v>
      </c>
      <c r="H94" s="37">
        <v>0.60383253549598104</v>
      </c>
      <c r="I94" s="37">
        <v>0.71793230110525796</v>
      </c>
      <c r="J94" s="149">
        <f>AVERAGE(F94,H94)</f>
        <v>0.78691626774799051</v>
      </c>
      <c r="K94" s="149">
        <f>AVERAGE(G94,I94)</f>
        <v>0.84396615055262902</v>
      </c>
      <c r="L94" s="128">
        <f>J94</f>
        <v>0.78691626774799051</v>
      </c>
      <c r="M94" s="128">
        <f>IF(VLOOKUP(E94,$E$168:$G$193,3,FALSE)=2,K94,18%)</f>
        <v>0.18</v>
      </c>
      <c r="N94" s="128">
        <f>L94*(I34/(I34+J34))+M94*(J34/(I34+J34))</f>
        <v>0.38559774102977373</v>
      </c>
      <c r="Q94" s="181"/>
      <c r="T94" s="109">
        <v>21</v>
      </c>
      <c r="U94" s="109" t="s">
        <v>52</v>
      </c>
      <c r="V94" s="109" t="s">
        <v>187</v>
      </c>
      <c r="W94" s="226">
        <f>VLOOKUP(T94,$D$94:$N$119,9,FALSE)</f>
        <v>0.90184982815229842</v>
      </c>
      <c r="X94" s="226">
        <f>VLOOKUP(T94,$D$94:$N$119,11,FALSE)</f>
        <v>0.42453240408521631</v>
      </c>
      <c r="Y94" s="226" t="e">
        <f>VLOOKUP(T94,$D$63:$K$89,9,FALSE)</f>
        <v>#REF!</v>
      </c>
      <c r="Z94" s="226">
        <f>VLOOKUP(T94,$F$34:$Q$59,7,FALSE)</f>
        <v>0.22441349973364</v>
      </c>
      <c r="AA94" s="235">
        <f>VLOOKUP(T94,$F$34:$Q$59,9,FALSE)</f>
        <v>32.531865007856098</v>
      </c>
      <c r="AB94" s="235">
        <f>VLOOKUP(T94,$F$34:$Q$59,12,FALSE)</f>
        <v>0</v>
      </c>
    </row>
    <row r="95" spans="2:29" x14ac:dyDescent="0.25">
      <c r="B95" s="236">
        <v>92</v>
      </c>
      <c r="D95" s="109">
        <f t="shared" ref="D95:D120" si="3">D65</f>
        <v>2</v>
      </c>
      <c r="E95" s="41" t="s">
        <v>23</v>
      </c>
      <c r="F95" s="66">
        <v>0.95899999999999996</v>
      </c>
      <c r="G95" s="66">
        <v>0.95899999999999996</v>
      </c>
      <c r="H95" s="37">
        <v>0.79682297495814602</v>
      </c>
      <c r="I95" s="37">
        <v>0.83752925296340697</v>
      </c>
      <c r="J95" s="149">
        <f>AVERAGE(F95,H95)</f>
        <v>0.87791148747907299</v>
      </c>
      <c r="K95" s="149">
        <f>AVERAGE(G95,I95)</f>
        <v>0.89826462648170347</v>
      </c>
      <c r="L95" s="128">
        <f t="shared" ref="L95:L120" si="4">J95</f>
        <v>0.87791148747907299</v>
      </c>
      <c r="M95" s="128">
        <f>IF(VLOOKUP(E95,$E$168:$G$193,3,FALSE)=2,K95,18%)</f>
        <v>0.89826462648170347</v>
      </c>
      <c r="N95" s="128">
        <f>L95*(I35/(I35+J35))+M95*(J35/(I35+J35))</f>
        <v>0.89136983781945034</v>
      </c>
      <c r="Q95" s="181"/>
      <c r="T95" s="109">
        <v>26</v>
      </c>
      <c r="U95" s="109" t="s">
        <v>61</v>
      </c>
      <c r="V95" s="109" t="s">
        <v>187</v>
      </c>
      <c r="W95" s="226">
        <f>VLOOKUP(T95,$D$94:$N$119,9,FALSE)</f>
        <v>0.82728683649019052</v>
      </c>
      <c r="X95" s="226">
        <f>VLOOKUP(T95,$D$94:$N$119,11,FALSE)</f>
        <v>0.39927359415574393</v>
      </c>
      <c r="Y95" s="226" t="e">
        <f>VLOOKUP(T95,$D$63:$K$89,9,FALSE)</f>
        <v>#REF!</v>
      </c>
      <c r="Z95" s="226">
        <f>VLOOKUP(T95,$F$34:$Q$59,7,FALSE)</f>
        <v>0.211586384288663</v>
      </c>
      <c r="AA95" s="235">
        <f>VLOOKUP(T95,$F$34:$Q$59,9,FALSE)</f>
        <v>47.173659920432598</v>
      </c>
      <c r="AB95" s="235">
        <f>VLOOKUP(T95,$F$34:$Q$59,12,FALSE)</f>
        <v>0</v>
      </c>
    </row>
    <row r="96" spans="2:29" x14ac:dyDescent="0.25">
      <c r="B96" s="236">
        <v>93</v>
      </c>
      <c r="D96" s="109">
        <f t="shared" si="3"/>
        <v>3</v>
      </c>
      <c r="E96" s="40" t="s">
        <v>24</v>
      </c>
      <c r="F96" s="66">
        <v>0.71899999999999997</v>
      </c>
      <c r="G96" s="66">
        <v>0.71899999999999997</v>
      </c>
      <c r="H96" s="37">
        <v>0.64473950998912</v>
      </c>
      <c r="I96" s="37">
        <v>0.65111967660830705</v>
      </c>
      <c r="J96" s="149">
        <f>AVERAGE(F96,H96)</f>
        <v>0.68186975499456004</v>
      </c>
      <c r="K96" s="149">
        <f>AVERAGE(G96,I96)</f>
        <v>0.68505983830415351</v>
      </c>
      <c r="L96" s="128">
        <f t="shared" si="4"/>
        <v>0.68186975499456004</v>
      </c>
      <c r="M96" s="128">
        <f>IF(VLOOKUP(E96,$E$168:$G$193,3,FALSE)=2,K96,18%)</f>
        <v>0.18</v>
      </c>
      <c r="N96" s="128">
        <f>L96*(I36/(I36+J36))+M96*(J36/(I36+J36))</f>
        <v>0.35001239446244714</v>
      </c>
      <c r="Q96" s="181"/>
      <c r="T96" s="109">
        <v>11</v>
      </c>
      <c r="U96" s="109" t="s">
        <v>37</v>
      </c>
      <c r="V96" s="109" t="s">
        <v>187</v>
      </c>
      <c r="W96" s="226">
        <f>VLOOKUP(T96,$D$94:$N$119,9,FALSE)</f>
        <v>0.82669962875193304</v>
      </c>
      <c r="X96" s="226">
        <f>VLOOKUP(T96,$D$94:$N$119,11,FALSE)</f>
        <v>0.39907467283674736</v>
      </c>
      <c r="Y96" s="226" t="e">
        <f>VLOOKUP(T96,$D$63:$K$89,9,FALSE)</f>
        <v>#REF!</v>
      </c>
      <c r="Z96" s="226">
        <f>VLOOKUP(T96,$F$34:$Q$59,7,FALSE)</f>
        <v>5.3922915903927102E-2</v>
      </c>
      <c r="AA96" s="235">
        <f>VLOOKUP(T96,$F$34:$Q$59,9,FALSE)</f>
        <v>30.235992573805699</v>
      </c>
      <c r="AB96" s="235">
        <f>VLOOKUP(T96,$F$34:$Q$59,12,FALSE)</f>
        <v>0</v>
      </c>
    </row>
    <row r="97" spans="2:36" x14ac:dyDescent="0.25">
      <c r="B97" s="236">
        <v>94</v>
      </c>
      <c r="D97" s="109">
        <f t="shared" si="3"/>
        <v>4</v>
      </c>
      <c r="E97" s="41" t="s">
        <v>25</v>
      </c>
      <c r="F97" s="66">
        <v>0.97599999999999998</v>
      </c>
      <c r="G97" s="66">
        <v>0.97599999999999998</v>
      </c>
      <c r="H97" s="37">
        <v>0.72707625530522302</v>
      </c>
      <c r="I97" s="37">
        <v>0.744852259720024</v>
      </c>
      <c r="J97" s="149">
        <f>AVERAGE(F97,H97)</f>
        <v>0.8515381276526115</v>
      </c>
      <c r="K97" s="149">
        <f>AVERAGE(G97,I97)</f>
        <v>0.86042612986001199</v>
      </c>
      <c r="L97" s="128">
        <f t="shared" si="4"/>
        <v>0.8515381276526115</v>
      </c>
      <c r="M97" s="128">
        <f>IF(VLOOKUP(E97,$E$168:$G$193,3,FALSE)=2,K97,18%)</f>
        <v>0.86042612986001199</v>
      </c>
      <c r="N97" s="128">
        <f>L97*(I37/(I37+J37))+M97*(J37/(I37+J37))</f>
        <v>0.85741524800823754</v>
      </c>
      <c r="Q97" s="181"/>
      <c r="T97" s="109">
        <v>24</v>
      </c>
      <c r="U97" s="109" t="s">
        <v>59</v>
      </c>
      <c r="V97" s="109" t="s">
        <v>187</v>
      </c>
      <c r="W97" s="226">
        <f>VLOOKUP(T97,$D$94:$N$119,9,FALSE)</f>
        <v>0.816656131654524</v>
      </c>
      <c r="X97" s="226">
        <f>VLOOKUP(T97,$D$94:$N$119,11,FALSE)</f>
        <v>0.39567235784702326</v>
      </c>
      <c r="Y97" s="226" t="e">
        <f>VLOOKUP(T97,$D$63:$K$89,9,FALSE)</f>
        <v>#REF!</v>
      </c>
      <c r="Z97" s="226">
        <f>VLOOKUP(T97,$F$34:$Q$59,7,FALSE)</f>
        <v>0.149417746885526</v>
      </c>
      <c r="AA97" s="235">
        <f>VLOOKUP(T97,$F$34:$Q$59,9,FALSE)</f>
        <v>32.663937852209003</v>
      </c>
      <c r="AB97" s="235">
        <f>VLOOKUP(T97,$F$34:$Q$59,12,FALSE)</f>
        <v>0</v>
      </c>
    </row>
    <row r="98" spans="2:36" x14ac:dyDescent="0.25">
      <c r="B98" s="236">
        <v>95</v>
      </c>
      <c r="D98" s="109">
        <f t="shared" si="3"/>
        <v>5</v>
      </c>
      <c r="E98" s="40" t="s">
        <v>28</v>
      </c>
      <c r="F98" s="66">
        <v>0.76300000000000001</v>
      </c>
      <c r="G98" s="66">
        <v>0.76300000000000001</v>
      </c>
      <c r="H98" s="37">
        <v>0.62289421946673496</v>
      </c>
      <c r="I98" s="37">
        <v>0.51187505054419802</v>
      </c>
      <c r="J98" s="149">
        <f>AVERAGE(F98,H98)</f>
        <v>0.69294710973336748</v>
      </c>
      <c r="K98" s="149">
        <f>AVERAGE(G98,I98)</f>
        <v>0.63743752527209896</v>
      </c>
      <c r="L98" s="128">
        <f t="shared" si="4"/>
        <v>0.69294710973336748</v>
      </c>
      <c r="M98" s="128">
        <f>IF(VLOOKUP(E98,$E$168:$G$193,3,FALSE)=2,K98,18%)</f>
        <v>0.18</v>
      </c>
      <c r="N98" s="128">
        <f>L98*(I38/(I38+J38))+M98*(J38/(I38+J38))</f>
        <v>0.35376493699905609</v>
      </c>
      <c r="Q98" s="181"/>
      <c r="T98" s="109">
        <v>1</v>
      </c>
      <c r="U98" s="109" t="s">
        <v>20</v>
      </c>
      <c r="V98" s="109" t="s">
        <v>187</v>
      </c>
      <c r="W98" s="226">
        <f>VLOOKUP(T98,$D$94:$N$119,9,FALSE)</f>
        <v>0.78691626774799051</v>
      </c>
      <c r="X98" s="226">
        <f>VLOOKUP(T98,$D$94:$N$119,11,FALSE)</f>
        <v>0.38559774102977373</v>
      </c>
      <c r="Y98" s="226" t="e">
        <f>VLOOKUP(T98,$D$63:$K$89,9,FALSE)</f>
        <v>#REF!</v>
      </c>
      <c r="Z98" s="226">
        <f>VLOOKUP(T98,$F$34:$Q$59,7,FALSE)</f>
        <v>0.55304140004364899</v>
      </c>
      <c r="AA98" s="235">
        <f>VLOOKUP(T98,$F$34:$Q$59,9,FALSE)</f>
        <v>30.558621369614599</v>
      </c>
      <c r="AB98" s="235">
        <f>VLOOKUP(T98,$F$34:$Q$59,12,FALSE)</f>
        <v>0</v>
      </c>
    </row>
    <row r="99" spans="2:36" x14ac:dyDescent="0.25">
      <c r="B99" s="236">
        <v>96</v>
      </c>
      <c r="D99" s="109">
        <f t="shared" si="3"/>
        <v>6</v>
      </c>
      <c r="E99" s="41" t="s">
        <v>30</v>
      </c>
      <c r="F99" s="66">
        <v>0.34699999999999998</v>
      </c>
      <c r="G99" s="66">
        <v>0.34699999999999998</v>
      </c>
      <c r="H99" s="37">
        <v>0.54596251043823296</v>
      </c>
      <c r="I99" s="37">
        <v>0.52163561555367399</v>
      </c>
      <c r="J99" s="149">
        <f>AVERAGE(F99,H99)</f>
        <v>0.44648125521911647</v>
      </c>
      <c r="K99" s="149">
        <f>AVERAGE(G99,I99)</f>
        <v>0.43431780777683698</v>
      </c>
      <c r="L99" s="128">
        <f t="shared" si="4"/>
        <v>0.44648125521911647</v>
      </c>
      <c r="M99" s="128">
        <f>IF(VLOOKUP(E99,$E$168:$G$193,3,FALSE)=2,K99,18%)</f>
        <v>0.18</v>
      </c>
      <c r="N99" s="128">
        <f>L99*(I39/(I39+J39))+M99*(J39/(I39+J39))</f>
        <v>0.27027265705551745</v>
      </c>
      <c r="Q99" s="181"/>
      <c r="T99" s="109">
        <v>22</v>
      </c>
      <c r="U99" s="109" t="s">
        <v>55</v>
      </c>
      <c r="V99" s="109" t="s">
        <v>187</v>
      </c>
      <c r="W99" s="226">
        <f>VLOOKUP(T99,$D$94:$N$119,9,FALSE)</f>
        <v>0.71737946733282909</v>
      </c>
      <c r="X99" s="226">
        <f>VLOOKUP(T99,$D$94:$N$119,11,FALSE)</f>
        <v>0.36204159359473453</v>
      </c>
      <c r="Y99" s="226" t="e">
        <f>VLOOKUP(T99,$D$63:$K$89,9,FALSE)</f>
        <v>#REF!</v>
      </c>
      <c r="Z99" s="226">
        <f>VLOOKUP(T99,$F$34:$Q$59,7,FALSE)</f>
        <v>9.5795528782044503E-2</v>
      </c>
      <c r="AA99" s="235">
        <f>VLOOKUP(T99,$F$34:$Q$59,9,FALSE)</f>
        <v>35.535225010914303</v>
      </c>
      <c r="AB99" s="235">
        <f>VLOOKUP(T99,$F$34:$Q$59,12,FALSE)</f>
        <v>0</v>
      </c>
    </row>
    <row r="100" spans="2:36" x14ac:dyDescent="0.25">
      <c r="B100" s="236">
        <v>97</v>
      </c>
      <c r="D100" s="109">
        <f t="shared" si="3"/>
        <v>7</v>
      </c>
      <c r="E100" s="40" t="s">
        <v>31</v>
      </c>
      <c r="F100" s="66">
        <v>0.33900000000000002</v>
      </c>
      <c r="G100" s="66">
        <v>0.33900000000000002</v>
      </c>
      <c r="H100" s="37">
        <v>0.42876080404609201</v>
      </c>
      <c r="I100" s="37">
        <v>0.50278824602820305</v>
      </c>
      <c r="J100" s="149">
        <f>AVERAGE(F100,H100)</f>
        <v>0.38388040202304602</v>
      </c>
      <c r="K100" s="149">
        <f>AVERAGE(G100,I100)</f>
        <v>0.42089412301410156</v>
      </c>
      <c r="L100" s="128">
        <f t="shared" si="4"/>
        <v>0.38388040202304602</v>
      </c>
      <c r="M100" s="128">
        <f>IF(VLOOKUP(E100,$E$168:$G$193,3,FALSE)=2,K100,18%)</f>
        <v>0.18</v>
      </c>
      <c r="N100" s="128">
        <f>L100*(I40/(I40+J40))+M100*(J40/(I40+J40))</f>
        <v>0.24906611722852304</v>
      </c>
      <c r="Q100" s="181"/>
      <c r="T100" s="109">
        <v>23</v>
      </c>
      <c r="U100" s="109" t="s">
        <v>58</v>
      </c>
      <c r="V100" s="109" t="s">
        <v>187</v>
      </c>
      <c r="W100" s="226">
        <f>VLOOKUP(T100,$D$94:$N$119,9,FALSE)</f>
        <v>0.717089615934696</v>
      </c>
      <c r="X100" s="226">
        <f>VLOOKUP(T100,$D$94:$N$119,11,FALSE)</f>
        <v>0.36194340411480574</v>
      </c>
      <c r="Y100" s="226" t="e">
        <f>VLOOKUP(T100,$D$63:$K$89,9,FALSE)</f>
        <v>#REF!</v>
      </c>
      <c r="Z100" s="226">
        <f>VLOOKUP(T100,$F$34:$Q$59,7,FALSE)</f>
        <v>0.30596355235739903</v>
      </c>
      <c r="AA100" s="235">
        <f>VLOOKUP(T100,$F$34:$Q$59,9,FALSE)</f>
        <v>38.090548737423198</v>
      </c>
      <c r="AB100" s="235">
        <f>VLOOKUP(T100,$F$34:$Q$59,12,FALSE)</f>
        <v>0</v>
      </c>
    </row>
    <row r="101" spans="2:36" x14ac:dyDescent="0.25">
      <c r="B101" s="236">
        <v>98</v>
      </c>
      <c r="D101" s="109">
        <f t="shared" si="3"/>
        <v>8</v>
      </c>
      <c r="E101" s="41" t="s">
        <v>32</v>
      </c>
      <c r="F101" s="66">
        <v>0.88500000000000001</v>
      </c>
      <c r="G101" s="66">
        <v>0.88500000000000001</v>
      </c>
      <c r="H101" s="37">
        <v>0.40687866421625102</v>
      </c>
      <c r="I101" s="37">
        <v>0.410812849961051</v>
      </c>
      <c r="J101" s="149">
        <f>AVERAGE(F101,H101)</f>
        <v>0.64593933210812549</v>
      </c>
      <c r="K101" s="149">
        <f>AVERAGE(G101,I101)</f>
        <v>0.64790642498052553</v>
      </c>
      <c r="L101" s="128">
        <f t="shared" si="4"/>
        <v>0.64593933210812549</v>
      </c>
      <c r="M101" s="128">
        <f>IF(VLOOKUP(E101,$E$168:$G$193,3,FALSE)=2,K101,18%)</f>
        <v>0.18</v>
      </c>
      <c r="N101" s="128">
        <f>L101*(I41/(I41+J41))+M101*(J41/(I41+J41))</f>
        <v>0.33784067626628439</v>
      </c>
      <c r="Q101" s="181"/>
      <c r="T101" s="109">
        <v>5</v>
      </c>
      <c r="U101" s="109" t="s">
        <v>28</v>
      </c>
      <c r="V101" s="109" t="s">
        <v>187</v>
      </c>
      <c r="W101" s="226">
        <f>VLOOKUP(T101,$D$94:$N$119,9,FALSE)</f>
        <v>0.69294710973336748</v>
      </c>
      <c r="X101" s="226">
        <f>VLOOKUP(T101,$D$94:$N$119,11,FALSE)</f>
        <v>0.35376493699905609</v>
      </c>
      <c r="Y101" s="226" t="e">
        <f>VLOOKUP(T101,$D$63:$K$89,9,FALSE)</f>
        <v>#REF!</v>
      </c>
      <c r="Z101" s="226">
        <f>VLOOKUP(T101,$F$34:$Q$59,7,FALSE)</f>
        <v>0.57980701720285999</v>
      </c>
      <c r="AA101" s="235">
        <f>VLOOKUP(T101,$F$34:$Q$59,9,FALSE)</f>
        <v>32.541208673741203</v>
      </c>
      <c r="AB101" s="235">
        <f>VLOOKUP(T101,$F$34:$Q$59,12,FALSE)</f>
        <v>0</v>
      </c>
    </row>
    <row r="102" spans="2:36" x14ac:dyDescent="0.25">
      <c r="B102" s="236">
        <v>99</v>
      </c>
      <c r="D102" s="109">
        <f t="shared" si="3"/>
        <v>9</v>
      </c>
      <c r="E102" s="40" t="s">
        <v>33</v>
      </c>
      <c r="F102" s="66">
        <v>0.755</v>
      </c>
      <c r="G102" s="66">
        <v>0.755</v>
      </c>
      <c r="H102" s="37">
        <v>0.57756108797072603</v>
      </c>
      <c r="I102" s="37">
        <v>0.63643238346345199</v>
      </c>
      <c r="J102" s="149">
        <f>AVERAGE(F102,H102)</f>
        <v>0.66628054398536296</v>
      </c>
      <c r="K102" s="149">
        <f>AVERAGE(G102,I102)</f>
        <v>0.69571619173172605</v>
      </c>
      <c r="L102" s="128">
        <f t="shared" si="4"/>
        <v>0.66628054398536296</v>
      </c>
      <c r="M102" s="128">
        <f>IF(VLOOKUP(E102,$E$168:$G$193,3,FALSE)=2,K102,18%)</f>
        <v>0.18</v>
      </c>
      <c r="N102" s="128">
        <f>L102*(I42/(I42+J42))+M102*(J42/(I42+J42))</f>
        <v>0.34473142451939359</v>
      </c>
      <c r="Q102" s="181"/>
      <c r="T102" s="109">
        <v>15</v>
      </c>
      <c r="U102" s="109" t="s">
        <v>42</v>
      </c>
      <c r="V102" s="109" t="s">
        <v>187</v>
      </c>
      <c r="W102" s="226">
        <f>VLOOKUP(T102,$D$94:$N$119,9,FALSE)</f>
        <v>0.69193668472272707</v>
      </c>
      <c r="X102" s="226">
        <f>VLOOKUP(T102,$D$94:$N$119,11,FALSE)</f>
        <v>0.3534226474433016</v>
      </c>
      <c r="Y102" s="226" t="e">
        <f>VLOOKUP(T102,$D$63:$K$89,9,FALSE)</f>
        <v>#REF!</v>
      </c>
      <c r="Z102" s="226">
        <f>VLOOKUP(T102,$F$34:$Q$59,7,FALSE)</f>
        <v>0.25094765883206699</v>
      </c>
      <c r="AA102" s="235">
        <f>VLOOKUP(T102,$F$34:$Q$59,9,FALSE)</f>
        <v>65.075342150905499</v>
      </c>
      <c r="AB102" s="235">
        <f>VLOOKUP(T102,$F$34:$Q$59,12,FALSE)</f>
        <v>0</v>
      </c>
    </row>
    <row r="103" spans="2:36" x14ac:dyDescent="0.25">
      <c r="B103" s="236">
        <v>100</v>
      </c>
      <c r="D103" s="109">
        <f t="shared" si="3"/>
        <v>10</v>
      </c>
      <c r="E103" s="41" t="s">
        <v>34</v>
      </c>
      <c r="F103" s="66">
        <v>0.89900000000000002</v>
      </c>
      <c r="G103" s="66">
        <v>0.89900000000000002</v>
      </c>
      <c r="H103" s="37">
        <v>0.62219746930278597</v>
      </c>
      <c r="I103" s="37">
        <v>0.73760441790878495</v>
      </c>
      <c r="J103" s="149">
        <f>AVERAGE(F103,H103)</f>
        <v>0.76059873465139294</v>
      </c>
      <c r="K103" s="149">
        <f>AVERAGE(G103,I103)</f>
        <v>0.81830220895439254</v>
      </c>
      <c r="L103" s="128">
        <f t="shared" si="4"/>
        <v>0.76059873465139294</v>
      </c>
      <c r="M103" s="128">
        <f>IF(VLOOKUP(E103,$E$168:$G$193,3,FALSE)=2,K103,18%)</f>
        <v>0.81830220895439254</v>
      </c>
      <c r="N103" s="128">
        <f>L103*(I43/(I43+J43))+M103*(J43/(I43+J43))</f>
        <v>0.79875469540645694</v>
      </c>
      <c r="Q103" s="181"/>
      <c r="T103" s="109">
        <v>3</v>
      </c>
      <c r="U103" s="109" t="s">
        <v>24</v>
      </c>
      <c r="V103" s="109" t="s">
        <v>187</v>
      </c>
      <c r="W103" s="226">
        <f>VLOOKUP(T103,$D$94:$N$119,9,FALSE)</f>
        <v>0.68186975499456004</v>
      </c>
      <c r="X103" s="226">
        <f>VLOOKUP(T103,$D$94:$N$119,11,FALSE)</f>
        <v>0.35001239446244714</v>
      </c>
      <c r="Y103" s="226" t="e">
        <f>VLOOKUP(T103,$D$63:$K$89,9,FALSE)</f>
        <v>#REF!</v>
      </c>
      <c r="Z103" s="226">
        <f>VLOOKUP(T103,$F$34:$Q$59,7,FALSE)</f>
        <v>0.37091357264078301</v>
      </c>
      <c r="AA103" s="235">
        <f>VLOOKUP(T103,$F$34:$Q$59,9,FALSE)</f>
        <v>39.030718029709199</v>
      </c>
      <c r="AB103" s="235">
        <f>VLOOKUP(T103,$F$34:$Q$59,12,FALSE)</f>
        <v>0</v>
      </c>
    </row>
    <row r="104" spans="2:36" x14ac:dyDescent="0.25">
      <c r="B104" s="236">
        <v>101</v>
      </c>
      <c r="D104" s="109">
        <f t="shared" si="3"/>
        <v>11</v>
      </c>
      <c r="E104" s="40" t="s">
        <v>37</v>
      </c>
      <c r="F104" s="66">
        <v>0.90800000000000003</v>
      </c>
      <c r="G104" s="66">
        <v>0.90800000000000003</v>
      </c>
      <c r="H104" s="37">
        <v>0.74539925750386604</v>
      </c>
      <c r="I104" s="37">
        <v>0.80196176691655796</v>
      </c>
      <c r="J104" s="149">
        <f>AVERAGE(F104,H104)</f>
        <v>0.82669962875193304</v>
      </c>
      <c r="K104" s="149">
        <f>AVERAGE(G104,I104)</f>
        <v>0.85498088345827905</v>
      </c>
      <c r="L104" s="128">
        <f t="shared" si="4"/>
        <v>0.82669962875193304</v>
      </c>
      <c r="M104" s="128">
        <f>IF(VLOOKUP(E104,$E$168:$G$193,3,FALSE)=2,K104,18%)</f>
        <v>0.18</v>
      </c>
      <c r="N104" s="128">
        <f>L104*(I44/(I44+J44))+M104*(J44/(I44+J44))</f>
        <v>0.39907467283674736</v>
      </c>
      <c r="Q104" s="181"/>
      <c r="T104" s="109">
        <v>9</v>
      </c>
      <c r="U104" s="109" t="s">
        <v>33</v>
      </c>
      <c r="V104" s="109" t="s">
        <v>187</v>
      </c>
      <c r="W104" s="226">
        <f>VLOOKUP(T104,$D$94:$N$119,9,FALSE)</f>
        <v>0.66628054398536296</v>
      </c>
      <c r="X104" s="226">
        <f>VLOOKUP(T104,$D$94:$N$119,11,FALSE)</f>
        <v>0.34473142451939359</v>
      </c>
      <c r="Y104" s="226" t="e">
        <f>VLOOKUP(T104,$D$63:$K$89,9,FALSE)</f>
        <v>#REF!</v>
      </c>
      <c r="Z104" s="226">
        <f>VLOOKUP(T104,$F$34:$Q$59,7,FALSE)</f>
        <v>0.60353461912594997</v>
      </c>
      <c r="AA104" s="235">
        <f>VLOOKUP(T104,$F$34:$Q$59,9,FALSE)</f>
        <v>38.957094997480802</v>
      </c>
      <c r="AB104" s="235">
        <f>VLOOKUP(T104,$F$34:$Q$59,12,FALSE)</f>
        <v>0</v>
      </c>
    </row>
    <row r="105" spans="2:36" x14ac:dyDescent="0.25">
      <c r="B105" s="236">
        <v>102</v>
      </c>
      <c r="D105" s="109">
        <f t="shared" si="3"/>
        <v>12</v>
      </c>
      <c r="E105" s="41" t="s">
        <v>38</v>
      </c>
      <c r="F105" s="66">
        <v>0.73699999999999999</v>
      </c>
      <c r="G105" s="66">
        <v>0.73699999999999999</v>
      </c>
      <c r="H105" s="37">
        <v>0.84784326003230104</v>
      </c>
      <c r="I105" s="37">
        <v>0.844388381239073</v>
      </c>
      <c r="J105" s="149">
        <f>AVERAGE(F105,H105)</f>
        <v>0.79242163001615051</v>
      </c>
      <c r="K105" s="149">
        <f>AVERAGE(G105,I105)</f>
        <v>0.7906941906195365</v>
      </c>
      <c r="L105" s="128">
        <f t="shared" si="4"/>
        <v>0.79242163001615051</v>
      </c>
      <c r="M105" s="128">
        <f>IF(VLOOKUP(E105,$E$168:$G$193,3,FALSE)=2,K105,18%)</f>
        <v>0.7906941906195365</v>
      </c>
      <c r="N105" s="128">
        <f>L105*(I45/(I45+J45))+M105*(J45/(I45+J45))</f>
        <v>0.79127937453465469</v>
      </c>
      <c r="Q105" s="181"/>
      <c r="T105" s="109">
        <v>8</v>
      </c>
      <c r="U105" s="109" t="s">
        <v>32</v>
      </c>
      <c r="V105" s="109" t="s">
        <v>187</v>
      </c>
      <c r="W105" s="226">
        <f>VLOOKUP(T105,$D$94:$N$119,9,FALSE)</f>
        <v>0.64593933210812549</v>
      </c>
      <c r="X105" s="226">
        <f>VLOOKUP(T105,$D$94:$N$119,11,FALSE)</f>
        <v>0.33784067626628439</v>
      </c>
      <c r="Y105" s="226" t="e">
        <f>VLOOKUP(T105,$D$63:$K$89,9,FALSE)</f>
        <v>#REF!</v>
      </c>
      <c r="Z105" s="226">
        <f>VLOOKUP(T105,$F$34:$Q$59,7,FALSE)</f>
        <v>0.56037867236683503</v>
      </c>
      <c r="AA105" s="235">
        <f>VLOOKUP(T105,$F$34:$Q$59,9,FALSE)</f>
        <v>27.680116823631199</v>
      </c>
      <c r="AB105" s="235">
        <f>VLOOKUP(T105,$F$34:$Q$59,12,FALSE)</f>
        <v>0</v>
      </c>
      <c r="AE105" s="231"/>
      <c r="AF105" s="231"/>
      <c r="AG105" s="231"/>
      <c r="AH105" s="231"/>
      <c r="AI105" s="231"/>
      <c r="AJ105" s="147"/>
    </row>
    <row r="106" spans="2:36" x14ac:dyDescent="0.25">
      <c r="B106" s="236">
        <v>103</v>
      </c>
      <c r="D106" s="109">
        <f t="shared" si="3"/>
        <v>13</v>
      </c>
      <c r="E106" s="40" t="s">
        <v>40</v>
      </c>
      <c r="F106" s="66">
        <v>0.877</v>
      </c>
      <c r="G106" s="66">
        <v>0.877</v>
      </c>
      <c r="H106" s="37">
        <v>0.64660989708248595</v>
      </c>
      <c r="I106" s="37">
        <v>0.69289802142800605</v>
      </c>
      <c r="J106" s="149">
        <f>AVERAGE(F106,H106)</f>
        <v>0.76180494854124303</v>
      </c>
      <c r="K106" s="149">
        <f>AVERAGE(G106,I106)</f>
        <v>0.78494901071400303</v>
      </c>
      <c r="L106" s="128">
        <f t="shared" si="4"/>
        <v>0.76180494854124303</v>
      </c>
      <c r="M106" s="128">
        <f>IF(VLOOKUP(E106,$E$168:$G$193,3,FALSE)=2,K106,18%)</f>
        <v>0.78494901071400303</v>
      </c>
      <c r="N106" s="128">
        <f>L106*(I46/(I46+J46))+M106*(J46/(I46+J46))</f>
        <v>0.77710877450048321</v>
      </c>
      <c r="Q106" s="181"/>
      <c r="T106" s="109">
        <v>16</v>
      </c>
      <c r="U106" s="109" t="s">
        <v>45</v>
      </c>
      <c r="V106" s="109" t="s">
        <v>187</v>
      </c>
      <c r="W106" s="226">
        <f>VLOOKUP(T106,$D$94:$N$119,9,FALSE)</f>
        <v>0.62466018797055645</v>
      </c>
      <c r="X106" s="226">
        <f>VLOOKUP(T106,$D$94:$N$119,11,FALSE)</f>
        <v>0.33063219595652976</v>
      </c>
      <c r="Y106" s="226" t="e">
        <f>VLOOKUP(T106,$D$63:$K$89,9,FALSE)</f>
        <v>#REF!</v>
      </c>
      <c r="Z106" s="226">
        <f>VLOOKUP(T106,$F$34:$Q$59,7,FALSE)</f>
        <v>0.42597944572904201</v>
      </c>
      <c r="AA106" s="235">
        <f>VLOOKUP(T106,$F$34:$Q$59,9,FALSE)</f>
        <v>46.588105661991101</v>
      </c>
      <c r="AB106" s="235">
        <f>VLOOKUP(T106,$F$34:$Q$59,12,FALSE)</f>
        <v>0</v>
      </c>
    </row>
    <row r="107" spans="2:36" x14ac:dyDescent="0.25">
      <c r="B107" s="236">
        <v>104</v>
      </c>
      <c r="D107" s="109">
        <f t="shared" si="3"/>
        <v>14</v>
      </c>
      <c r="E107" s="41" t="s">
        <v>41</v>
      </c>
      <c r="F107" s="66">
        <v>0.51700000000000002</v>
      </c>
      <c r="G107" s="66">
        <v>0.51700000000000002</v>
      </c>
      <c r="H107" s="37">
        <v>0.36710338394969699</v>
      </c>
      <c r="I107" s="37">
        <v>0.456685315688099</v>
      </c>
      <c r="J107" s="149">
        <f>AVERAGE(F107,H107)</f>
        <v>0.4420516919748485</v>
      </c>
      <c r="K107" s="149">
        <f>AVERAGE(G107,I107)</f>
        <v>0.48684265784404951</v>
      </c>
      <c r="L107" s="128">
        <f t="shared" si="4"/>
        <v>0.4420516919748485</v>
      </c>
      <c r="M107" s="128">
        <f>IF(VLOOKUP(E107,$E$168:$G$193,3,FALSE)=2,K107,18%)</f>
        <v>0.18</v>
      </c>
      <c r="N107" s="128">
        <f>L107*(I47/(I47+J47))+M107*(J47/(I47+J47))</f>
        <v>0.26877210707001575</v>
      </c>
      <c r="Q107" s="181"/>
      <c r="T107" s="109">
        <v>25</v>
      </c>
      <c r="U107" s="109" t="s">
        <v>60</v>
      </c>
      <c r="V107" s="109" t="s">
        <v>187</v>
      </c>
      <c r="W107" s="226">
        <f>VLOOKUP(T107,$D$94:$N$119,9,FALSE)</f>
        <v>0.59616223322575201</v>
      </c>
      <c r="X107" s="226">
        <f>VLOOKUP(T107,$D$94:$N$119,11,FALSE)</f>
        <v>0.32097828580308929</v>
      </c>
      <c r="Y107" s="226" t="e">
        <f>VLOOKUP(T107,$D$63:$K$89,9,FALSE)</f>
        <v>#REF!</v>
      </c>
      <c r="Z107" s="226">
        <f>VLOOKUP(T107,$F$34:$Q$59,7,FALSE)</f>
        <v>0.51287164895419901</v>
      </c>
      <c r="AA107" s="235">
        <f>VLOOKUP(T107,$F$34:$Q$59,9,FALSE)</f>
        <v>33.8124119598791</v>
      </c>
      <c r="AB107" s="235">
        <f>VLOOKUP(T107,$F$34:$Q$59,12,FALSE)</f>
        <v>0</v>
      </c>
    </row>
    <row r="108" spans="2:36" x14ac:dyDescent="0.25">
      <c r="B108" s="236">
        <v>105</v>
      </c>
      <c r="D108" s="109">
        <f t="shared" si="3"/>
        <v>15</v>
      </c>
      <c r="E108" s="40" t="s">
        <v>42</v>
      </c>
      <c r="F108" s="66">
        <v>0.52900000000000003</v>
      </c>
      <c r="G108" s="66">
        <v>0.52900000000000003</v>
      </c>
      <c r="H108" s="37">
        <v>0.854873369445454</v>
      </c>
      <c r="I108" s="37">
        <v>0.829247149872258</v>
      </c>
      <c r="J108" s="149">
        <f>AVERAGE(F108,H108)</f>
        <v>0.69193668472272707</v>
      </c>
      <c r="K108" s="149">
        <f>AVERAGE(G108,I108)</f>
        <v>0.67912357493612907</v>
      </c>
      <c r="L108" s="128">
        <f t="shared" si="4"/>
        <v>0.69193668472272707</v>
      </c>
      <c r="M108" s="128">
        <f>IF(VLOOKUP(E108,$E$168:$G$193,3,FALSE)=2,K108,18%)</f>
        <v>0.18</v>
      </c>
      <c r="N108" s="128">
        <f>L108*(I48/(I48+J48))+M108*(J48/(I48+J48))</f>
        <v>0.3534226474433016</v>
      </c>
      <c r="Q108" s="181"/>
      <c r="T108" s="109">
        <v>17</v>
      </c>
      <c r="U108" s="109" t="s">
        <v>46</v>
      </c>
      <c r="V108" s="109" t="s">
        <v>187</v>
      </c>
      <c r="W108" s="226">
        <f>VLOOKUP(T108,$D$94:$N$119,9,FALSE)</f>
        <v>0.49630028573914697</v>
      </c>
      <c r="X108" s="226">
        <f>VLOOKUP(T108,$D$94:$N$119,11,FALSE)</f>
        <v>0.28714925219642196</v>
      </c>
      <c r="Y108" s="226" t="e">
        <f>VLOOKUP(T108,$D$63:$K$89,9,FALSE)</f>
        <v>#REF!</v>
      </c>
      <c r="Z108" s="226">
        <f>VLOOKUP(T108,$F$34:$Q$59,7,FALSE)</f>
        <v>0.40303785162157302</v>
      </c>
      <c r="AA108" s="235">
        <f>VLOOKUP(T108,$F$34:$Q$59,9,FALSE)</f>
        <v>24.375236735132901</v>
      </c>
      <c r="AB108" s="235">
        <f>VLOOKUP(T108,$F$34:$Q$59,12,FALSE)</f>
        <v>0</v>
      </c>
    </row>
    <row r="109" spans="2:36" x14ac:dyDescent="0.25">
      <c r="B109" s="236">
        <v>106</v>
      </c>
      <c r="D109" s="109">
        <f t="shared" si="3"/>
        <v>16</v>
      </c>
      <c r="E109" s="41" t="s">
        <v>45</v>
      </c>
      <c r="F109" s="66">
        <v>0.81499999999999995</v>
      </c>
      <c r="G109" s="66">
        <v>0.81499999999999995</v>
      </c>
      <c r="H109" s="37">
        <v>0.434320375941113</v>
      </c>
      <c r="I109" s="37">
        <v>0.49772132536932301</v>
      </c>
      <c r="J109" s="149">
        <f>AVERAGE(F109,H109)</f>
        <v>0.62466018797055645</v>
      </c>
      <c r="K109" s="149">
        <f>AVERAGE(G109,I109)</f>
        <v>0.65636066268466142</v>
      </c>
      <c r="L109" s="128">
        <f t="shared" si="4"/>
        <v>0.62466018797055645</v>
      </c>
      <c r="M109" s="128">
        <f>IF(VLOOKUP(E109,$E$168:$G$193,3,FALSE)=2,K109,18%)</f>
        <v>0.18</v>
      </c>
      <c r="N109" s="128">
        <f>L109*(I49/(I49+J49))+M109*(J49/(I49+J49))</f>
        <v>0.33063219595652976</v>
      </c>
      <c r="Q109" s="181"/>
      <c r="T109" s="109">
        <v>18</v>
      </c>
      <c r="U109" s="109" t="s">
        <v>47</v>
      </c>
      <c r="V109" s="109" t="s">
        <v>187</v>
      </c>
      <c r="W109" s="226">
        <f>VLOOKUP(T109,$D$94:$N$119,9,FALSE)</f>
        <v>0.44972678378924447</v>
      </c>
      <c r="X109" s="226">
        <f>VLOOKUP(T109,$D$94:$N$119,11,FALSE)</f>
        <v>0.27137210582287685</v>
      </c>
      <c r="Y109" s="226" t="e">
        <f>VLOOKUP(T109,$D$63:$K$89,9,FALSE)</f>
        <v>#REF!</v>
      </c>
      <c r="Z109" s="226">
        <f>VLOOKUP(T109,$F$34:$Q$59,7,FALSE)</f>
        <v>0.56132088363775801</v>
      </c>
      <c r="AA109" s="235">
        <f>VLOOKUP(T109,$F$34:$Q$59,9,FALSE)</f>
        <v>40.5587907098936</v>
      </c>
      <c r="AB109" s="235">
        <f>VLOOKUP(T109,$F$34:$Q$59,12,FALSE)</f>
        <v>0</v>
      </c>
    </row>
    <row r="110" spans="2:36" x14ac:dyDescent="0.25">
      <c r="B110" s="236">
        <v>107</v>
      </c>
      <c r="D110" s="109">
        <f t="shared" si="3"/>
        <v>17</v>
      </c>
      <c r="E110" s="40" t="s">
        <v>46</v>
      </c>
      <c r="F110" s="66">
        <v>0.46300000000000002</v>
      </c>
      <c r="G110" s="66">
        <v>0.46300000000000002</v>
      </c>
      <c r="H110" s="37">
        <v>0.52960057147829398</v>
      </c>
      <c r="I110" s="37">
        <v>0.65662170129238095</v>
      </c>
      <c r="J110" s="149">
        <f>AVERAGE(F110,H110)</f>
        <v>0.49630028573914697</v>
      </c>
      <c r="K110" s="149">
        <f>AVERAGE(G110,I110)</f>
        <v>0.55981085064619052</v>
      </c>
      <c r="L110" s="128">
        <f t="shared" si="4"/>
        <v>0.49630028573914697</v>
      </c>
      <c r="M110" s="128">
        <f>IF(VLOOKUP(E110,$E$168:$G$193,3,FALSE)=2,K110,18%)</f>
        <v>0.18</v>
      </c>
      <c r="N110" s="128">
        <f>L110*(I50/(I50+J50))+M110*(J50/(I50+J50))</f>
        <v>0.28714925219642196</v>
      </c>
      <c r="Q110" s="181"/>
      <c r="T110" s="109">
        <v>20</v>
      </c>
      <c r="U110" s="109" t="s">
        <v>50</v>
      </c>
      <c r="V110" s="109" t="s">
        <v>187</v>
      </c>
      <c r="W110" s="226">
        <f>VLOOKUP(T110,$D$94:$N$119,9,FALSE)</f>
        <v>0.44783311700724948</v>
      </c>
      <c r="X110" s="226">
        <f>VLOOKUP(T110,$D$94:$N$119,11,FALSE)</f>
        <v>0.27073061105114182</v>
      </c>
      <c r="Y110" s="226" t="e">
        <f>VLOOKUP(T110,$D$63:$K$89,9,FALSE)</f>
        <v>#REF!</v>
      </c>
      <c r="Z110" s="226">
        <f>VLOOKUP(T110,$F$34:$Q$59,7,FALSE)</f>
        <v>0.37879672955326399</v>
      </c>
      <c r="AA110" s="235">
        <f>VLOOKUP(T110,$F$34:$Q$59,9,FALSE)</f>
        <v>45.586704433810503</v>
      </c>
      <c r="AB110" s="235">
        <f>VLOOKUP(T110,$F$34:$Q$59,12,FALSE)</f>
        <v>0</v>
      </c>
      <c r="AE110" s="231"/>
      <c r="AF110" s="231"/>
      <c r="AG110" s="231"/>
      <c r="AH110" s="231"/>
      <c r="AI110" s="231"/>
      <c r="AJ110" s="147"/>
    </row>
    <row r="111" spans="2:36" x14ac:dyDescent="0.25">
      <c r="B111" s="236">
        <v>108</v>
      </c>
      <c r="D111" s="109">
        <f t="shared" si="3"/>
        <v>18</v>
      </c>
      <c r="E111" s="41" t="s">
        <v>47</v>
      </c>
      <c r="F111" s="66">
        <v>0.58399999999999996</v>
      </c>
      <c r="G111" s="66">
        <v>0.58399999999999996</v>
      </c>
      <c r="H111" s="37">
        <v>0.31545356757848902</v>
      </c>
      <c r="I111" s="37">
        <v>0.36960910502413402</v>
      </c>
      <c r="J111" s="149">
        <f>AVERAGE(F111,H111)</f>
        <v>0.44972678378924447</v>
      </c>
      <c r="K111" s="149">
        <f>AVERAGE(G111,I111)</f>
        <v>0.47680455251206699</v>
      </c>
      <c r="L111" s="128">
        <f t="shared" si="4"/>
        <v>0.44972678378924447</v>
      </c>
      <c r="M111" s="128">
        <f>IF(VLOOKUP(E111,$E$168:$G$193,3,FALSE)=2,K111,18%)</f>
        <v>0.18</v>
      </c>
      <c r="N111" s="128">
        <f>L111*(I51/(I51+J51))+M111*(J51/(I51+J51))</f>
        <v>0.27137210582287685</v>
      </c>
      <c r="Q111" s="181"/>
      <c r="T111" s="109">
        <v>6</v>
      </c>
      <c r="U111" s="109" t="s">
        <v>30</v>
      </c>
      <c r="V111" s="109" t="s">
        <v>187</v>
      </c>
      <c r="W111" s="226">
        <f>VLOOKUP(T111,$D$94:$N$119,9,FALSE)</f>
        <v>0.44648125521911647</v>
      </c>
      <c r="X111" s="226">
        <f>VLOOKUP(T111,$D$94:$N$119,11,FALSE)</f>
        <v>0.27027265705551745</v>
      </c>
      <c r="Y111" s="226" t="e">
        <f>VLOOKUP(T111,$D$63:$K$89,9,FALSE)</f>
        <v>#REF!</v>
      </c>
      <c r="Z111" s="226">
        <f>VLOOKUP(T111,$F$34:$Q$59,7,FALSE)</f>
        <v>0.25056304787592698</v>
      </c>
      <c r="AA111" s="235">
        <f>VLOOKUP(T111,$F$34:$Q$59,9,FALSE)</f>
        <v>24.712720665430599</v>
      </c>
      <c r="AB111" s="235">
        <f>VLOOKUP(T111,$F$34:$Q$59,12,FALSE)</f>
        <v>0</v>
      </c>
      <c r="AE111" s="231"/>
      <c r="AF111" s="231"/>
      <c r="AG111" s="231"/>
      <c r="AH111" s="231"/>
      <c r="AI111" s="231"/>
      <c r="AJ111" s="147"/>
    </row>
    <row r="112" spans="2:36" x14ac:dyDescent="0.25">
      <c r="B112" s="236">
        <v>109</v>
      </c>
      <c r="D112" s="109">
        <f t="shared" si="3"/>
        <v>19</v>
      </c>
      <c r="E112" s="42" t="s">
        <v>48</v>
      </c>
      <c r="F112" s="66">
        <v>0.88200000000000001</v>
      </c>
      <c r="G112" s="66">
        <v>0.88200000000000001</v>
      </c>
      <c r="H112" s="37">
        <v>0.93498529816324405</v>
      </c>
      <c r="I112" s="37">
        <v>0.93796172488282503</v>
      </c>
      <c r="J112" s="149">
        <f>AVERAGE(F112,H112)</f>
        <v>0.90849264908162208</v>
      </c>
      <c r="K112" s="149">
        <f>AVERAGE(G112,I112)</f>
        <v>0.90998086244141252</v>
      </c>
      <c r="L112" s="128">
        <f t="shared" si="4"/>
        <v>0.90849264908162208</v>
      </c>
      <c r="M112" s="128">
        <f>IF(VLOOKUP(E112,$E$168:$G$193,3,FALSE)=2,K112,18%)</f>
        <v>0.90998086244141252</v>
      </c>
      <c r="N112" s="128">
        <f>L112*(I52/(I52+J52))+M112*(J52/(I52+J52))</f>
        <v>0.90947671826007659</v>
      </c>
      <c r="Q112" s="181"/>
      <c r="T112" s="109">
        <v>14</v>
      </c>
      <c r="U112" s="109" t="s">
        <v>41</v>
      </c>
      <c r="V112" s="109" t="s">
        <v>187</v>
      </c>
      <c r="W112" s="226">
        <f>VLOOKUP(T112,$D$94:$N$119,9,FALSE)</f>
        <v>0.4420516919748485</v>
      </c>
      <c r="X112" s="226">
        <f>VLOOKUP(T112,$D$94:$N$119,11,FALSE)</f>
        <v>0.26877210707001575</v>
      </c>
      <c r="Y112" s="226" t="e">
        <f>VLOOKUP(T112,$D$63:$K$89,9,FALSE)</f>
        <v>#REF!</v>
      </c>
      <c r="Z112" s="226">
        <f>VLOOKUP(T112,$F$34:$Q$59,7,FALSE)</f>
        <v>0.66653053293406095</v>
      </c>
      <c r="AA112" s="235">
        <f>VLOOKUP(T112,$F$34:$Q$59,9,FALSE)</f>
        <v>35.8868696436381</v>
      </c>
      <c r="AB112" s="235">
        <f>VLOOKUP(T112,$F$34:$Q$59,12,FALSE)</f>
        <v>0</v>
      </c>
    </row>
    <row r="113" spans="2:28" x14ac:dyDescent="0.25">
      <c r="B113" s="236">
        <v>110</v>
      </c>
      <c r="D113" s="109">
        <f t="shared" si="3"/>
        <v>20</v>
      </c>
      <c r="E113" s="41" t="s">
        <v>50</v>
      </c>
      <c r="F113" s="66">
        <v>0.59199999999999997</v>
      </c>
      <c r="G113" s="66">
        <v>0.59199999999999997</v>
      </c>
      <c r="H113" s="37">
        <v>0.30366623401449899</v>
      </c>
      <c r="I113" s="37">
        <v>0.49447884939332998</v>
      </c>
      <c r="J113" s="149">
        <f>AVERAGE(F113,H113)</f>
        <v>0.44783311700724948</v>
      </c>
      <c r="K113" s="149">
        <f>AVERAGE(G113,I113)</f>
        <v>0.54323942469666497</v>
      </c>
      <c r="L113" s="128">
        <f t="shared" si="4"/>
        <v>0.44783311700724948</v>
      </c>
      <c r="M113" s="128">
        <f>IF(VLOOKUP(E113,$E$168:$G$193,3,FALSE)=2,K113,18%)</f>
        <v>0.18</v>
      </c>
      <c r="N113" s="128">
        <f>L113*(I53/(I53+J53))+M113*(J53/(I53+J53))</f>
        <v>0.27073061105114182</v>
      </c>
      <c r="Q113" s="181"/>
      <c r="T113" s="109">
        <v>7</v>
      </c>
      <c r="U113" s="109" t="s">
        <v>31</v>
      </c>
      <c r="V113" s="109" t="s">
        <v>187</v>
      </c>
      <c r="W113" s="226">
        <f>VLOOKUP(T113,$D$94:$N$119,9,FALSE)</f>
        <v>0.38388040202304602</v>
      </c>
      <c r="X113" s="226">
        <f>VLOOKUP(T113,$D$94:$N$119,11,FALSE)</f>
        <v>0.24906611722852304</v>
      </c>
      <c r="Y113" s="226" t="e">
        <f>VLOOKUP(T113,$D$63:$K$89,9,FALSE)</f>
        <v>#REF!</v>
      </c>
      <c r="Z113" s="226">
        <f>VLOOKUP(T113,$F$34:$Q$59,7,FALSE)</f>
        <v>4.1597142086880499E-2</v>
      </c>
      <c r="AA113" s="235">
        <f>VLOOKUP(T113,$F$34:$Q$59,9,FALSE)</f>
        <v>24.716435061992801</v>
      </c>
      <c r="AB113" s="235">
        <f>VLOOKUP(T113,$F$34:$Q$59,12,FALSE)</f>
        <v>0</v>
      </c>
    </row>
    <row r="114" spans="2:28" x14ac:dyDescent="0.25">
      <c r="B114" s="236">
        <v>111</v>
      </c>
      <c r="D114" s="109">
        <f t="shared" si="3"/>
        <v>21</v>
      </c>
      <c r="E114" s="40" t="s">
        <v>52</v>
      </c>
      <c r="F114" s="66">
        <v>0.97799999999999998</v>
      </c>
      <c r="G114" s="66">
        <v>0.97799999999999998</v>
      </c>
      <c r="H114" s="37">
        <v>0.82569965630459696</v>
      </c>
      <c r="I114" s="37">
        <v>0.78447470213649195</v>
      </c>
      <c r="J114" s="149">
        <f>AVERAGE(F114,H114)</f>
        <v>0.90184982815229842</v>
      </c>
      <c r="K114" s="149">
        <f>AVERAGE(G114,I114)</f>
        <v>0.88123735106824597</v>
      </c>
      <c r="L114" s="128">
        <f t="shared" si="4"/>
        <v>0.90184982815229842</v>
      </c>
      <c r="M114" s="128">
        <f>IF(VLOOKUP(E114,$E$168:$G$193,3,FALSE)=2,K114,18%)</f>
        <v>0.18</v>
      </c>
      <c r="N114" s="128">
        <f>L114*(I54/(I54+J54))+M114*(J54/(I54+J54))</f>
        <v>0.42453240408521631</v>
      </c>
      <c r="Q114" s="181"/>
    </row>
    <row r="115" spans="2:28" x14ac:dyDescent="0.25">
      <c r="B115" s="236">
        <v>112</v>
      </c>
      <c r="D115" s="109">
        <f t="shared" si="3"/>
        <v>22</v>
      </c>
      <c r="E115" s="41" t="s">
        <v>55</v>
      </c>
      <c r="F115" s="66">
        <v>0.78400000000000003</v>
      </c>
      <c r="G115" s="66">
        <v>0.78400000000000003</v>
      </c>
      <c r="H115" s="37">
        <v>0.65075893466565804</v>
      </c>
      <c r="I115" s="37">
        <v>0.682047758293721</v>
      </c>
      <c r="J115" s="149">
        <f>AVERAGE(F115,H115)</f>
        <v>0.71737946733282909</v>
      </c>
      <c r="K115" s="149">
        <f>AVERAGE(G115,I115)</f>
        <v>0.73302387914686051</v>
      </c>
      <c r="L115" s="128">
        <f t="shared" si="4"/>
        <v>0.71737946733282909</v>
      </c>
      <c r="M115" s="128">
        <f>IF(VLOOKUP(E115,$E$168:$G$193,3,FALSE)=2,K115,18%)</f>
        <v>0.18</v>
      </c>
      <c r="N115" s="128">
        <f>L115*(I55/(I55+J55))+M115*(J55/(I55+J55))</f>
        <v>0.36204159359473453</v>
      </c>
      <c r="Q115" s="181"/>
      <c r="T115" s="179" t="s">
        <v>204</v>
      </c>
      <c r="X115" s="147"/>
      <c r="Y115" s="225" t="e">
        <f>CORREL(X94:X113,Y94:Y113)</f>
        <v>#REF!</v>
      </c>
      <c r="Z115" s="187" t="e">
        <f>CONCATENATE("p-value",": ",ROUND(_xlfn.T.DIST.2T(ABS((Y115 * SQRT((COUNTA(U94:U113)-2) / (1 - Y115^2)))), COUNTA(U94:U113)-2),2))</f>
        <v>#REF!</v>
      </c>
      <c r="AA115" s="221" t="s">
        <v>207</v>
      </c>
    </row>
    <row r="116" spans="2:28" x14ac:dyDescent="0.25">
      <c r="B116" s="236">
        <v>113</v>
      </c>
      <c r="D116" s="109">
        <f t="shared" si="3"/>
        <v>23</v>
      </c>
      <c r="E116" s="40" t="s">
        <v>58</v>
      </c>
      <c r="F116" s="66">
        <v>0.66100000000000003</v>
      </c>
      <c r="G116" s="66">
        <v>0.66100000000000003</v>
      </c>
      <c r="H116" s="37">
        <v>0.77317923186939197</v>
      </c>
      <c r="I116" s="37">
        <v>0.70614689609477499</v>
      </c>
      <c r="J116" s="149">
        <f>AVERAGE(F116,H116)</f>
        <v>0.717089615934696</v>
      </c>
      <c r="K116" s="149">
        <f>AVERAGE(G116,I116)</f>
        <v>0.68357344804738751</v>
      </c>
      <c r="L116" s="128">
        <f t="shared" si="4"/>
        <v>0.717089615934696</v>
      </c>
      <c r="M116" s="128">
        <f>IF(VLOOKUP(E116,$E$168:$G$193,3,FALSE)=2,K116,18%)</f>
        <v>0.18</v>
      </c>
      <c r="N116" s="128">
        <f>L116*(I56/(I56+J56))+M116*(J56/(I56+J56))</f>
        <v>0.36194340411480574</v>
      </c>
      <c r="Q116" s="181"/>
      <c r="T116" s="109" t="s">
        <v>222</v>
      </c>
    </row>
    <row r="117" spans="2:28" x14ac:dyDescent="0.25">
      <c r="B117" s="236">
        <v>114</v>
      </c>
      <c r="D117" s="109">
        <f t="shared" si="3"/>
        <v>24</v>
      </c>
      <c r="E117" s="41" t="s">
        <v>59</v>
      </c>
      <c r="F117" s="66">
        <v>0.96299999999999997</v>
      </c>
      <c r="G117" s="66">
        <v>0.96299999999999997</v>
      </c>
      <c r="H117" s="37">
        <v>0.67031226330904803</v>
      </c>
      <c r="I117" s="37">
        <v>0.72935340043494901</v>
      </c>
      <c r="J117" s="149">
        <f>AVERAGE(F117,H117)</f>
        <v>0.816656131654524</v>
      </c>
      <c r="K117" s="149">
        <f>AVERAGE(G117,I117)</f>
        <v>0.84617670021747449</v>
      </c>
      <c r="L117" s="128">
        <f t="shared" si="4"/>
        <v>0.816656131654524</v>
      </c>
      <c r="M117" s="128">
        <f>IF(VLOOKUP(E117,$E$168:$G$193,3,FALSE)=2,K117,18%)</f>
        <v>0.18</v>
      </c>
      <c r="N117" s="128">
        <f>L117*(I57/(I57+J57))+M117*(J57/(I57+J57))</f>
        <v>0.39567235784702326</v>
      </c>
      <c r="Q117" s="181"/>
      <c r="T117" s="109" t="s">
        <v>223</v>
      </c>
    </row>
    <row r="118" spans="2:28" x14ac:dyDescent="0.25">
      <c r="B118" s="236">
        <v>115</v>
      </c>
      <c r="D118" s="109">
        <f t="shared" si="3"/>
        <v>25</v>
      </c>
      <c r="E118" s="40" t="s">
        <v>60</v>
      </c>
      <c r="F118" s="66">
        <v>0.76400000000000001</v>
      </c>
      <c r="G118" s="66">
        <v>0.76400000000000001</v>
      </c>
      <c r="H118" s="37">
        <v>0.42832446645150402</v>
      </c>
      <c r="I118" s="37">
        <v>0.42334475833894297</v>
      </c>
      <c r="J118" s="149">
        <f>AVERAGE(F118,H118)</f>
        <v>0.59616223322575201</v>
      </c>
      <c r="K118" s="149">
        <f>AVERAGE(G118,I118)</f>
        <v>0.59367237916947146</v>
      </c>
      <c r="L118" s="128">
        <f t="shared" si="4"/>
        <v>0.59616223322575201</v>
      </c>
      <c r="M118" s="128">
        <f>IF(VLOOKUP(E118,$E$168:$G$193,3,FALSE)=2,K118,18%)</f>
        <v>0.18</v>
      </c>
      <c r="N118" s="128">
        <f>L118*(I58/(I58+J58))+M118*(J58/(I58+J58))</f>
        <v>0.32097828580308929</v>
      </c>
      <c r="Q118" s="181"/>
    </row>
    <row r="119" spans="2:28" x14ac:dyDescent="0.25">
      <c r="B119" s="236">
        <v>116</v>
      </c>
      <c r="D119" s="109">
        <f t="shared" si="3"/>
        <v>26</v>
      </c>
      <c r="E119" s="41" t="s">
        <v>61</v>
      </c>
      <c r="F119" s="66">
        <v>0.91800000000000004</v>
      </c>
      <c r="G119" s="66">
        <v>0.91800000000000004</v>
      </c>
      <c r="H119" s="37">
        <v>0.73657367298038101</v>
      </c>
      <c r="I119" s="37">
        <v>0.773032170479239</v>
      </c>
      <c r="J119" s="149">
        <f>AVERAGE(F119,H119)</f>
        <v>0.82728683649019052</v>
      </c>
      <c r="K119" s="149">
        <f>AVERAGE(G119,I119)</f>
        <v>0.84551608523961952</v>
      </c>
      <c r="L119" s="128">
        <f t="shared" si="4"/>
        <v>0.82728683649019052</v>
      </c>
      <c r="M119" s="128">
        <f>IF(VLOOKUP(E119,$E$168:$G$193,3,FALSE)=2,K119,18%)</f>
        <v>0.18</v>
      </c>
      <c r="N119" s="128">
        <f>L119*(I59/(I59+J59))+M119*(J59/(I59+J59))</f>
        <v>0.39927359415574393</v>
      </c>
      <c r="Q119" s="181"/>
      <c r="T119" s="228" t="s">
        <v>214</v>
      </c>
      <c r="U119" s="228"/>
      <c r="V119" s="228"/>
      <c r="W119" s="230"/>
      <c r="X119" s="147"/>
      <c r="Y119" s="147"/>
    </row>
    <row r="120" spans="2:28" x14ac:dyDescent="0.25">
      <c r="B120" s="236">
        <v>117</v>
      </c>
      <c r="D120" s="109">
        <f t="shared" si="3"/>
        <v>27</v>
      </c>
      <c r="E120" s="43" t="s">
        <v>71</v>
      </c>
      <c r="F120" s="64">
        <v>0.80800000000000005</v>
      </c>
      <c r="G120" s="64">
        <v>0.82799999999999996</v>
      </c>
      <c r="H120" s="37">
        <v>0.67644566804975503</v>
      </c>
      <c r="I120" s="37">
        <v>0.70538436519272196</v>
      </c>
      <c r="J120" s="149">
        <f>AVERAGE(F120,H120)</f>
        <v>0.74222283402487754</v>
      </c>
      <c r="K120" s="149">
        <f>AVERAGE(G120,I120)</f>
        <v>0.76669218259636096</v>
      </c>
      <c r="L120" s="128">
        <f t="shared" si="4"/>
        <v>0.74222283402487754</v>
      </c>
      <c r="M120" s="128">
        <f>M121</f>
        <v>0.43245602246447923</v>
      </c>
      <c r="N120" s="128">
        <f>L120*(I60/(I60+J60))+M120*(J60/(I60+J60))</f>
        <v>0.5373920080150566</v>
      </c>
      <c r="Q120" s="181"/>
      <c r="T120" s="109">
        <v>2</v>
      </c>
      <c r="U120" s="109" t="s">
        <v>23</v>
      </c>
      <c r="V120" s="109" t="s">
        <v>186</v>
      </c>
      <c r="X120" s="226">
        <f>VLOOKUP(T120,$D$94:$N$119,11,FALSE)</f>
        <v>0.89136983781945034</v>
      </c>
      <c r="Y120" s="226" t="e">
        <f>VLOOKUP(T120,$D$63:$K$89,9,FALSE)</f>
        <v>#REF!</v>
      </c>
    </row>
    <row r="121" spans="2:28" x14ac:dyDescent="0.25">
      <c r="B121" s="236">
        <v>118</v>
      </c>
      <c r="E121" s="156"/>
      <c r="F121" s="157"/>
      <c r="G121" s="157"/>
      <c r="H121" s="49"/>
      <c r="I121" s="156"/>
      <c r="J121" s="157"/>
      <c r="K121" s="160" t="s">
        <v>192</v>
      </c>
      <c r="L121" s="158">
        <f>SUMPRODUCT(L94:L119,H34:H59)</f>
        <v>0.74740656583598275</v>
      </c>
      <c r="M121" s="159">
        <f>SUMPRODUCT(M94:M119,H34:H59)</f>
        <v>0.43245602246447923</v>
      </c>
      <c r="N121" s="157"/>
      <c r="Q121" s="157"/>
      <c r="T121" s="109">
        <v>4</v>
      </c>
      <c r="U121" s="109" t="s">
        <v>25</v>
      </c>
      <c r="V121" s="109" t="s">
        <v>186</v>
      </c>
      <c r="X121" s="226">
        <f>VLOOKUP(T121,$D$94:$N$119,11,FALSE)</f>
        <v>0.85741524800823754</v>
      </c>
      <c r="Y121" s="226" t="e">
        <f>VLOOKUP(T121,$D$63:$K$89,9,FALSE)</f>
        <v>#REF!</v>
      </c>
    </row>
    <row r="122" spans="2:28" x14ac:dyDescent="0.25">
      <c r="B122" s="236">
        <v>119</v>
      </c>
      <c r="E122" s="156"/>
      <c r="F122" s="157"/>
      <c r="G122" s="157"/>
      <c r="H122" s="157"/>
      <c r="I122" s="157"/>
      <c r="J122" s="49"/>
      <c r="K122" s="156"/>
      <c r="L122" s="157"/>
      <c r="M122" s="157"/>
      <c r="N122" s="49"/>
      <c r="O122" s="156"/>
      <c r="P122" s="157"/>
      <c r="Q122" s="157"/>
      <c r="T122" s="109">
        <v>10</v>
      </c>
      <c r="U122" s="109" t="s">
        <v>34</v>
      </c>
      <c r="V122" s="109" t="s">
        <v>186</v>
      </c>
      <c r="X122" s="226">
        <f>VLOOKUP(T122,$D$94:$N$119,11,FALSE)</f>
        <v>0.79875469540645694</v>
      </c>
      <c r="Y122" s="226" t="e">
        <f>VLOOKUP(T122,$D$63:$K$89,9,FALSE)</f>
        <v>#REF!</v>
      </c>
    </row>
    <row r="123" spans="2:28" x14ac:dyDescent="0.25">
      <c r="B123" s="236">
        <v>120</v>
      </c>
      <c r="E123" s="183" t="s">
        <v>202</v>
      </c>
      <c r="F123" s="184"/>
      <c r="G123" s="184"/>
      <c r="H123" s="184"/>
      <c r="I123" s="184"/>
      <c r="J123" s="185"/>
      <c r="K123" s="111"/>
      <c r="L123" s="186">
        <f>L121*(I60/(I60+J60))+M121*(J60/(I60+J60))</f>
        <v>0.53914803863592298</v>
      </c>
      <c r="M123" s="157"/>
      <c r="O123" s="156"/>
      <c r="P123" s="157"/>
      <c r="Q123" s="157"/>
      <c r="T123" s="109">
        <v>12</v>
      </c>
      <c r="U123" s="109" t="s">
        <v>38</v>
      </c>
      <c r="V123" s="109" t="s">
        <v>186</v>
      </c>
      <c r="X123" s="226">
        <f>VLOOKUP(T123,$D$94:$N$119,11,FALSE)</f>
        <v>0.79127937453465469</v>
      </c>
      <c r="Y123" s="226" t="e">
        <f>VLOOKUP(T123,$D$63:$K$89,9,FALSE)</f>
        <v>#REF!</v>
      </c>
    </row>
    <row r="124" spans="2:28" x14ac:dyDescent="0.25">
      <c r="B124" s="236">
        <v>121</v>
      </c>
      <c r="E124" s="156"/>
      <c r="F124" s="157"/>
      <c r="G124" s="157"/>
      <c r="H124" s="157"/>
      <c r="I124" s="157"/>
      <c r="J124" s="49"/>
      <c r="K124" s="156"/>
      <c r="L124" s="157"/>
      <c r="M124" s="157"/>
      <c r="N124" s="49"/>
      <c r="O124" s="156"/>
      <c r="P124" s="157"/>
      <c r="Q124" s="157"/>
      <c r="T124" s="109">
        <v>13</v>
      </c>
      <c r="U124" s="109" t="s">
        <v>40</v>
      </c>
      <c r="V124" s="109" t="s">
        <v>186</v>
      </c>
      <c r="X124" s="226">
        <f>VLOOKUP(T124,$D$94:$N$119,11,FALSE)</f>
        <v>0.77710877450048321</v>
      </c>
      <c r="Y124" s="226" t="e">
        <f>VLOOKUP(T124,$D$63:$K$89,9,FALSE)</f>
        <v>#REF!</v>
      </c>
    </row>
    <row r="125" spans="2:28" x14ac:dyDescent="0.25">
      <c r="B125" s="236">
        <v>122</v>
      </c>
      <c r="E125" s="156"/>
      <c r="F125" s="157"/>
      <c r="G125" s="157"/>
      <c r="H125" s="157"/>
      <c r="I125" s="157"/>
      <c r="J125" s="49"/>
      <c r="K125" s="156"/>
      <c r="L125" s="157"/>
      <c r="M125" s="157"/>
      <c r="N125" s="49"/>
      <c r="O125" s="156"/>
      <c r="P125" s="157"/>
      <c r="Q125" s="157"/>
      <c r="T125" s="109">
        <v>19</v>
      </c>
      <c r="U125" s="109" t="s">
        <v>48</v>
      </c>
      <c r="V125" s="109" t="s">
        <v>186</v>
      </c>
      <c r="X125" s="226">
        <f>VLOOKUP(T125,$D$94:$N$119,11,FALSE)</f>
        <v>0.90947671826007659</v>
      </c>
      <c r="Y125" s="226" t="e">
        <f>VLOOKUP(T125,$D$63:$K$89,9,FALSE)</f>
        <v>#REF!</v>
      </c>
    </row>
    <row r="126" spans="2:28" x14ac:dyDescent="0.25">
      <c r="B126" s="236">
        <v>123</v>
      </c>
      <c r="E126" s="179" t="s">
        <v>195</v>
      </c>
      <c r="J126" s="49"/>
      <c r="K126" s="156"/>
      <c r="L126" s="157"/>
      <c r="M126" s="157"/>
      <c r="O126" s="182"/>
      <c r="P126" s="157"/>
      <c r="Q126" s="157"/>
    </row>
    <row r="127" spans="2:28" x14ac:dyDescent="0.25">
      <c r="B127" s="236">
        <v>124</v>
      </c>
      <c r="E127" s="109" t="s">
        <v>196</v>
      </c>
      <c r="J127" s="49"/>
      <c r="K127" s="156"/>
      <c r="L127" s="157"/>
      <c r="M127" s="157"/>
      <c r="N127" s="49"/>
      <c r="O127" s="156"/>
      <c r="P127" s="157"/>
      <c r="Q127" s="157"/>
      <c r="T127" s="179" t="s">
        <v>205</v>
      </c>
      <c r="X127" s="147"/>
      <c r="Y127" s="225" t="e">
        <f>CORREL(Y120:Y125,X120:X125)</f>
        <v>#REF!</v>
      </c>
      <c r="Z127" s="109" t="e">
        <f>CONCATENATE("p-value",": ",ROUND(_xlfn.T.DIST.2T(ABS((Y127 * SQRT((COUNTA(U120:U125)-2) / (1 - Y127^2)))), COUNTA(U120:U125)-2),2))</f>
        <v>#REF!</v>
      </c>
      <c r="AA127" s="222" t="s">
        <v>206</v>
      </c>
    </row>
    <row r="128" spans="2:28" x14ac:dyDescent="0.25">
      <c r="B128" s="236">
        <v>125</v>
      </c>
      <c r="J128" s="49"/>
      <c r="K128" s="156"/>
      <c r="L128" s="157"/>
      <c r="M128" s="157"/>
      <c r="N128" s="49"/>
      <c r="O128" s="156"/>
      <c r="P128" s="157"/>
      <c r="Q128" s="157"/>
    </row>
    <row r="129" spans="2:17" x14ac:dyDescent="0.25">
      <c r="B129" s="236">
        <v>126</v>
      </c>
      <c r="E129" s="109" t="s">
        <v>199</v>
      </c>
      <c r="G129" s="180">
        <v>1.0895573625834787</v>
      </c>
      <c r="H129" s="180"/>
      <c r="I129" s="180"/>
      <c r="K129" s="156"/>
      <c r="L129" s="157"/>
      <c r="M129" s="157"/>
      <c r="N129" s="49"/>
      <c r="O129" s="156"/>
      <c r="P129" s="157"/>
      <c r="Q129" s="157"/>
    </row>
    <row r="130" spans="2:17" x14ac:dyDescent="0.25">
      <c r="B130" s="236">
        <v>127</v>
      </c>
      <c r="K130" s="156"/>
      <c r="L130" s="157"/>
      <c r="M130" s="157"/>
      <c r="N130" s="49"/>
      <c r="O130" s="156"/>
      <c r="P130" s="157"/>
      <c r="Q130" s="157"/>
    </row>
    <row r="131" spans="2:17" x14ac:dyDescent="0.25">
      <c r="B131" s="236">
        <v>128</v>
      </c>
      <c r="E131" s="109" t="s">
        <v>200</v>
      </c>
      <c r="G131" s="180">
        <v>0.78893018829129569</v>
      </c>
      <c r="H131" s="180"/>
      <c r="I131" s="180"/>
      <c r="J131" s="49"/>
      <c r="K131" s="156"/>
      <c r="L131" s="157"/>
      <c r="M131" s="157"/>
      <c r="N131" s="49"/>
      <c r="O131" s="156"/>
      <c r="P131" s="157"/>
      <c r="Q131" s="157"/>
    </row>
    <row r="132" spans="2:17" x14ac:dyDescent="0.25">
      <c r="B132" s="236">
        <v>129</v>
      </c>
      <c r="J132" s="49"/>
      <c r="K132" s="156"/>
      <c r="L132" s="157"/>
      <c r="M132" s="157"/>
      <c r="N132" s="49"/>
      <c r="O132" s="156"/>
      <c r="P132" s="157"/>
      <c r="Q132" s="157"/>
    </row>
    <row r="133" spans="2:17" x14ac:dyDescent="0.25">
      <c r="B133" s="236">
        <v>130</v>
      </c>
      <c r="E133" s="178" t="s">
        <v>215</v>
      </c>
      <c r="J133" s="49"/>
      <c r="K133" s="156"/>
      <c r="L133" s="157"/>
      <c r="M133" s="157"/>
      <c r="N133" s="49"/>
      <c r="O133" s="156"/>
      <c r="P133" s="157"/>
      <c r="Q133" s="157"/>
    </row>
    <row r="134" spans="2:17" x14ac:dyDescent="0.25">
      <c r="B134" s="236">
        <v>131</v>
      </c>
      <c r="E134" s="178"/>
      <c r="J134" s="49"/>
      <c r="K134" s="156"/>
      <c r="L134" s="157"/>
      <c r="M134" s="157"/>
      <c r="N134" s="49"/>
      <c r="O134" s="156"/>
      <c r="P134" s="157"/>
      <c r="Q134" s="157"/>
    </row>
    <row r="135" spans="2:17" x14ac:dyDescent="0.25">
      <c r="B135" s="236">
        <v>132</v>
      </c>
      <c r="F135" s="214" t="s">
        <v>183</v>
      </c>
      <c r="G135" s="215"/>
      <c r="H135" s="214" t="s">
        <v>182</v>
      </c>
      <c r="I135" s="216"/>
      <c r="L135" s="157"/>
      <c r="M135" s="157"/>
      <c r="N135" s="49"/>
      <c r="O135" s="156"/>
      <c r="P135" s="157"/>
      <c r="Q135" s="157"/>
    </row>
    <row r="136" spans="2:17" x14ac:dyDescent="0.25">
      <c r="B136" s="236">
        <v>133</v>
      </c>
      <c r="E136" s="106" t="s">
        <v>13</v>
      </c>
      <c r="F136" s="106" t="s">
        <v>197</v>
      </c>
      <c r="G136" s="106" t="s">
        <v>198</v>
      </c>
      <c r="H136" s="106" t="s">
        <v>197</v>
      </c>
      <c r="I136" s="106" t="s">
        <v>198</v>
      </c>
      <c r="L136" s="157"/>
      <c r="M136" s="157"/>
      <c r="N136" s="49"/>
      <c r="O136" s="156"/>
      <c r="P136" s="157"/>
      <c r="Q136" s="157"/>
    </row>
    <row r="137" spans="2:17" x14ac:dyDescent="0.25">
      <c r="B137" s="236">
        <v>134</v>
      </c>
      <c r="D137" s="109">
        <f>D94</f>
        <v>1</v>
      </c>
      <c r="E137" s="40" t="s">
        <v>20</v>
      </c>
      <c r="F137" s="164">
        <f>L94*$G$129</f>
        <v>0.85739041326153509</v>
      </c>
      <c r="G137" s="164">
        <f>L94*$G$131</f>
        <v>0.6208219992839058</v>
      </c>
      <c r="H137" s="164">
        <f>M94*$G$129</f>
        <v>0.19612032526502615</v>
      </c>
      <c r="I137" s="164">
        <f>M94*$G$131</f>
        <v>0.14200743389243323</v>
      </c>
      <c r="L137" s="157"/>
      <c r="M137" s="157"/>
      <c r="N137" s="49"/>
      <c r="O137" s="156"/>
      <c r="P137" s="157"/>
      <c r="Q137" s="157"/>
    </row>
    <row r="138" spans="2:17" x14ac:dyDescent="0.25">
      <c r="B138" s="236">
        <v>135</v>
      </c>
      <c r="D138" s="109">
        <f t="shared" ref="D138:D163" si="5">D95</f>
        <v>2</v>
      </c>
      <c r="E138" s="41" t="s">
        <v>23</v>
      </c>
      <c r="F138" s="164">
        <f>L95*$G$129</f>
        <v>0.95653492487943748</v>
      </c>
      <c r="G138" s="164">
        <f>L95*$G$131</f>
        <v>0.69261087511995656</v>
      </c>
      <c r="H138" s="164">
        <f>M95*$G$129</f>
        <v>0.97871083733143838</v>
      </c>
      <c r="I138" s="164">
        <f>M95*$G$131</f>
        <v>0.70866808090562072</v>
      </c>
      <c r="L138" s="157"/>
      <c r="M138" s="157"/>
      <c r="N138" s="49"/>
      <c r="O138" s="156"/>
      <c r="P138" s="157"/>
      <c r="Q138" s="157"/>
    </row>
    <row r="139" spans="2:17" x14ac:dyDescent="0.25">
      <c r="B139" s="236">
        <v>136</v>
      </c>
      <c r="D139" s="109">
        <f t="shared" si="5"/>
        <v>3</v>
      </c>
      <c r="E139" s="40" t="s">
        <v>24</v>
      </c>
      <c r="F139" s="164">
        <f>L96*$G$129</f>
        <v>0.74293621187731562</v>
      </c>
      <c r="G139" s="164">
        <f>L96*$G$131</f>
        <v>0.53794763419799796</v>
      </c>
      <c r="H139" s="164">
        <f>M96*$G$129</f>
        <v>0.19612032526502615</v>
      </c>
      <c r="I139" s="164">
        <f>M96*$G$131</f>
        <v>0.14200743389243323</v>
      </c>
      <c r="L139" s="157"/>
      <c r="M139" s="157"/>
      <c r="N139" s="49"/>
      <c r="O139" s="156"/>
      <c r="P139" s="157"/>
      <c r="Q139" s="157"/>
    </row>
    <row r="140" spans="2:17" x14ac:dyDescent="0.25">
      <c r="B140" s="236">
        <v>137</v>
      </c>
      <c r="D140" s="109">
        <f t="shared" si="5"/>
        <v>4</v>
      </c>
      <c r="E140" s="41" t="s">
        <v>25</v>
      </c>
      <c r="F140" s="164">
        <f>L97*$G$129</f>
        <v>0.92779963650445296</v>
      </c>
      <c r="G140" s="164">
        <f>L97*$G$131</f>
        <v>0.67180413538619221</v>
      </c>
      <c r="H140" s="164">
        <f>M97*$G$129</f>
        <v>0.93748362474818436</v>
      </c>
      <c r="I140" s="164">
        <f>M97*$G$131</f>
        <v>0.67881614864121009</v>
      </c>
      <c r="L140" s="157"/>
      <c r="M140" s="157"/>
      <c r="N140" s="49"/>
      <c r="O140" s="156"/>
      <c r="P140" s="157"/>
      <c r="Q140" s="157"/>
    </row>
    <row r="141" spans="2:17" x14ac:dyDescent="0.25">
      <c r="B141" s="236">
        <v>138</v>
      </c>
      <c r="D141" s="109">
        <f t="shared" si="5"/>
        <v>5</v>
      </c>
      <c r="E141" s="40" t="s">
        <v>28</v>
      </c>
      <c r="F141" s="164">
        <f>L98*$G$129</f>
        <v>0.75500562529093229</v>
      </c>
      <c r="G141" s="164">
        <f>L98*$G$131</f>
        <v>0.54668689375785473</v>
      </c>
      <c r="H141" s="164">
        <f>M98*$G$129</f>
        <v>0.19612032526502615</v>
      </c>
      <c r="I141" s="164">
        <f>M98*$G$131</f>
        <v>0.14200743389243323</v>
      </c>
      <c r="L141" s="157"/>
      <c r="M141" s="157"/>
      <c r="N141" s="49"/>
      <c r="O141" s="156"/>
      <c r="P141" s="157"/>
      <c r="Q141" s="157"/>
    </row>
    <row r="142" spans="2:17" x14ac:dyDescent="0.25">
      <c r="B142" s="236">
        <v>139</v>
      </c>
      <c r="D142" s="109">
        <f t="shared" si="5"/>
        <v>6</v>
      </c>
      <c r="E142" s="41" t="s">
        <v>30</v>
      </c>
      <c r="F142" s="164">
        <f>L99*$G$129</f>
        <v>0.48646693887950154</v>
      </c>
      <c r="G142" s="164">
        <f>L99*$G$131</f>
        <v>0.3522425407485516</v>
      </c>
      <c r="H142" s="164">
        <f>M99*$G$129</f>
        <v>0.19612032526502615</v>
      </c>
      <c r="I142" s="164">
        <f>M99*$G$131</f>
        <v>0.14200743389243323</v>
      </c>
      <c r="L142" s="157"/>
      <c r="M142" s="157"/>
      <c r="N142" s="49"/>
      <c r="O142" s="156"/>
      <c r="P142" s="157"/>
      <c r="Q142" s="157"/>
    </row>
    <row r="143" spans="2:17" x14ac:dyDescent="0.25">
      <c r="B143" s="236">
        <v>140</v>
      </c>
      <c r="D143" s="109">
        <f t="shared" si="5"/>
        <v>7</v>
      </c>
      <c r="E143" s="40" t="s">
        <v>31</v>
      </c>
      <c r="F143" s="164">
        <f>L100*$G$129</f>
        <v>0.41825971837571552</v>
      </c>
      <c r="G143" s="164">
        <f>L100*$G$131</f>
        <v>0.30285483784938</v>
      </c>
      <c r="H143" s="164">
        <f>M100*$G$129</f>
        <v>0.19612032526502615</v>
      </c>
      <c r="I143" s="164">
        <f>M100*$G$131</f>
        <v>0.14200743389243323</v>
      </c>
      <c r="L143" s="157"/>
      <c r="M143" s="157"/>
      <c r="N143" s="49"/>
      <c r="O143" s="156"/>
      <c r="P143" s="157"/>
      <c r="Q143" s="157"/>
    </row>
    <row r="144" spans="2:17" x14ac:dyDescent="0.25">
      <c r="B144" s="236">
        <v>141</v>
      </c>
      <c r="D144" s="109">
        <f t="shared" si="5"/>
        <v>8</v>
      </c>
      <c r="E144" s="41" t="s">
        <v>32</v>
      </c>
      <c r="F144" s="164">
        <f>L101*$G$129</f>
        <v>0.70378795508066294</v>
      </c>
      <c r="G144" s="164">
        <f>L101*$G$131</f>
        <v>0.50960103890481723</v>
      </c>
      <c r="H144" s="164">
        <f>M101*$G$129</f>
        <v>0.19612032526502615</v>
      </c>
      <c r="I144" s="164">
        <f>M101*$G$131</f>
        <v>0.14200743389243323</v>
      </c>
      <c r="L144" s="157"/>
      <c r="M144" s="157"/>
      <c r="N144" s="49"/>
      <c r="O144" s="156"/>
      <c r="P144" s="157"/>
      <c r="Q144" s="157"/>
    </row>
    <row r="145" spans="2:17" x14ac:dyDescent="0.25">
      <c r="B145" s="236">
        <v>142</v>
      </c>
      <c r="D145" s="109">
        <f t="shared" si="5"/>
        <v>9</v>
      </c>
      <c r="E145" s="40" t="s">
        <v>33</v>
      </c>
      <c r="F145" s="164">
        <f>L102*$G$129</f>
        <v>0.72595087224537758</v>
      </c>
      <c r="G145" s="164">
        <f>L102*$G$131</f>
        <v>0.5256488350211993</v>
      </c>
      <c r="H145" s="164">
        <f>M102*$G$129</f>
        <v>0.19612032526502615</v>
      </c>
      <c r="I145" s="164">
        <f>M102*$G$131</f>
        <v>0.14200743389243323</v>
      </c>
      <c r="L145" s="157"/>
      <c r="M145" s="157"/>
      <c r="N145" s="49"/>
      <c r="O145" s="156"/>
      <c r="P145" s="157"/>
      <c r="Q145" s="157"/>
    </row>
    <row r="146" spans="2:17" x14ac:dyDescent="0.25">
      <c r="B146" s="236">
        <v>143</v>
      </c>
      <c r="D146" s="109">
        <f t="shared" si="5"/>
        <v>10</v>
      </c>
      <c r="E146" s="41" t="s">
        <v>34</v>
      </c>
      <c r="F146" s="164">
        <f>L103*$G$129</f>
        <v>0.82871595131110287</v>
      </c>
      <c r="G146" s="164">
        <f>L103*$G$131</f>
        <v>0.60005930294264465</v>
      </c>
      <c r="H146" s="164">
        <f>M103*$G$129</f>
        <v>0.89158719658458263</v>
      </c>
      <c r="I146" s="164">
        <f>M103*$G$131</f>
        <v>0.64558331578957207</v>
      </c>
      <c r="L146" s="157"/>
      <c r="M146" s="157"/>
      <c r="N146" s="49"/>
      <c r="O146" s="156"/>
      <c r="P146" s="157"/>
      <c r="Q146" s="157"/>
    </row>
    <row r="147" spans="2:17" x14ac:dyDescent="0.25">
      <c r="B147" s="236">
        <v>144</v>
      </c>
      <c r="D147" s="109">
        <f t="shared" si="5"/>
        <v>11</v>
      </c>
      <c r="E147" s="40" t="s">
        <v>37</v>
      </c>
      <c r="F147" s="164">
        <f>L104*$G$129</f>
        <v>0.90073666715169709</v>
      </c>
      <c r="G147" s="164">
        <f>L104*$G$131</f>
        <v>0.65220829377160672</v>
      </c>
      <c r="H147" s="164">
        <f>M104*$G$129</f>
        <v>0.19612032526502615</v>
      </c>
      <c r="I147" s="164">
        <f>M104*$G$131</f>
        <v>0.14200743389243323</v>
      </c>
      <c r="L147" s="157"/>
      <c r="M147" s="157"/>
      <c r="N147" s="49"/>
      <c r="O147" s="156"/>
      <c r="P147" s="157"/>
      <c r="Q147" s="157"/>
    </row>
    <row r="148" spans="2:17" x14ac:dyDescent="0.25">
      <c r="B148" s="236">
        <v>145</v>
      </c>
      <c r="D148" s="109">
        <f t="shared" si="5"/>
        <v>12</v>
      </c>
      <c r="E148" s="41" t="s">
        <v>38</v>
      </c>
      <c r="F148" s="164">
        <f>L105*$G$129</f>
        <v>0.86338882125449812</v>
      </c>
      <c r="G148" s="164">
        <f>L105*$G$131</f>
        <v>0.62516534577473704</v>
      </c>
      <c r="H148" s="164">
        <f>M105*$G$129</f>
        <v>0.86150667694150052</v>
      </c>
      <c r="I148" s="164">
        <f>M105*$G$131</f>
        <v>0.6238025166863046</v>
      </c>
      <c r="L148" s="157"/>
      <c r="M148" s="157"/>
      <c r="N148" s="49"/>
      <c r="O148" s="156"/>
      <c r="P148" s="157"/>
      <c r="Q148" s="157"/>
    </row>
    <row r="149" spans="2:17" x14ac:dyDescent="0.25">
      <c r="B149" s="236">
        <v>146</v>
      </c>
      <c r="D149" s="109">
        <f t="shared" si="5"/>
        <v>13</v>
      </c>
      <c r="E149" s="40" t="s">
        <v>40</v>
      </c>
      <c r="F149" s="164">
        <f>L106*$G$129</f>
        <v>0.83003019053563942</v>
      </c>
      <c r="G149" s="164">
        <f>L106*$G$131</f>
        <v>0.60101092149388369</v>
      </c>
      <c r="H149" s="164">
        <f>M106*$G$129</f>
        <v>0.85524697387605986</v>
      </c>
      <c r="I149" s="164">
        <f>M106*$G$131</f>
        <v>0.61926997082166468</v>
      </c>
      <c r="L149" s="157"/>
      <c r="M149" s="157"/>
      <c r="N149" s="49"/>
      <c r="O149" s="156"/>
      <c r="P149" s="157"/>
      <c r="Q149" s="157"/>
    </row>
    <row r="150" spans="2:17" x14ac:dyDescent="0.25">
      <c r="B150" s="236">
        <v>147</v>
      </c>
      <c r="D150" s="109">
        <f t="shared" si="5"/>
        <v>14</v>
      </c>
      <c r="E150" s="41" t="s">
        <v>41</v>
      </c>
      <c r="F150" s="164">
        <f>L107*$G$129</f>
        <v>0.48164067563368024</v>
      </c>
      <c r="G150" s="164">
        <f>L107*$G$131</f>
        <v>0.34874792458420306</v>
      </c>
      <c r="H150" s="164">
        <f>M107*$G$129</f>
        <v>0.19612032526502615</v>
      </c>
      <c r="I150" s="164">
        <f>M107*$G$131</f>
        <v>0.14200743389243323</v>
      </c>
      <c r="L150" s="157"/>
      <c r="M150" s="157"/>
      <c r="N150" s="49"/>
      <c r="O150" s="156"/>
      <c r="P150" s="157"/>
      <c r="Q150" s="157"/>
    </row>
    <row r="151" spans="2:17" x14ac:dyDescent="0.25">
      <c r="B151" s="236">
        <v>148</v>
      </c>
      <c r="D151" s="109">
        <f t="shared" si="5"/>
        <v>15</v>
      </c>
      <c r="E151" s="40" t="s">
        <v>42</v>
      </c>
      <c r="F151" s="164">
        <f>L108*$G$129</f>
        <v>0.75390470928125053</v>
      </c>
      <c r="G151" s="164">
        <f>L108*$G$131</f>
        <v>0.54588973896395598</v>
      </c>
      <c r="H151" s="164">
        <f>M108*$G$129</f>
        <v>0.19612032526502615</v>
      </c>
      <c r="I151" s="164">
        <f>M108*$G$131</f>
        <v>0.14200743389243323</v>
      </c>
      <c r="L151" s="157"/>
      <c r="M151" s="157"/>
      <c r="N151" s="49"/>
      <c r="O151" s="156"/>
      <c r="P151" s="157"/>
      <c r="Q151" s="157"/>
    </row>
    <row r="152" spans="2:17" x14ac:dyDescent="0.25">
      <c r="B152" s="236">
        <v>149</v>
      </c>
      <c r="D152" s="109">
        <f t="shared" si="5"/>
        <v>16</v>
      </c>
      <c r="E152" s="41" t="s">
        <v>45</v>
      </c>
      <c r="F152" s="164">
        <f>L109*$G$129</f>
        <v>0.68060310691609949</v>
      </c>
      <c r="G152" s="164">
        <f>L109*$G$131</f>
        <v>0.49281327971368727</v>
      </c>
      <c r="H152" s="164">
        <f>M109*$G$129</f>
        <v>0.19612032526502615</v>
      </c>
      <c r="I152" s="164">
        <f>M109*$G$131</f>
        <v>0.14200743389243323</v>
      </c>
      <c r="L152" s="157"/>
      <c r="M152" s="157"/>
      <c r="N152" s="49"/>
      <c r="O152" s="156"/>
      <c r="P152" s="157"/>
      <c r="Q152" s="157"/>
    </row>
    <row r="153" spans="2:17" x14ac:dyDescent="0.25">
      <c r="B153" s="236">
        <v>150</v>
      </c>
      <c r="D153" s="109">
        <f t="shared" si="5"/>
        <v>17</v>
      </c>
      <c r="E153" s="40" t="s">
        <v>46</v>
      </c>
      <c r="F153" s="164">
        <f>L110*$G$129</f>
        <v>0.54074763037937179</v>
      </c>
      <c r="G153" s="164">
        <f>L110*$G$131</f>
        <v>0.39154627787720908</v>
      </c>
      <c r="H153" s="164">
        <f>M110*$G$129</f>
        <v>0.19612032526502615</v>
      </c>
      <c r="I153" s="164">
        <f>M110*$G$131</f>
        <v>0.14200743389243323</v>
      </c>
      <c r="L153" s="157"/>
      <c r="M153" s="157"/>
      <c r="N153" s="49"/>
      <c r="O153" s="156"/>
      <c r="P153" s="157"/>
      <c r="Q153" s="157"/>
    </row>
    <row r="154" spans="2:17" x14ac:dyDescent="0.25">
      <c r="B154" s="236">
        <v>151</v>
      </c>
      <c r="D154" s="109">
        <f t="shared" si="5"/>
        <v>18</v>
      </c>
      <c r="E154" s="41" t="s">
        <v>47</v>
      </c>
      <c r="F154" s="164">
        <f>L111*$G$129</f>
        <v>0.49000312842855953</v>
      </c>
      <c r="G154" s="164">
        <f>L111*$G$131</f>
        <v>0.35480303621448744</v>
      </c>
      <c r="H154" s="164">
        <f>M111*$G$129</f>
        <v>0.19612032526502615</v>
      </c>
      <c r="I154" s="164">
        <f>M111*$G$131</f>
        <v>0.14200743389243323</v>
      </c>
      <c r="L154" s="157"/>
      <c r="M154" s="157"/>
      <c r="N154" s="49"/>
      <c r="O154" s="156"/>
      <c r="P154" s="157"/>
      <c r="Q154" s="157"/>
    </row>
    <row r="155" spans="2:17" x14ac:dyDescent="0.25">
      <c r="B155" s="236">
        <v>152</v>
      </c>
      <c r="D155" s="109">
        <f t="shared" si="5"/>
        <v>19</v>
      </c>
      <c r="E155" s="42" t="s">
        <v>48</v>
      </c>
      <c r="F155" s="164">
        <f>L112*$G$129</f>
        <v>0.98985485465985001</v>
      </c>
      <c r="G155" s="164">
        <f>L112*$G$131</f>
        <v>0.71673727670122211</v>
      </c>
      <c r="H155" s="164">
        <f>M112*$G$129</f>
        <v>0.99147634848310473</v>
      </c>
      <c r="I155" s="164">
        <f>M112*$G$131</f>
        <v>0.71791137314737918</v>
      </c>
      <c r="L155" s="157"/>
      <c r="M155" s="157"/>
      <c r="N155" s="49"/>
      <c r="O155" s="156"/>
      <c r="P155" s="157"/>
      <c r="Q155" s="157"/>
    </row>
    <row r="156" spans="2:17" x14ac:dyDescent="0.25">
      <c r="B156" s="236">
        <v>153</v>
      </c>
      <c r="D156" s="109">
        <f t="shared" si="5"/>
        <v>20</v>
      </c>
      <c r="E156" s="41" t="s">
        <v>50</v>
      </c>
      <c r="F156" s="164">
        <f>L113*$G$129</f>
        <v>0.48793986984395715</v>
      </c>
      <c r="G156" s="164">
        <f>L113*$G$131</f>
        <v>0.35330906532360717</v>
      </c>
      <c r="H156" s="164">
        <f>M113*$G$129</f>
        <v>0.19612032526502615</v>
      </c>
      <c r="I156" s="164">
        <f>M113*$G$131</f>
        <v>0.14200743389243323</v>
      </c>
      <c r="L156" s="157"/>
      <c r="M156" s="157"/>
      <c r="N156" s="49"/>
      <c r="O156" s="156"/>
      <c r="P156" s="157"/>
      <c r="Q156" s="157"/>
    </row>
    <row r="157" spans="2:17" x14ac:dyDescent="0.25">
      <c r="B157" s="236">
        <v>154</v>
      </c>
      <c r="D157" s="109">
        <f t="shared" si="5"/>
        <v>21</v>
      </c>
      <c r="E157" s="40" t="s">
        <v>52</v>
      </c>
      <c r="F157" s="164">
        <f>L114*$G$129</f>
        <v>0.98261712020798175</v>
      </c>
      <c r="G157" s="164">
        <f>L114*$G$131</f>
        <v>0.71149655473466544</v>
      </c>
      <c r="H157" s="164">
        <f>M114*$G$129</f>
        <v>0.19612032526502615</v>
      </c>
      <c r="I157" s="164">
        <f>M114*$G$131</f>
        <v>0.14200743389243323</v>
      </c>
      <c r="L157" s="157"/>
      <c r="M157" s="157"/>
      <c r="N157" s="49"/>
      <c r="O157" s="156"/>
      <c r="P157" s="157"/>
      <c r="Q157" s="157"/>
    </row>
    <row r="158" spans="2:17" x14ac:dyDescent="0.25">
      <c r="B158" s="236">
        <v>155</v>
      </c>
      <c r="D158" s="109">
        <f t="shared" si="5"/>
        <v>22</v>
      </c>
      <c r="E158" s="41" t="s">
        <v>55</v>
      </c>
      <c r="F158" s="164">
        <f>L115*$G$129</f>
        <v>0.78162608039869808</v>
      </c>
      <c r="G158" s="164">
        <f>L115*$G$131</f>
        <v>0.56596231823919829</v>
      </c>
      <c r="H158" s="164">
        <f>M115*$G$129</f>
        <v>0.19612032526502615</v>
      </c>
      <c r="I158" s="164">
        <f>M115*$G$131</f>
        <v>0.14200743389243323</v>
      </c>
      <c r="L158" s="157"/>
      <c r="M158" s="157"/>
      <c r="N158" s="49"/>
      <c r="O158" s="156"/>
      <c r="P158" s="157"/>
      <c r="Q158" s="157"/>
    </row>
    <row r="159" spans="2:17" x14ac:dyDescent="0.25">
      <c r="B159" s="236">
        <v>156</v>
      </c>
      <c r="D159" s="109">
        <f t="shared" si="5"/>
        <v>23</v>
      </c>
      <c r="E159" s="40" t="s">
        <v>58</v>
      </c>
      <c r="F159" s="164">
        <f>L116*$G$129</f>
        <v>0.78131027067380709</v>
      </c>
      <c r="G159" s="164">
        <f>L116*$G$131</f>
        <v>0.56573364572109264</v>
      </c>
      <c r="H159" s="164">
        <f>M116*$G$129</f>
        <v>0.19612032526502615</v>
      </c>
      <c r="I159" s="164">
        <f>M116*$G$131</f>
        <v>0.14200743389243323</v>
      </c>
      <c r="L159" s="157"/>
      <c r="M159" s="157"/>
      <c r="N159" s="49"/>
      <c r="O159" s="156"/>
      <c r="P159" s="157"/>
      <c r="Q159" s="157"/>
    </row>
    <row r="160" spans="2:17" x14ac:dyDescent="0.25">
      <c r="B160" s="236">
        <v>157</v>
      </c>
      <c r="D160" s="109">
        <f t="shared" si="5"/>
        <v>24</v>
      </c>
      <c r="E160" s="41" t="s">
        <v>59</v>
      </c>
      <c r="F160" s="164">
        <f>L117*$G$129</f>
        <v>0.88979370094312926</v>
      </c>
      <c r="G160" s="164">
        <f>L117*$G$131</f>
        <v>0.64428467571544479</v>
      </c>
      <c r="H160" s="164">
        <f>M117*$G$129</f>
        <v>0.19612032526502615</v>
      </c>
      <c r="I160" s="164">
        <f>M117*$G$131</f>
        <v>0.14200743389243323</v>
      </c>
      <c r="L160" s="157"/>
      <c r="M160" s="157"/>
      <c r="N160" s="49"/>
      <c r="O160" s="156"/>
      <c r="P160" s="157"/>
      <c r="Q160" s="157"/>
    </row>
    <row r="161" spans="2:32" x14ac:dyDescent="0.25">
      <c r="B161" s="236">
        <v>158</v>
      </c>
      <c r="D161" s="109">
        <f t="shared" si="5"/>
        <v>25</v>
      </c>
      <c r="E161" s="40" t="s">
        <v>60</v>
      </c>
      <c r="F161" s="164">
        <f>L118*$G$129</f>
        <v>0.64955295050532702</v>
      </c>
      <c r="G161" s="164">
        <f>L118*$G$131</f>
        <v>0.47033038291095186</v>
      </c>
      <c r="H161" s="164">
        <f>M118*$G$129</f>
        <v>0.19612032526502615</v>
      </c>
      <c r="I161" s="164">
        <f>M118*$G$131</f>
        <v>0.14200743389243323</v>
      </c>
      <c r="L161" s="157"/>
      <c r="M161" s="157"/>
      <c r="N161" s="49"/>
      <c r="O161" s="156"/>
      <c r="P161" s="157"/>
      <c r="Q161" s="157"/>
    </row>
    <row r="162" spans="2:32" x14ac:dyDescent="0.25">
      <c r="B162" s="236">
        <v>159</v>
      </c>
      <c r="D162" s="109">
        <f t="shared" si="5"/>
        <v>26</v>
      </c>
      <c r="E162" s="41" t="s">
        <v>61</v>
      </c>
      <c r="F162" s="164">
        <f>L119*$G$129</f>
        <v>0.90137646366628155</v>
      </c>
      <c r="G162" s="164">
        <f>L119*$G$131</f>
        <v>0.65267155968311641</v>
      </c>
      <c r="H162" s="164">
        <f>M119*$G$129</f>
        <v>0.19612032526502615</v>
      </c>
      <c r="I162" s="164">
        <f>M119*$G$131</f>
        <v>0.14200743389243323</v>
      </c>
      <c r="L162" s="157"/>
      <c r="M162" s="157"/>
      <c r="N162" s="49"/>
      <c r="O162" s="156"/>
      <c r="P162" s="157"/>
      <c r="Q162" s="157"/>
    </row>
    <row r="163" spans="2:32" x14ac:dyDescent="0.25">
      <c r="B163" s="236">
        <v>160</v>
      </c>
      <c r="D163" s="109">
        <f t="shared" si="5"/>
        <v>27</v>
      </c>
      <c r="E163" s="43" t="s">
        <v>71</v>
      </c>
      <c r="F163" s="164">
        <f>L120*$G$129</f>
        <v>0.80869435348938057</v>
      </c>
      <c r="G163" s="164">
        <f>L120*$G$131</f>
        <v>0.58556200020134574</v>
      </c>
      <c r="H163" s="164">
        <f>M120*$G$129</f>
        <v>0.47118564326973961</v>
      </c>
      <c r="I163" s="164">
        <f>M120*$G$131</f>
        <v>0.34117761123060641</v>
      </c>
      <c r="L163" s="157"/>
      <c r="M163" s="157"/>
      <c r="N163" s="49"/>
      <c r="O163" s="156"/>
      <c r="P163" s="157"/>
      <c r="Q163" s="157"/>
    </row>
    <row r="164" spans="2:32" x14ac:dyDescent="0.25">
      <c r="B164" s="236">
        <v>161</v>
      </c>
      <c r="E164" s="156"/>
      <c r="F164" s="157"/>
      <c r="G164" s="157"/>
      <c r="H164" s="157"/>
      <c r="I164" s="157"/>
      <c r="J164" s="49"/>
      <c r="K164" s="156"/>
      <c r="L164" s="157"/>
      <c r="M164" s="157"/>
      <c r="N164" s="49"/>
      <c r="O164" s="156"/>
      <c r="P164" s="157"/>
      <c r="Q164" s="157"/>
    </row>
    <row r="165" spans="2:32" x14ac:dyDescent="0.25">
      <c r="B165" s="236">
        <v>162</v>
      </c>
      <c r="H165" s="109" t="s">
        <v>189</v>
      </c>
      <c r="O165" s="153"/>
      <c r="AC165" s="109" t="s">
        <v>189</v>
      </c>
    </row>
    <row r="166" spans="2:32" x14ac:dyDescent="0.25">
      <c r="B166" s="236">
        <v>163</v>
      </c>
      <c r="H166" s="190" t="s">
        <v>153</v>
      </c>
      <c r="I166" s="191"/>
      <c r="J166" s="212" t="s">
        <v>168</v>
      </c>
      <c r="K166" s="213"/>
      <c r="Y166" s="209" t="s">
        <v>190</v>
      </c>
      <c r="Z166" s="210"/>
      <c r="AA166" s="209" t="s">
        <v>191</v>
      </c>
      <c r="AB166" s="210"/>
      <c r="AC166" s="205" t="s">
        <v>153</v>
      </c>
      <c r="AD166" s="206"/>
      <c r="AE166" s="205" t="s">
        <v>168</v>
      </c>
      <c r="AF166" s="206"/>
    </row>
    <row r="167" spans="2:32" x14ac:dyDescent="0.25">
      <c r="B167" s="236">
        <v>164</v>
      </c>
      <c r="E167" s="106" t="s">
        <v>13</v>
      </c>
      <c r="F167" s="150" t="s">
        <v>185</v>
      </c>
      <c r="G167" s="150" t="s">
        <v>188</v>
      </c>
      <c r="H167" s="150" t="s">
        <v>184</v>
      </c>
      <c r="I167" s="150" t="s">
        <v>77</v>
      </c>
      <c r="J167" s="150" t="s">
        <v>184</v>
      </c>
      <c r="K167" s="150" t="s">
        <v>77</v>
      </c>
      <c r="X167" s="150"/>
      <c r="Y167" s="150" t="s">
        <v>153</v>
      </c>
      <c r="Z167" s="150" t="s">
        <v>168</v>
      </c>
      <c r="AA167" s="150" t="s">
        <v>153</v>
      </c>
      <c r="AB167" s="150" t="s">
        <v>168</v>
      </c>
      <c r="AC167" s="150" t="s">
        <v>184</v>
      </c>
      <c r="AD167" s="150" t="s">
        <v>77</v>
      </c>
      <c r="AE167" s="150" t="s">
        <v>184</v>
      </c>
      <c r="AF167" s="150" t="s">
        <v>77</v>
      </c>
    </row>
    <row r="168" spans="2:32" x14ac:dyDescent="0.25">
      <c r="B168" s="236">
        <v>165</v>
      </c>
      <c r="D168" s="109">
        <f t="shared" ref="D168:D194" si="6">D94</f>
        <v>1</v>
      </c>
      <c r="E168" s="40" t="s">
        <v>20</v>
      </c>
      <c r="F168" s="66" t="s">
        <v>187</v>
      </c>
      <c r="G168" s="151" cm="1">
        <f t="array" ref="G168">_xlfn.IFS(F168="Routine/facility - UNICEF",1,F168="Intensive routine (campaign - HKI)",2)</f>
        <v>1</v>
      </c>
      <c r="H168" s="155">
        <f>VLOOKUP(E168,$X$167:$AF$193,6,FALSE)</f>
        <v>1</v>
      </c>
      <c r="I168" s="155">
        <f>VLOOKUP(E168,$X$167:$AF$193,7,FALSE)</f>
        <v>0</v>
      </c>
      <c r="J168" s="155">
        <f>VLOOKUP(E168,$X$167:$AF$193,8,FALSE)</f>
        <v>1</v>
      </c>
      <c r="K168" s="155">
        <f>VLOOKUP(E168,$X$167:$AF$193,9,FALSE)</f>
        <v>0</v>
      </c>
      <c r="X168" s="66" t="s">
        <v>25</v>
      </c>
      <c r="Y168" s="155">
        <v>0.2170916799999999</v>
      </c>
      <c r="Z168" s="154">
        <v>0.19519999999999998</v>
      </c>
      <c r="AA168" s="155">
        <v>0.75890832000000008</v>
      </c>
      <c r="AB168" s="154">
        <v>0.78080000000000016</v>
      </c>
      <c r="AC168" s="155">
        <f t="shared" ref="AC168:AC173" si="7">Y168/(Y168+AA168)</f>
        <v>0.22242999999999991</v>
      </c>
      <c r="AD168" s="154">
        <f t="shared" ref="AD168:AD193" si="8">AA168/(Y168+AA168)</f>
        <v>0.77757000000000009</v>
      </c>
      <c r="AE168" s="155">
        <f>Z168/(Z168+AB168)</f>
        <v>0.19999999999999996</v>
      </c>
      <c r="AF168" s="154">
        <f t="shared" ref="AF168:AF173" si="9">1-AE168</f>
        <v>0.8</v>
      </c>
    </row>
    <row r="169" spans="2:32" x14ac:dyDescent="0.25">
      <c r="B169" s="236">
        <v>166</v>
      </c>
      <c r="D169" s="109">
        <f t="shared" si="6"/>
        <v>2</v>
      </c>
      <c r="E169" s="41" t="s">
        <v>23</v>
      </c>
      <c r="F169" s="66" t="s">
        <v>186</v>
      </c>
      <c r="G169" s="151" cm="1">
        <f t="array" ref="G169">_xlfn.IFS(F169="Routine/facility - UNICEF",1,F169="Intensive routine (campaign - HKI)",2)</f>
        <v>2</v>
      </c>
      <c r="H169" s="155">
        <f>VLOOKUP(E169,$X$167:$AF$193,6,FALSE)</f>
        <v>2.7729999999999928E-2</v>
      </c>
      <c r="I169" s="155">
        <f>VLOOKUP(E169,$X$167:$AF$193,7,FALSE)</f>
        <v>0.97227000000000008</v>
      </c>
      <c r="J169" s="155">
        <f>VLOOKUP(E169,$X$167:$AF$193,8,FALSE)</f>
        <v>2.7729999999999928E-2</v>
      </c>
      <c r="K169" s="155">
        <f>VLOOKUP(E169,$X$167:$AF$193,9,FALSE)</f>
        <v>0.97227000000000008</v>
      </c>
      <c r="X169" s="66" t="s">
        <v>38</v>
      </c>
      <c r="Y169" s="155">
        <v>0.12740519000000008</v>
      </c>
      <c r="Z169" s="154">
        <v>0.14739999999999995</v>
      </c>
      <c r="AA169" s="155">
        <v>0.60959480999999993</v>
      </c>
      <c r="AB169" s="154">
        <v>0.58960000000000001</v>
      </c>
      <c r="AC169" s="155">
        <f t="shared" si="7"/>
        <v>0.17287000000000011</v>
      </c>
      <c r="AD169" s="154">
        <f t="shared" si="8"/>
        <v>0.82712999999999992</v>
      </c>
      <c r="AE169" s="155">
        <f>AC169</f>
        <v>0.17287000000000011</v>
      </c>
      <c r="AF169" s="154">
        <f t="shared" si="9"/>
        <v>0.82712999999999992</v>
      </c>
    </row>
    <row r="170" spans="2:32" x14ac:dyDescent="0.25">
      <c r="B170" s="236">
        <v>167</v>
      </c>
      <c r="D170" s="109">
        <f t="shared" si="6"/>
        <v>3</v>
      </c>
      <c r="E170" s="40" t="s">
        <v>24</v>
      </c>
      <c r="F170" s="66" t="s">
        <v>187</v>
      </c>
      <c r="G170" s="151" cm="1">
        <f t="array" ref="G170">_xlfn.IFS(F170="Routine/facility - UNICEF",1,F170="Intensive routine (campaign - HKI)",2)</f>
        <v>1</v>
      </c>
      <c r="H170" s="155">
        <f>VLOOKUP(E170,$X$167:$AF$193,6,FALSE)</f>
        <v>1</v>
      </c>
      <c r="I170" s="155">
        <f>VLOOKUP(E170,$X$167:$AF$193,7,FALSE)</f>
        <v>0</v>
      </c>
      <c r="J170" s="155">
        <f>VLOOKUP(E170,$X$167:$AF$193,8,FALSE)</f>
        <v>1</v>
      </c>
      <c r="K170" s="155">
        <f>VLOOKUP(E170,$X$167:$AF$193,9,FALSE)</f>
        <v>0</v>
      </c>
      <c r="X170" s="66" t="s">
        <v>48</v>
      </c>
      <c r="Y170" s="155">
        <v>0.13633955999999994</v>
      </c>
      <c r="Z170" s="154">
        <v>0.17639999999999997</v>
      </c>
      <c r="AA170" s="155">
        <v>0.74566044000000009</v>
      </c>
      <c r="AB170" s="154">
        <v>0.70560000000000012</v>
      </c>
      <c r="AC170" s="155">
        <f t="shared" si="7"/>
        <v>0.15457999999999994</v>
      </c>
      <c r="AD170" s="154">
        <f t="shared" si="8"/>
        <v>0.84542000000000006</v>
      </c>
      <c r="AE170" s="155">
        <f t="shared" ref="AE170:AE173" si="10">AC170</f>
        <v>0.15457999999999994</v>
      </c>
      <c r="AF170" s="154">
        <f t="shared" si="9"/>
        <v>0.84542000000000006</v>
      </c>
    </row>
    <row r="171" spans="2:32" x14ac:dyDescent="0.25">
      <c r="B171" s="236">
        <v>168</v>
      </c>
      <c r="D171" s="109">
        <f t="shared" si="6"/>
        <v>4</v>
      </c>
      <c r="E171" s="41" t="s">
        <v>25</v>
      </c>
      <c r="F171" s="66" t="s">
        <v>186</v>
      </c>
      <c r="G171" s="151" cm="1">
        <f t="array" ref="G171">_xlfn.IFS(F171="Routine/facility - UNICEF",1,F171="Intensive routine (campaign - HKI)",2)</f>
        <v>2</v>
      </c>
      <c r="H171" s="155">
        <f>VLOOKUP(E171,$X$167:$AF$193,6,FALSE)</f>
        <v>0.22242999999999991</v>
      </c>
      <c r="I171" s="155">
        <f>VLOOKUP(E171,$X$167:$AF$193,7,FALSE)</f>
        <v>0.77757000000000009</v>
      </c>
      <c r="J171" s="155">
        <f>VLOOKUP(E171,$X$167:$AF$193,8,FALSE)</f>
        <v>0.19999999999999996</v>
      </c>
      <c r="K171" s="155">
        <f>VLOOKUP(E171,$X$167:$AF$193,9,FALSE)</f>
        <v>0.8</v>
      </c>
      <c r="X171" s="66" t="s">
        <v>23</v>
      </c>
      <c r="Y171" s="155">
        <v>2.6593069999999931E-2</v>
      </c>
      <c r="Z171" s="154">
        <v>0.19179999999999997</v>
      </c>
      <c r="AA171" s="155">
        <v>0.93240693000000008</v>
      </c>
      <c r="AB171" s="154">
        <v>0.7672000000000001</v>
      </c>
      <c r="AC171" s="155">
        <f t="shared" si="7"/>
        <v>2.7729999999999928E-2</v>
      </c>
      <c r="AD171" s="154">
        <f t="shared" si="8"/>
        <v>0.97227000000000008</v>
      </c>
      <c r="AE171" s="155">
        <f t="shared" si="10"/>
        <v>2.7729999999999928E-2</v>
      </c>
      <c r="AF171" s="154">
        <f t="shared" si="9"/>
        <v>0.97227000000000008</v>
      </c>
    </row>
    <row r="172" spans="2:32" x14ac:dyDescent="0.25">
      <c r="B172" s="236">
        <v>169</v>
      </c>
      <c r="D172" s="109">
        <f t="shared" si="6"/>
        <v>5</v>
      </c>
      <c r="E172" s="40" t="s">
        <v>28</v>
      </c>
      <c r="F172" s="66" t="s">
        <v>187</v>
      </c>
      <c r="G172" s="151" cm="1">
        <f t="array" ref="G172">_xlfn.IFS(F172="Routine/facility - UNICEF",1,F172="Intensive routine (campaign - HKI)",2)</f>
        <v>1</v>
      </c>
      <c r="H172" s="155">
        <f>VLOOKUP(E172,$X$167:$AF$193,6,FALSE)</f>
        <v>1</v>
      </c>
      <c r="I172" s="155">
        <f>VLOOKUP(E172,$X$167:$AF$193,7,FALSE)</f>
        <v>0</v>
      </c>
      <c r="J172" s="155">
        <f>VLOOKUP(E172,$X$167:$AF$193,8,FALSE)</f>
        <v>1</v>
      </c>
      <c r="K172" s="155">
        <f>VLOOKUP(E172,$X$167:$AF$193,9,FALSE)</f>
        <v>0</v>
      </c>
      <c r="X172" s="66" t="s">
        <v>40</v>
      </c>
      <c r="Y172" s="155">
        <v>9.9346560000000028E-2</v>
      </c>
      <c r="Z172" s="154">
        <v>0.17539999999999997</v>
      </c>
      <c r="AA172" s="155">
        <v>0.77765343999999992</v>
      </c>
      <c r="AB172" s="154">
        <v>0.70160000000000011</v>
      </c>
      <c r="AC172" s="155">
        <f t="shared" si="7"/>
        <v>0.11328000000000003</v>
      </c>
      <c r="AD172" s="154">
        <f t="shared" si="8"/>
        <v>0.88671999999999995</v>
      </c>
      <c r="AE172" s="155">
        <f t="shared" si="10"/>
        <v>0.11328000000000003</v>
      </c>
      <c r="AF172" s="154">
        <f t="shared" si="9"/>
        <v>0.88671999999999995</v>
      </c>
    </row>
    <row r="173" spans="2:32" x14ac:dyDescent="0.25">
      <c r="B173" s="236">
        <v>170</v>
      </c>
      <c r="D173" s="109">
        <f t="shared" si="6"/>
        <v>6</v>
      </c>
      <c r="E173" s="41" t="s">
        <v>30</v>
      </c>
      <c r="F173" s="66" t="s">
        <v>187</v>
      </c>
      <c r="G173" s="151" cm="1">
        <f t="array" ref="G173">_xlfn.IFS(F173="Routine/facility - UNICEF",1,F173="Intensive routine (campaign - HKI)",2)</f>
        <v>1</v>
      </c>
      <c r="H173" s="155">
        <f>VLOOKUP(E173,$X$167:$AF$193,6,FALSE)</f>
        <v>1</v>
      </c>
      <c r="I173" s="155">
        <f>VLOOKUP(E173,$X$167:$AF$193,7,FALSE)</f>
        <v>0</v>
      </c>
      <c r="J173" s="155">
        <f>VLOOKUP(E173,$X$167:$AF$193,8,FALSE)</f>
        <v>1</v>
      </c>
      <c r="K173" s="155">
        <f>VLOOKUP(E173,$X$167:$AF$193,9,FALSE)</f>
        <v>0</v>
      </c>
      <c r="X173" s="66" t="s">
        <v>34</v>
      </c>
      <c r="Y173" s="155">
        <v>0.11509896999999998</v>
      </c>
      <c r="Z173" s="154">
        <v>0.17979999999999996</v>
      </c>
      <c r="AA173" s="155">
        <v>0.78390103000000011</v>
      </c>
      <c r="AB173" s="154">
        <v>0.71920000000000006</v>
      </c>
      <c r="AC173" s="155">
        <f t="shared" si="7"/>
        <v>0.12802999999999995</v>
      </c>
      <c r="AD173" s="154">
        <f t="shared" si="8"/>
        <v>0.87197000000000002</v>
      </c>
      <c r="AE173" s="155">
        <f t="shared" si="10"/>
        <v>0.12802999999999995</v>
      </c>
      <c r="AF173" s="154">
        <f t="shared" si="9"/>
        <v>0.87197000000000002</v>
      </c>
    </row>
    <row r="174" spans="2:32" x14ac:dyDescent="0.25">
      <c r="B174" s="236">
        <v>171</v>
      </c>
      <c r="D174" s="109">
        <f t="shared" si="6"/>
        <v>7</v>
      </c>
      <c r="E174" s="40" t="s">
        <v>31</v>
      </c>
      <c r="F174" s="66" t="s">
        <v>187</v>
      </c>
      <c r="G174" s="151" cm="1">
        <f t="array" ref="G174">_xlfn.IFS(F174="Routine/facility - UNICEF",1,F174="Intensive routine (campaign - HKI)",2)</f>
        <v>1</v>
      </c>
      <c r="H174" s="155">
        <f>VLOOKUP(E174,$X$167:$AF$193,6,FALSE)</f>
        <v>1</v>
      </c>
      <c r="I174" s="155">
        <f>VLOOKUP(E174,$X$167:$AF$193,7,FALSE)</f>
        <v>0</v>
      </c>
      <c r="J174" s="155">
        <f>VLOOKUP(E174,$X$167:$AF$193,8,FALSE)</f>
        <v>1</v>
      </c>
      <c r="K174" s="155">
        <f>VLOOKUP(E174,$X$167:$AF$193,9,FALSE)</f>
        <v>0</v>
      </c>
      <c r="X174" s="66" t="s">
        <v>55</v>
      </c>
      <c r="Y174" s="155">
        <v>0.78400000000000003</v>
      </c>
      <c r="Z174" s="154">
        <v>0.78400000000000003</v>
      </c>
      <c r="AA174" s="155">
        <v>0</v>
      </c>
      <c r="AB174" s="154">
        <v>0</v>
      </c>
      <c r="AC174" s="155">
        <v>1</v>
      </c>
      <c r="AD174" s="154">
        <f t="shared" si="8"/>
        <v>0</v>
      </c>
      <c r="AE174" s="155">
        <f t="shared" ref="AE174:AE193" si="11">Z174/(Z174+AB174)</f>
        <v>1</v>
      </c>
      <c r="AF174" s="154">
        <f t="shared" ref="AF174:AF193" si="12">AB174/(Z174+AB174)</f>
        <v>0</v>
      </c>
    </row>
    <row r="175" spans="2:32" x14ac:dyDescent="0.25">
      <c r="B175" s="236">
        <v>172</v>
      </c>
      <c r="D175" s="109">
        <f t="shared" si="6"/>
        <v>8</v>
      </c>
      <c r="E175" s="41" t="s">
        <v>32</v>
      </c>
      <c r="F175" s="66" t="s">
        <v>187</v>
      </c>
      <c r="G175" s="151" cm="1">
        <f t="array" ref="G175">_xlfn.IFS(F175="Routine/facility - UNICEF",1,F175="Intensive routine (campaign - HKI)",2)</f>
        <v>1</v>
      </c>
      <c r="H175" s="155">
        <f>VLOOKUP(E175,$X$167:$AF$193,6,FALSE)</f>
        <v>1</v>
      </c>
      <c r="I175" s="155">
        <f>VLOOKUP(E175,$X$167:$AF$193,7,FALSE)</f>
        <v>0</v>
      </c>
      <c r="J175" s="155">
        <f>VLOOKUP(E175,$X$167:$AF$193,8,FALSE)</f>
        <v>1</v>
      </c>
      <c r="K175" s="155">
        <f>VLOOKUP(E175,$X$167:$AF$193,9,FALSE)</f>
        <v>0</v>
      </c>
      <c r="X175" s="66" t="s">
        <v>28</v>
      </c>
      <c r="Y175" s="155">
        <v>0.76300000000000001</v>
      </c>
      <c r="Z175" s="154">
        <v>0.76300000000000001</v>
      </c>
      <c r="AA175" s="155">
        <v>0</v>
      </c>
      <c r="AB175" s="154">
        <v>0</v>
      </c>
      <c r="AC175" s="155">
        <f t="shared" ref="AC175:AC193" si="13">Y175/(Y175+AA175)</f>
        <v>1</v>
      </c>
      <c r="AD175" s="154">
        <f t="shared" si="8"/>
        <v>0</v>
      </c>
      <c r="AE175" s="155">
        <f t="shared" si="11"/>
        <v>1</v>
      </c>
      <c r="AF175" s="154">
        <f t="shared" si="12"/>
        <v>0</v>
      </c>
    </row>
    <row r="176" spans="2:32" x14ac:dyDescent="0.25">
      <c r="B176" s="236">
        <v>173</v>
      </c>
      <c r="D176" s="109">
        <f t="shared" si="6"/>
        <v>9</v>
      </c>
      <c r="E176" s="40" t="s">
        <v>33</v>
      </c>
      <c r="F176" s="66" t="s">
        <v>187</v>
      </c>
      <c r="G176" s="151" cm="1">
        <f t="array" ref="G176">_xlfn.IFS(F176="Routine/facility - UNICEF",1,F176="Intensive routine (campaign - HKI)",2)</f>
        <v>1</v>
      </c>
      <c r="H176" s="155">
        <f>VLOOKUP(E176,$X$167:$AF$193,6,FALSE)</f>
        <v>1</v>
      </c>
      <c r="I176" s="155">
        <f>VLOOKUP(E176,$X$167:$AF$193,7,FALSE)</f>
        <v>0</v>
      </c>
      <c r="J176" s="155">
        <f>VLOOKUP(E176,$X$167:$AF$193,8,FALSE)</f>
        <v>1</v>
      </c>
      <c r="K176" s="155">
        <f>VLOOKUP(E176,$X$167:$AF$193,9,FALSE)</f>
        <v>0</v>
      </c>
      <c r="X176" s="66" t="s">
        <v>42</v>
      </c>
      <c r="Y176" s="155">
        <v>0.52900000000000003</v>
      </c>
      <c r="Z176" s="154">
        <v>0.52900000000000003</v>
      </c>
      <c r="AA176" s="155">
        <v>0</v>
      </c>
      <c r="AB176" s="154">
        <v>0</v>
      </c>
      <c r="AC176" s="155">
        <f t="shared" si="13"/>
        <v>1</v>
      </c>
      <c r="AD176" s="154">
        <f t="shared" si="8"/>
        <v>0</v>
      </c>
      <c r="AE176" s="155">
        <f t="shared" si="11"/>
        <v>1</v>
      </c>
      <c r="AF176" s="154">
        <f t="shared" si="12"/>
        <v>0</v>
      </c>
    </row>
    <row r="177" spans="2:32" x14ac:dyDescent="0.25">
      <c r="B177" s="236">
        <v>174</v>
      </c>
      <c r="D177" s="109">
        <f t="shared" si="6"/>
        <v>10</v>
      </c>
      <c r="E177" s="41" t="s">
        <v>34</v>
      </c>
      <c r="F177" s="66" t="s">
        <v>186</v>
      </c>
      <c r="G177" s="151" cm="1">
        <f t="array" ref="G177">_xlfn.IFS(F177="Routine/facility - UNICEF",1,F177="Intensive routine (campaign - HKI)",2)</f>
        <v>2</v>
      </c>
      <c r="H177" s="155">
        <f>VLOOKUP(E177,$X$167:$AF$193,6,FALSE)</f>
        <v>0.12802999999999995</v>
      </c>
      <c r="I177" s="155">
        <f>VLOOKUP(E177,$X$167:$AF$193,7,FALSE)</f>
        <v>0.87197000000000002</v>
      </c>
      <c r="J177" s="155">
        <f>VLOOKUP(E177,$X$167:$AF$193,8,FALSE)</f>
        <v>0.12802999999999995</v>
      </c>
      <c r="K177" s="155">
        <f>VLOOKUP(E177,$X$167:$AF$193,9,FALSE)</f>
        <v>0.87197000000000002</v>
      </c>
      <c r="X177" s="66" t="s">
        <v>45</v>
      </c>
      <c r="Y177" s="155">
        <v>0.81499999999999995</v>
      </c>
      <c r="Z177" s="154">
        <v>0.81499999999999995</v>
      </c>
      <c r="AA177" s="155">
        <v>0</v>
      </c>
      <c r="AB177" s="154">
        <v>0</v>
      </c>
      <c r="AC177" s="155">
        <f t="shared" si="13"/>
        <v>1</v>
      </c>
      <c r="AD177" s="154">
        <f t="shared" si="8"/>
        <v>0</v>
      </c>
      <c r="AE177" s="155">
        <f t="shared" si="11"/>
        <v>1</v>
      </c>
      <c r="AF177" s="154">
        <f t="shared" si="12"/>
        <v>0</v>
      </c>
    </row>
    <row r="178" spans="2:32" x14ac:dyDescent="0.25">
      <c r="B178" s="236">
        <v>175</v>
      </c>
      <c r="D178" s="109">
        <f t="shared" si="6"/>
        <v>11</v>
      </c>
      <c r="E178" s="40" t="s">
        <v>37</v>
      </c>
      <c r="F178" s="66" t="s">
        <v>187</v>
      </c>
      <c r="G178" s="151" cm="1">
        <f t="array" ref="G178">_xlfn.IFS(F178="Routine/facility - UNICEF",1,F178="Intensive routine (campaign - HKI)",2)</f>
        <v>1</v>
      </c>
      <c r="H178" s="155">
        <f>VLOOKUP(E178,$X$167:$AF$193,6,FALSE)</f>
        <v>1</v>
      </c>
      <c r="I178" s="155">
        <f>VLOOKUP(E178,$X$167:$AF$193,7,FALSE)</f>
        <v>0</v>
      </c>
      <c r="J178" s="155">
        <f>VLOOKUP(E178,$X$167:$AF$193,8,FALSE)</f>
        <v>1</v>
      </c>
      <c r="K178" s="155">
        <f>VLOOKUP(E178,$X$167:$AF$193,9,FALSE)</f>
        <v>0</v>
      </c>
      <c r="X178" s="66" t="s">
        <v>58</v>
      </c>
      <c r="Y178" s="155">
        <v>0.66099999999999992</v>
      </c>
      <c r="Z178" s="154">
        <v>0.66099999999999992</v>
      </c>
      <c r="AA178" s="155">
        <v>0</v>
      </c>
      <c r="AB178" s="154">
        <v>0</v>
      </c>
      <c r="AC178" s="155">
        <f t="shared" si="13"/>
        <v>1</v>
      </c>
      <c r="AD178" s="154">
        <f t="shared" si="8"/>
        <v>0</v>
      </c>
      <c r="AE178" s="155">
        <f t="shared" si="11"/>
        <v>1</v>
      </c>
      <c r="AF178" s="154">
        <f t="shared" si="12"/>
        <v>0</v>
      </c>
    </row>
    <row r="179" spans="2:32" x14ac:dyDescent="0.25">
      <c r="B179" s="236">
        <v>176</v>
      </c>
      <c r="D179" s="109">
        <f t="shared" si="6"/>
        <v>12</v>
      </c>
      <c r="E179" s="41" t="s">
        <v>38</v>
      </c>
      <c r="F179" s="66" t="s">
        <v>186</v>
      </c>
      <c r="G179" s="151" cm="1">
        <f t="array" ref="G179">_xlfn.IFS(F179="Routine/facility - UNICEF",1,F179="Intensive routine (campaign - HKI)",2)</f>
        <v>2</v>
      </c>
      <c r="H179" s="155">
        <f>VLOOKUP(E179,$X$167:$AF$193,6,FALSE)</f>
        <v>0.17287000000000011</v>
      </c>
      <c r="I179" s="155">
        <f>VLOOKUP(E179,$X$167:$AF$193,7,FALSE)</f>
        <v>0.82712999999999992</v>
      </c>
      <c r="J179" s="155">
        <f>VLOOKUP(E179,$X$167:$AF$193,8,FALSE)</f>
        <v>0.17287000000000011</v>
      </c>
      <c r="K179" s="155">
        <f>VLOOKUP(E179,$X$167:$AF$193,9,FALSE)</f>
        <v>0.82712999999999992</v>
      </c>
      <c r="X179" s="66" t="s">
        <v>59</v>
      </c>
      <c r="Y179" s="155">
        <v>0.96299999999999997</v>
      </c>
      <c r="Z179" s="154">
        <v>0.96299999999999997</v>
      </c>
      <c r="AA179" s="155">
        <v>0</v>
      </c>
      <c r="AB179" s="154">
        <v>0</v>
      </c>
      <c r="AC179" s="155">
        <f t="shared" si="13"/>
        <v>1</v>
      </c>
      <c r="AD179" s="154">
        <f t="shared" si="8"/>
        <v>0</v>
      </c>
      <c r="AE179" s="155">
        <f t="shared" si="11"/>
        <v>1</v>
      </c>
      <c r="AF179" s="154">
        <f t="shared" si="12"/>
        <v>0</v>
      </c>
    </row>
    <row r="180" spans="2:32" x14ac:dyDescent="0.25">
      <c r="B180" s="236">
        <v>177</v>
      </c>
      <c r="D180" s="109">
        <f t="shared" si="6"/>
        <v>13</v>
      </c>
      <c r="E180" s="40" t="s">
        <v>40</v>
      </c>
      <c r="F180" s="66" t="s">
        <v>186</v>
      </c>
      <c r="G180" s="151" cm="1">
        <f t="array" ref="G180">_xlfn.IFS(F180="Routine/facility - UNICEF",1,F180="Intensive routine (campaign - HKI)",2)</f>
        <v>2</v>
      </c>
      <c r="H180" s="155">
        <f>VLOOKUP(E180,$X$167:$AF$193,6,FALSE)</f>
        <v>0.11328000000000003</v>
      </c>
      <c r="I180" s="155">
        <f>VLOOKUP(E180,$X$167:$AF$193,7,FALSE)</f>
        <v>0.88671999999999995</v>
      </c>
      <c r="J180" s="155">
        <f>VLOOKUP(E180,$X$167:$AF$193,8,FALSE)</f>
        <v>0.11328000000000003</v>
      </c>
      <c r="K180" s="155">
        <f>VLOOKUP(E180,$X$167:$AF$193,9,FALSE)</f>
        <v>0.88671999999999995</v>
      </c>
      <c r="X180" s="66" t="s">
        <v>37</v>
      </c>
      <c r="Y180" s="155">
        <v>0.90799999999999992</v>
      </c>
      <c r="Z180" s="154">
        <v>0.90799999999999992</v>
      </c>
      <c r="AA180" s="155">
        <v>0</v>
      </c>
      <c r="AB180" s="154">
        <v>0</v>
      </c>
      <c r="AC180" s="155">
        <f t="shared" si="13"/>
        <v>1</v>
      </c>
      <c r="AD180" s="154">
        <f t="shared" si="8"/>
        <v>0</v>
      </c>
      <c r="AE180" s="155">
        <f t="shared" si="11"/>
        <v>1</v>
      </c>
      <c r="AF180" s="154">
        <f t="shared" si="12"/>
        <v>0</v>
      </c>
    </row>
    <row r="181" spans="2:32" x14ac:dyDescent="0.25">
      <c r="B181" s="236">
        <v>178</v>
      </c>
      <c r="D181" s="109">
        <f t="shared" si="6"/>
        <v>14</v>
      </c>
      <c r="E181" s="41" t="s">
        <v>41</v>
      </c>
      <c r="F181" s="66" t="s">
        <v>187</v>
      </c>
      <c r="G181" s="151" cm="1">
        <f t="array" ref="G181">_xlfn.IFS(F181="Routine/facility - UNICEF",1,F181="Intensive routine (campaign - HKI)",2)</f>
        <v>1</v>
      </c>
      <c r="H181" s="155">
        <f>VLOOKUP(E181,$X$167:$AF$193,6,FALSE)</f>
        <v>1</v>
      </c>
      <c r="I181" s="155">
        <f>VLOOKUP(E181,$X$167:$AF$193,7,FALSE)</f>
        <v>0</v>
      </c>
      <c r="J181" s="155">
        <f>VLOOKUP(E181,$X$167:$AF$193,8,FALSE)</f>
        <v>1</v>
      </c>
      <c r="K181" s="155">
        <f>VLOOKUP(E181,$X$167:$AF$193,9,FALSE)</f>
        <v>0</v>
      </c>
      <c r="X181" s="66" t="s">
        <v>20</v>
      </c>
      <c r="Y181" s="155">
        <v>0.97</v>
      </c>
      <c r="Z181" s="154">
        <v>0.97</v>
      </c>
      <c r="AA181" s="155">
        <v>0</v>
      </c>
      <c r="AB181" s="154">
        <v>0</v>
      </c>
      <c r="AC181" s="155">
        <f t="shared" si="13"/>
        <v>1</v>
      </c>
      <c r="AD181" s="154">
        <f t="shared" si="8"/>
        <v>0</v>
      </c>
      <c r="AE181" s="155">
        <f t="shared" si="11"/>
        <v>1</v>
      </c>
      <c r="AF181" s="154">
        <f t="shared" si="12"/>
        <v>0</v>
      </c>
    </row>
    <row r="182" spans="2:32" x14ac:dyDescent="0.25">
      <c r="B182" s="236">
        <v>179</v>
      </c>
      <c r="D182" s="109">
        <f t="shared" si="6"/>
        <v>15</v>
      </c>
      <c r="E182" s="40" t="s">
        <v>42</v>
      </c>
      <c r="F182" s="66" t="s">
        <v>187</v>
      </c>
      <c r="G182" s="151" cm="1">
        <f t="array" ref="G182">_xlfn.IFS(F182="Routine/facility - UNICEF",1,F182="Intensive routine (campaign - HKI)",2)</f>
        <v>1</v>
      </c>
      <c r="H182" s="155">
        <f>VLOOKUP(E182,$X$167:$AF$193,6,FALSE)</f>
        <v>1</v>
      </c>
      <c r="I182" s="155">
        <f>VLOOKUP(E182,$X$167:$AF$193,7,FALSE)</f>
        <v>0</v>
      </c>
      <c r="J182" s="155">
        <f>VLOOKUP(E182,$X$167:$AF$193,8,FALSE)</f>
        <v>1</v>
      </c>
      <c r="K182" s="155">
        <f>VLOOKUP(E182,$X$167:$AF$193,9,FALSE)</f>
        <v>0</v>
      </c>
      <c r="X182" s="66" t="s">
        <v>46</v>
      </c>
      <c r="Y182" s="155">
        <v>0.46299999999999997</v>
      </c>
      <c r="Z182" s="154">
        <v>0.46299999999999997</v>
      </c>
      <c r="AA182" s="155">
        <v>0</v>
      </c>
      <c r="AB182" s="154">
        <v>0</v>
      </c>
      <c r="AC182" s="155">
        <f t="shared" si="13"/>
        <v>1</v>
      </c>
      <c r="AD182" s="154">
        <f t="shared" si="8"/>
        <v>0</v>
      </c>
      <c r="AE182" s="155">
        <f t="shared" si="11"/>
        <v>1</v>
      </c>
      <c r="AF182" s="154">
        <f t="shared" si="12"/>
        <v>0</v>
      </c>
    </row>
    <row r="183" spans="2:32" x14ac:dyDescent="0.25">
      <c r="B183" s="236">
        <v>180</v>
      </c>
      <c r="D183" s="109">
        <f t="shared" si="6"/>
        <v>16</v>
      </c>
      <c r="E183" s="41" t="s">
        <v>45</v>
      </c>
      <c r="F183" s="66" t="s">
        <v>187</v>
      </c>
      <c r="G183" s="151" cm="1">
        <f t="array" ref="G183">_xlfn.IFS(F183="Routine/facility - UNICEF",1,F183="Intensive routine (campaign - HKI)",2)</f>
        <v>1</v>
      </c>
      <c r="H183" s="155">
        <f>VLOOKUP(E183,$X$167:$AF$193,6,FALSE)</f>
        <v>1</v>
      </c>
      <c r="I183" s="155">
        <f>VLOOKUP(E183,$X$167:$AF$193,7,FALSE)</f>
        <v>0</v>
      </c>
      <c r="J183" s="155">
        <f>VLOOKUP(E183,$X$167:$AF$193,8,FALSE)</f>
        <v>1</v>
      </c>
      <c r="K183" s="155">
        <f>VLOOKUP(E183,$X$167:$AF$193,9,FALSE)</f>
        <v>0</v>
      </c>
      <c r="X183" s="40" t="s">
        <v>24</v>
      </c>
      <c r="Y183" s="155">
        <v>0.71900000000000008</v>
      </c>
      <c r="Z183" s="154">
        <v>0.71900000000000008</v>
      </c>
      <c r="AA183" s="155">
        <v>0</v>
      </c>
      <c r="AB183" s="154">
        <v>0</v>
      </c>
      <c r="AC183" s="155">
        <f t="shared" si="13"/>
        <v>1</v>
      </c>
      <c r="AD183" s="154">
        <f t="shared" si="8"/>
        <v>0</v>
      </c>
      <c r="AE183" s="155">
        <f t="shared" si="11"/>
        <v>1</v>
      </c>
      <c r="AF183" s="154">
        <f t="shared" si="12"/>
        <v>0</v>
      </c>
    </row>
    <row r="184" spans="2:32" x14ac:dyDescent="0.25">
      <c r="B184" s="236">
        <v>181</v>
      </c>
      <c r="D184" s="109">
        <f t="shared" si="6"/>
        <v>17</v>
      </c>
      <c r="E184" s="40" t="s">
        <v>46</v>
      </c>
      <c r="F184" s="66" t="s">
        <v>187</v>
      </c>
      <c r="G184" s="151" cm="1">
        <f t="array" ref="G184">_xlfn.IFS(F184="Routine/facility - UNICEF",1,F184="Intensive routine (campaign - HKI)",2)</f>
        <v>1</v>
      </c>
      <c r="H184" s="155">
        <f>VLOOKUP(E184,$X$167:$AF$193,6,FALSE)</f>
        <v>1</v>
      </c>
      <c r="I184" s="155">
        <f>VLOOKUP(E184,$X$167:$AF$193,7,FALSE)</f>
        <v>0</v>
      </c>
      <c r="J184" s="155">
        <f>VLOOKUP(E184,$X$167:$AF$193,8,FALSE)</f>
        <v>1</v>
      </c>
      <c r="K184" s="155">
        <f>VLOOKUP(E184,$X$167:$AF$193,9,FALSE)</f>
        <v>0</v>
      </c>
      <c r="X184" s="66" t="s">
        <v>50</v>
      </c>
      <c r="Y184" s="155">
        <v>0.59200000000000008</v>
      </c>
      <c r="Z184" s="154">
        <v>0.59200000000000008</v>
      </c>
      <c r="AA184" s="155">
        <v>0</v>
      </c>
      <c r="AB184" s="154">
        <v>0</v>
      </c>
      <c r="AC184" s="155">
        <f t="shared" si="13"/>
        <v>1</v>
      </c>
      <c r="AD184" s="154">
        <f t="shared" si="8"/>
        <v>0</v>
      </c>
      <c r="AE184" s="155">
        <f t="shared" si="11"/>
        <v>1</v>
      </c>
      <c r="AF184" s="154">
        <f t="shared" si="12"/>
        <v>0</v>
      </c>
    </row>
    <row r="185" spans="2:32" x14ac:dyDescent="0.25">
      <c r="B185" s="236">
        <v>182</v>
      </c>
      <c r="D185" s="109">
        <f t="shared" si="6"/>
        <v>18</v>
      </c>
      <c r="E185" s="41" t="s">
        <v>47</v>
      </c>
      <c r="F185" s="66" t="s">
        <v>187</v>
      </c>
      <c r="G185" s="151" cm="1">
        <f t="array" ref="G185">_xlfn.IFS(F185="Routine/facility - UNICEF",1,F185="Intensive routine (campaign - HKI)",2)</f>
        <v>1</v>
      </c>
      <c r="H185" s="155">
        <f>VLOOKUP(E185,$X$167:$AF$193,6,FALSE)</f>
        <v>1</v>
      </c>
      <c r="I185" s="155">
        <f>VLOOKUP(E185,$X$167:$AF$193,7,FALSE)</f>
        <v>0</v>
      </c>
      <c r="J185" s="155">
        <f>VLOOKUP(E185,$X$167:$AF$193,8,FALSE)</f>
        <v>1</v>
      </c>
      <c r="K185" s="155">
        <f>VLOOKUP(E185,$X$167:$AF$193,9,FALSE)</f>
        <v>0</v>
      </c>
      <c r="X185" s="66" t="s">
        <v>30</v>
      </c>
      <c r="Y185" s="155">
        <v>0.34700000000000003</v>
      </c>
      <c r="Z185" s="154">
        <v>0.34700000000000003</v>
      </c>
      <c r="AA185" s="155">
        <v>0</v>
      </c>
      <c r="AB185" s="154">
        <v>0</v>
      </c>
      <c r="AC185" s="155">
        <f t="shared" si="13"/>
        <v>1</v>
      </c>
      <c r="AD185" s="154">
        <f t="shared" si="8"/>
        <v>0</v>
      </c>
      <c r="AE185" s="155">
        <f t="shared" si="11"/>
        <v>1</v>
      </c>
      <c r="AF185" s="154">
        <f t="shared" si="12"/>
        <v>0</v>
      </c>
    </row>
    <row r="186" spans="2:32" x14ac:dyDescent="0.25">
      <c r="B186" s="236">
        <v>183</v>
      </c>
      <c r="D186" s="109">
        <f t="shared" si="6"/>
        <v>19</v>
      </c>
      <c r="E186" s="42" t="s">
        <v>48</v>
      </c>
      <c r="F186" s="66" t="s">
        <v>186</v>
      </c>
      <c r="G186" s="151" cm="1">
        <f t="array" ref="G186">_xlfn.IFS(F186="Routine/facility - UNICEF",1,F186="Intensive routine (campaign - HKI)",2)</f>
        <v>2</v>
      </c>
      <c r="H186" s="155">
        <f>VLOOKUP(E186,$X$167:$AF$193,6,FALSE)</f>
        <v>0.15457999999999994</v>
      </c>
      <c r="I186" s="155">
        <f>VLOOKUP(E186,$X$167:$AF$193,7,FALSE)</f>
        <v>0.84542000000000006</v>
      </c>
      <c r="J186" s="155">
        <f>VLOOKUP(E186,$X$167:$AF$193,8,FALSE)</f>
        <v>0.15457999999999994</v>
      </c>
      <c r="K186" s="155">
        <f>VLOOKUP(E186,$X$167:$AF$193,9,FALSE)</f>
        <v>0.84542000000000006</v>
      </c>
      <c r="X186" s="66" t="s">
        <v>52</v>
      </c>
      <c r="Y186" s="155">
        <v>0.97799999999999998</v>
      </c>
      <c r="Z186" s="154">
        <v>0.97799999999999998</v>
      </c>
      <c r="AA186" s="155">
        <v>0</v>
      </c>
      <c r="AB186" s="154">
        <v>0</v>
      </c>
      <c r="AC186" s="155">
        <f t="shared" si="13"/>
        <v>1</v>
      </c>
      <c r="AD186" s="154">
        <f t="shared" si="8"/>
        <v>0</v>
      </c>
      <c r="AE186" s="155">
        <f t="shared" si="11"/>
        <v>1</v>
      </c>
      <c r="AF186" s="154">
        <f t="shared" si="12"/>
        <v>0</v>
      </c>
    </row>
    <row r="187" spans="2:32" x14ac:dyDescent="0.25">
      <c r="B187" s="236">
        <v>184</v>
      </c>
      <c r="D187" s="109">
        <f t="shared" si="6"/>
        <v>20</v>
      </c>
      <c r="E187" s="41" t="s">
        <v>50</v>
      </c>
      <c r="F187" s="66" t="s">
        <v>187</v>
      </c>
      <c r="G187" s="151" cm="1">
        <f t="array" ref="G187">_xlfn.IFS(F187="Routine/facility - UNICEF",1,F187="Intensive routine (campaign - HKI)",2)</f>
        <v>1</v>
      </c>
      <c r="H187" s="155">
        <f>VLOOKUP(E187,$X$167:$AF$193,6,FALSE)</f>
        <v>1</v>
      </c>
      <c r="I187" s="155">
        <f>VLOOKUP(E187,$X$167:$AF$193,7,FALSE)</f>
        <v>0</v>
      </c>
      <c r="J187" s="155">
        <f>VLOOKUP(E187,$X$167:$AF$193,8,FALSE)</f>
        <v>1</v>
      </c>
      <c r="K187" s="155">
        <f>VLOOKUP(E187,$X$167:$AF$193,9,FALSE)</f>
        <v>0</v>
      </c>
      <c r="X187" s="66" t="s">
        <v>31</v>
      </c>
      <c r="Y187" s="155">
        <v>0.33899999999999997</v>
      </c>
      <c r="Z187" s="154">
        <v>0.33899999999999997</v>
      </c>
      <c r="AA187" s="155">
        <v>0</v>
      </c>
      <c r="AB187" s="154">
        <v>0</v>
      </c>
      <c r="AC187" s="155">
        <f t="shared" si="13"/>
        <v>1</v>
      </c>
      <c r="AD187" s="154">
        <f t="shared" si="8"/>
        <v>0</v>
      </c>
      <c r="AE187" s="155">
        <f t="shared" si="11"/>
        <v>1</v>
      </c>
      <c r="AF187" s="154">
        <f t="shared" si="12"/>
        <v>0</v>
      </c>
    </row>
    <row r="188" spans="2:32" x14ac:dyDescent="0.25">
      <c r="B188" s="236">
        <v>185</v>
      </c>
      <c r="D188" s="109">
        <f t="shared" si="6"/>
        <v>21</v>
      </c>
      <c r="E188" s="40" t="s">
        <v>52</v>
      </c>
      <c r="F188" s="66" t="s">
        <v>187</v>
      </c>
      <c r="G188" s="151" cm="1">
        <f t="array" ref="G188">_xlfn.IFS(F188="Routine/facility - UNICEF",1,F188="Intensive routine (campaign - HKI)",2)</f>
        <v>1</v>
      </c>
      <c r="H188" s="155">
        <f>VLOOKUP(E188,$X$167:$AF$193,6,FALSE)</f>
        <v>1</v>
      </c>
      <c r="I188" s="155">
        <f>VLOOKUP(E188,$X$167:$AF$193,7,FALSE)</f>
        <v>0</v>
      </c>
      <c r="J188" s="155">
        <f>VLOOKUP(E188,$X$167:$AF$193,8,FALSE)</f>
        <v>1</v>
      </c>
      <c r="K188" s="155">
        <f>VLOOKUP(E188,$X$167:$AF$193,9,FALSE)</f>
        <v>0</v>
      </c>
      <c r="X188" s="66" t="s">
        <v>41</v>
      </c>
      <c r="Y188" s="155">
        <v>0.51700000000000002</v>
      </c>
      <c r="Z188" s="154">
        <v>0.51700000000000002</v>
      </c>
      <c r="AA188" s="155">
        <v>0</v>
      </c>
      <c r="AB188" s="154">
        <v>0</v>
      </c>
      <c r="AC188" s="155">
        <f t="shared" si="13"/>
        <v>1</v>
      </c>
      <c r="AD188" s="154">
        <f t="shared" si="8"/>
        <v>0</v>
      </c>
      <c r="AE188" s="155">
        <f t="shared" si="11"/>
        <v>1</v>
      </c>
      <c r="AF188" s="154">
        <f t="shared" si="12"/>
        <v>0</v>
      </c>
    </row>
    <row r="189" spans="2:32" x14ac:dyDescent="0.25">
      <c r="B189" s="236">
        <v>186</v>
      </c>
      <c r="D189" s="109">
        <f t="shared" si="6"/>
        <v>22</v>
      </c>
      <c r="E189" s="41" t="s">
        <v>55</v>
      </c>
      <c r="F189" s="66" t="s">
        <v>187</v>
      </c>
      <c r="G189" s="151" cm="1">
        <f t="array" ref="G189">_xlfn.IFS(F189="Routine/facility - UNICEF",1,F189="Intensive routine (campaign - HKI)",2)</f>
        <v>1</v>
      </c>
      <c r="H189" s="155">
        <f>VLOOKUP(E189,$X$167:$AF$193,6,FALSE)</f>
        <v>1</v>
      </c>
      <c r="I189" s="155">
        <f>VLOOKUP(E189,$X$167:$AF$193,7,FALSE)</f>
        <v>0</v>
      </c>
      <c r="J189" s="155">
        <f>VLOOKUP(E189,$X$167:$AF$193,8,FALSE)</f>
        <v>1</v>
      </c>
      <c r="K189" s="155">
        <f>VLOOKUP(E189,$X$167:$AF$193,9,FALSE)</f>
        <v>0</v>
      </c>
      <c r="X189" s="66" t="s">
        <v>61</v>
      </c>
      <c r="Y189" s="155">
        <v>0.91799999999999993</v>
      </c>
      <c r="Z189" s="154">
        <v>0.91799999999999993</v>
      </c>
      <c r="AA189" s="155">
        <v>0</v>
      </c>
      <c r="AB189" s="154">
        <v>0</v>
      </c>
      <c r="AC189" s="155">
        <f t="shared" si="13"/>
        <v>1</v>
      </c>
      <c r="AD189" s="154">
        <f t="shared" si="8"/>
        <v>0</v>
      </c>
      <c r="AE189" s="155">
        <f t="shared" si="11"/>
        <v>1</v>
      </c>
      <c r="AF189" s="154">
        <f t="shared" si="12"/>
        <v>0</v>
      </c>
    </row>
    <row r="190" spans="2:32" x14ac:dyDescent="0.25">
      <c r="B190" s="236">
        <v>187</v>
      </c>
      <c r="D190" s="109">
        <f t="shared" si="6"/>
        <v>23</v>
      </c>
      <c r="E190" s="40" t="s">
        <v>58</v>
      </c>
      <c r="F190" s="66" t="s">
        <v>187</v>
      </c>
      <c r="G190" s="151" cm="1">
        <f t="array" ref="G190">_xlfn.IFS(F190="Routine/facility - UNICEF",1,F190="Intensive routine (campaign - HKI)",2)</f>
        <v>1</v>
      </c>
      <c r="H190" s="155">
        <f>VLOOKUP(E190,$X$167:$AF$193,6,FALSE)</f>
        <v>1</v>
      </c>
      <c r="I190" s="155">
        <f>VLOOKUP(E190,$X$167:$AF$193,7,FALSE)</f>
        <v>0</v>
      </c>
      <c r="J190" s="155">
        <f>VLOOKUP(E190,$X$167:$AF$193,8,FALSE)</f>
        <v>1</v>
      </c>
      <c r="K190" s="155">
        <f>VLOOKUP(E190,$X$167:$AF$193,9,FALSE)</f>
        <v>0</v>
      </c>
      <c r="X190" s="66" t="s">
        <v>32</v>
      </c>
      <c r="Y190" s="155">
        <v>0.88500000000000001</v>
      </c>
      <c r="Z190" s="154">
        <v>0.88500000000000001</v>
      </c>
      <c r="AA190" s="155">
        <v>0</v>
      </c>
      <c r="AB190" s="154">
        <v>0</v>
      </c>
      <c r="AC190" s="155">
        <f t="shared" si="13"/>
        <v>1</v>
      </c>
      <c r="AD190" s="154">
        <f t="shared" si="8"/>
        <v>0</v>
      </c>
      <c r="AE190" s="155">
        <f t="shared" si="11"/>
        <v>1</v>
      </c>
      <c r="AF190" s="154">
        <f t="shared" si="12"/>
        <v>0</v>
      </c>
    </row>
    <row r="191" spans="2:32" x14ac:dyDescent="0.25">
      <c r="B191" s="236">
        <v>188</v>
      </c>
      <c r="D191" s="109">
        <f t="shared" si="6"/>
        <v>24</v>
      </c>
      <c r="E191" s="41" t="s">
        <v>59</v>
      </c>
      <c r="F191" s="66" t="s">
        <v>187</v>
      </c>
      <c r="G191" s="151" cm="1">
        <f t="array" ref="G191">_xlfn.IFS(F191="Routine/facility - UNICEF",1,F191="Intensive routine (campaign - HKI)",2)</f>
        <v>1</v>
      </c>
      <c r="H191" s="155">
        <f>VLOOKUP(E191,$X$167:$AF$193,6,FALSE)</f>
        <v>1</v>
      </c>
      <c r="I191" s="155">
        <f>VLOOKUP(E191,$X$167:$AF$193,7,FALSE)</f>
        <v>0</v>
      </c>
      <c r="J191" s="155">
        <f>VLOOKUP(E191,$X$167:$AF$193,8,FALSE)</f>
        <v>1</v>
      </c>
      <c r="K191" s="155">
        <f>VLOOKUP(E191,$X$167:$AF$193,9,FALSE)</f>
        <v>0</v>
      </c>
      <c r="X191" s="66" t="s">
        <v>47</v>
      </c>
      <c r="Y191" s="155">
        <v>0.58399999999999996</v>
      </c>
      <c r="Z191" s="154">
        <v>0.58399999999999996</v>
      </c>
      <c r="AA191" s="155">
        <v>0</v>
      </c>
      <c r="AB191" s="154">
        <v>0</v>
      </c>
      <c r="AC191" s="155">
        <f t="shared" si="13"/>
        <v>1</v>
      </c>
      <c r="AD191" s="154">
        <f t="shared" si="8"/>
        <v>0</v>
      </c>
      <c r="AE191" s="155">
        <f t="shared" si="11"/>
        <v>1</v>
      </c>
      <c r="AF191" s="154">
        <f t="shared" si="12"/>
        <v>0</v>
      </c>
    </row>
    <row r="192" spans="2:32" x14ac:dyDescent="0.25">
      <c r="B192" s="236">
        <v>189</v>
      </c>
      <c r="D192" s="109">
        <f t="shared" si="6"/>
        <v>25</v>
      </c>
      <c r="E192" s="40" t="s">
        <v>60</v>
      </c>
      <c r="F192" s="66" t="s">
        <v>187</v>
      </c>
      <c r="G192" s="151" cm="1">
        <f t="array" ref="G192">_xlfn.IFS(F192="Routine/facility - UNICEF",1,F192="Intensive routine (campaign - HKI)",2)</f>
        <v>1</v>
      </c>
      <c r="H192" s="155">
        <f>VLOOKUP(E192,$X$167:$AF$193,6,FALSE)</f>
        <v>1</v>
      </c>
      <c r="I192" s="155">
        <f>VLOOKUP(E192,$X$167:$AF$193,7,FALSE)</f>
        <v>0</v>
      </c>
      <c r="J192" s="155">
        <f>VLOOKUP(E192,$X$167:$AF$193,8,FALSE)</f>
        <v>1</v>
      </c>
      <c r="K192" s="155">
        <f>VLOOKUP(E192,$X$167:$AF$193,9,FALSE)</f>
        <v>0</v>
      </c>
      <c r="X192" s="66" t="s">
        <v>60</v>
      </c>
      <c r="Y192" s="155">
        <v>0.76400000000000001</v>
      </c>
      <c r="Z192" s="154">
        <v>0.76400000000000001</v>
      </c>
      <c r="AA192" s="155">
        <v>0</v>
      </c>
      <c r="AB192" s="154">
        <v>0</v>
      </c>
      <c r="AC192" s="155">
        <f t="shared" si="13"/>
        <v>1</v>
      </c>
      <c r="AD192" s="154">
        <f t="shared" si="8"/>
        <v>0</v>
      </c>
      <c r="AE192" s="155">
        <f t="shared" si="11"/>
        <v>1</v>
      </c>
      <c r="AF192" s="154">
        <f t="shared" si="12"/>
        <v>0</v>
      </c>
    </row>
    <row r="193" spans="2:32" x14ac:dyDescent="0.25">
      <c r="B193" s="236">
        <v>190</v>
      </c>
      <c r="D193" s="109">
        <f t="shared" si="6"/>
        <v>26</v>
      </c>
      <c r="E193" s="41" t="s">
        <v>61</v>
      </c>
      <c r="F193" s="66" t="s">
        <v>187</v>
      </c>
      <c r="G193" s="151" cm="1">
        <f t="array" ref="G193">_xlfn.IFS(F193="Routine/facility - UNICEF",1,F193="Intensive routine (campaign - HKI)",2)</f>
        <v>1</v>
      </c>
      <c r="H193" s="155">
        <f>VLOOKUP(E193,$X$167:$AF$193,6,FALSE)</f>
        <v>1</v>
      </c>
      <c r="I193" s="155">
        <f>VLOOKUP(E193,$X$167:$AF$193,7,FALSE)</f>
        <v>0</v>
      </c>
      <c r="J193" s="155">
        <f>VLOOKUP(E193,$X$167:$AF$193,8,FALSE)</f>
        <v>1</v>
      </c>
      <c r="K193" s="155">
        <f>VLOOKUP(E193,$X$167:$AF$193,9,FALSE)</f>
        <v>0</v>
      </c>
      <c r="X193" s="66" t="s">
        <v>33</v>
      </c>
      <c r="Y193" s="155">
        <v>0.755</v>
      </c>
      <c r="Z193" s="154">
        <v>0.755</v>
      </c>
      <c r="AA193" s="155">
        <v>0</v>
      </c>
      <c r="AB193" s="154">
        <v>0</v>
      </c>
      <c r="AC193" s="155">
        <f t="shared" si="13"/>
        <v>1</v>
      </c>
      <c r="AD193" s="154">
        <f t="shared" si="8"/>
        <v>0</v>
      </c>
      <c r="AE193" s="155">
        <f t="shared" si="11"/>
        <v>1</v>
      </c>
      <c r="AF193" s="154">
        <f t="shared" si="12"/>
        <v>0</v>
      </c>
    </row>
    <row r="194" spans="2:32" x14ac:dyDescent="0.25">
      <c r="B194" s="236">
        <v>191</v>
      </c>
      <c r="D194" s="109">
        <f t="shared" si="6"/>
        <v>27</v>
      </c>
      <c r="E194" s="43" t="s">
        <v>71</v>
      </c>
      <c r="F194" s="152"/>
      <c r="G194" s="152"/>
      <c r="H194" s="177">
        <f>F224/SUM(F224:G224)</f>
        <v>0.6392959912227697</v>
      </c>
      <c r="I194" s="177">
        <f>G224/SUM(F224:G224)</f>
        <v>0.36070400877723025</v>
      </c>
      <c r="J194" s="177">
        <f>I224/SUM(I224:J224)</f>
        <v>0.36442463614016563</v>
      </c>
      <c r="K194" s="177">
        <f>J224/SUM(I224:J224)</f>
        <v>0.63557536385983437</v>
      </c>
      <c r="O194" s="171"/>
      <c r="X194" s="43" t="s">
        <v>71</v>
      </c>
    </row>
    <row r="195" spans="2:32" x14ac:dyDescent="0.25">
      <c r="B195" s="236">
        <v>192</v>
      </c>
    </row>
    <row r="196" spans="2:32" x14ac:dyDescent="0.25">
      <c r="B196" s="236">
        <v>193</v>
      </c>
      <c r="F196" s="220" t="s">
        <v>142</v>
      </c>
      <c r="G196" s="242"/>
      <c r="H196" s="242"/>
      <c r="I196" s="148" t="s">
        <v>78</v>
      </c>
      <c r="J196" s="193"/>
      <c r="K196" s="192"/>
    </row>
    <row r="197" spans="2:32" x14ac:dyDescent="0.25">
      <c r="B197" s="236">
        <v>194</v>
      </c>
      <c r="E197" s="106" t="s">
        <v>13</v>
      </c>
      <c r="F197" s="150" t="s">
        <v>184</v>
      </c>
      <c r="G197" s="150" t="s">
        <v>77</v>
      </c>
      <c r="H197" s="150" t="s">
        <v>173</v>
      </c>
      <c r="I197" s="150" t="s">
        <v>184</v>
      </c>
      <c r="J197" s="150" t="s">
        <v>77</v>
      </c>
      <c r="K197" s="150" t="s">
        <v>173</v>
      </c>
    </row>
    <row r="198" spans="2:32" x14ac:dyDescent="0.25">
      <c r="B198" s="236">
        <v>195</v>
      </c>
      <c r="D198" s="109">
        <f>D168</f>
        <v>1</v>
      </c>
      <c r="E198" s="40" t="s">
        <v>20</v>
      </c>
      <c r="F198" s="174">
        <f>H168*L94</f>
        <v>0.78691626774799051</v>
      </c>
      <c r="G198" s="174">
        <f>I168*L94</f>
        <v>0</v>
      </c>
      <c r="H198" s="175">
        <f>1-L94</f>
        <v>0.21308373225200949</v>
      </c>
      <c r="I198" s="172">
        <f>J168*M94</f>
        <v>0.18</v>
      </c>
      <c r="J198" s="172">
        <f>K168*M94</f>
        <v>0</v>
      </c>
      <c r="K198" s="173">
        <f>1-M94</f>
        <v>0.82000000000000006</v>
      </c>
    </row>
    <row r="199" spans="2:32" x14ac:dyDescent="0.25">
      <c r="B199" s="236">
        <v>196</v>
      </c>
      <c r="D199" s="109">
        <f t="shared" ref="D199:D224" si="14">D169</f>
        <v>2</v>
      </c>
      <c r="E199" s="41" t="s">
        <v>23</v>
      </c>
      <c r="F199" s="174">
        <f>H169*L95</f>
        <v>2.4344485547794632E-2</v>
      </c>
      <c r="G199" s="174">
        <f>I169*L95</f>
        <v>0.85356700193127832</v>
      </c>
      <c r="H199" s="175">
        <f>1-L95</f>
        <v>0.12208851252092701</v>
      </c>
      <c r="I199" s="172">
        <f>J169*M95</f>
        <v>2.4908878092337574E-2</v>
      </c>
      <c r="J199" s="172">
        <f>K169*M95</f>
        <v>0.87335574838936592</v>
      </c>
      <c r="K199" s="173">
        <f>1-M95</f>
        <v>0.10173537351829653</v>
      </c>
    </row>
    <row r="200" spans="2:32" x14ac:dyDescent="0.25">
      <c r="B200" s="236">
        <v>197</v>
      </c>
      <c r="D200" s="109">
        <f t="shared" si="14"/>
        <v>3</v>
      </c>
      <c r="E200" s="40" t="s">
        <v>24</v>
      </c>
      <c r="F200" s="174">
        <f>H170*L96</f>
        <v>0.68186975499456004</v>
      </c>
      <c r="G200" s="174">
        <f>I170*L96</f>
        <v>0</v>
      </c>
      <c r="H200" s="175">
        <f>1-L96</f>
        <v>0.31813024500543996</v>
      </c>
      <c r="I200" s="172">
        <f>J170*M96</f>
        <v>0.18</v>
      </c>
      <c r="J200" s="172">
        <f>K170*M96</f>
        <v>0</v>
      </c>
      <c r="K200" s="173">
        <f>1-M96</f>
        <v>0.82000000000000006</v>
      </c>
    </row>
    <row r="201" spans="2:32" x14ac:dyDescent="0.25">
      <c r="B201" s="236">
        <v>198</v>
      </c>
      <c r="D201" s="109">
        <f t="shared" si="14"/>
        <v>4</v>
      </c>
      <c r="E201" s="41" t="s">
        <v>25</v>
      </c>
      <c r="F201" s="174">
        <f>H171*L97</f>
        <v>0.18940762573377029</v>
      </c>
      <c r="G201" s="174">
        <f>I171*L97</f>
        <v>0.66213050191884115</v>
      </c>
      <c r="H201" s="175">
        <f>1-L97</f>
        <v>0.1484618723473885</v>
      </c>
      <c r="I201" s="172">
        <f>J171*M97</f>
        <v>0.17208522597200235</v>
      </c>
      <c r="J201" s="172">
        <f>K171*M97</f>
        <v>0.68834090388800961</v>
      </c>
      <c r="K201" s="173">
        <f>1-M97</f>
        <v>0.13957387013998801</v>
      </c>
    </row>
    <row r="202" spans="2:32" x14ac:dyDescent="0.25">
      <c r="B202" s="236">
        <v>199</v>
      </c>
      <c r="D202" s="109">
        <f t="shared" si="14"/>
        <v>5</v>
      </c>
      <c r="E202" s="40" t="s">
        <v>28</v>
      </c>
      <c r="F202" s="174">
        <f>H172*L98</f>
        <v>0.69294710973336748</v>
      </c>
      <c r="G202" s="174">
        <f>I172*L98</f>
        <v>0</v>
      </c>
      <c r="H202" s="175">
        <f>1-L98</f>
        <v>0.30705289026663252</v>
      </c>
      <c r="I202" s="172">
        <f>J172*M98</f>
        <v>0.18</v>
      </c>
      <c r="J202" s="172">
        <f>K172*M98</f>
        <v>0</v>
      </c>
      <c r="K202" s="173">
        <f>1-M98</f>
        <v>0.82000000000000006</v>
      </c>
    </row>
    <row r="203" spans="2:32" x14ac:dyDescent="0.25">
      <c r="B203" s="236">
        <v>200</v>
      </c>
      <c r="D203" s="109">
        <f t="shared" si="14"/>
        <v>6</v>
      </c>
      <c r="E203" s="41" t="s">
        <v>30</v>
      </c>
      <c r="F203" s="174">
        <f>H173*L99</f>
        <v>0.44648125521911647</v>
      </c>
      <c r="G203" s="174">
        <f>I173*L99</f>
        <v>0</v>
      </c>
      <c r="H203" s="175">
        <f>1-L99</f>
        <v>0.55351874478088359</v>
      </c>
      <c r="I203" s="172">
        <f>J173*M99</f>
        <v>0.18</v>
      </c>
      <c r="J203" s="172">
        <f>K173*M99</f>
        <v>0</v>
      </c>
      <c r="K203" s="173">
        <f>1-M99</f>
        <v>0.82000000000000006</v>
      </c>
    </row>
    <row r="204" spans="2:32" x14ac:dyDescent="0.25">
      <c r="B204" s="236">
        <v>201</v>
      </c>
      <c r="D204" s="109">
        <f t="shared" si="14"/>
        <v>7</v>
      </c>
      <c r="E204" s="40" t="s">
        <v>31</v>
      </c>
      <c r="F204" s="174">
        <f>H174*L100</f>
        <v>0.38388040202304602</v>
      </c>
      <c r="G204" s="174">
        <f>I174*L100</f>
        <v>0</v>
      </c>
      <c r="H204" s="175">
        <f>1-L100</f>
        <v>0.61611959797695404</v>
      </c>
      <c r="I204" s="172">
        <f>J174*M100</f>
        <v>0.18</v>
      </c>
      <c r="J204" s="172">
        <f>K174*M100</f>
        <v>0</v>
      </c>
      <c r="K204" s="173">
        <f>1-M100</f>
        <v>0.82000000000000006</v>
      </c>
    </row>
    <row r="205" spans="2:32" x14ac:dyDescent="0.25">
      <c r="B205" s="236">
        <v>202</v>
      </c>
      <c r="D205" s="109">
        <f t="shared" si="14"/>
        <v>8</v>
      </c>
      <c r="E205" s="41" t="s">
        <v>32</v>
      </c>
      <c r="F205" s="174">
        <f>H175*L101</f>
        <v>0.64593933210812549</v>
      </c>
      <c r="G205" s="174">
        <f>I175*L101</f>
        <v>0</v>
      </c>
      <c r="H205" s="175">
        <f>1-L101</f>
        <v>0.35406066789187451</v>
      </c>
      <c r="I205" s="172">
        <f>J175*M101</f>
        <v>0.18</v>
      </c>
      <c r="J205" s="172">
        <f>K175*M101</f>
        <v>0</v>
      </c>
      <c r="K205" s="173">
        <f>1-M101</f>
        <v>0.82000000000000006</v>
      </c>
    </row>
    <row r="206" spans="2:32" x14ac:dyDescent="0.25">
      <c r="B206" s="236">
        <v>203</v>
      </c>
      <c r="D206" s="109">
        <f t="shared" si="14"/>
        <v>9</v>
      </c>
      <c r="E206" s="40" t="s">
        <v>33</v>
      </c>
      <c r="F206" s="174">
        <f>H176*L102</f>
        <v>0.66628054398536296</v>
      </c>
      <c r="G206" s="174">
        <f>I176*L102</f>
        <v>0</v>
      </c>
      <c r="H206" s="175">
        <f>1-L102</f>
        <v>0.33371945601463704</v>
      </c>
      <c r="I206" s="172">
        <f>J176*M102</f>
        <v>0.18</v>
      </c>
      <c r="J206" s="172">
        <f>K176*M102</f>
        <v>0</v>
      </c>
      <c r="K206" s="173">
        <f>1-M102</f>
        <v>0.82000000000000006</v>
      </c>
    </row>
    <row r="207" spans="2:32" x14ac:dyDescent="0.25">
      <c r="B207" s="236">
        <v>204</v>
      </c>
      <c r="D207" s="109">
        <f t="shared" si="14"/>
        <v>10</v>
      </c>
      <c r="E207" s="41" t="s">
        <v>34</v>
      </c>
      <c r="F207" s="174">
        <f>H177*L103</f>
        <v>9.7379455997417805E-2</v>
      </c>
      <c r="G207" s="174">
        <f>I177*L103</f>
        <v>0.66321927865397512</v>
      </c>
      <c r="H207" s="175">
        <f>1-L103</f>
        <v>0.23940126534860706</v>
      </c>
      <c r="I207" s="172">
        <f>J177*M103</f>
        <v>0.10476723181243083</v>
      </c>
      <c r="J207" s="172">
        <f>K177*M103</f>
        <v>0.71353497714196168</v>
      </c>
      <c r="K207" s="173">
        <f>1-M103</f>
        <v>0.18169779104560746</v>
      </c>
    </row>
    <row r="208" spans="2:32" x14ac:dyDescent="0.25">
      <c r="B208" s="236">
        <v>205</v>
      </c>
      <c r="D208" s="109">
        <f t="shared" si="14"/>
        <v>11</v>
      </c>
      <c r="E208" s="40" t="s">
        <v>37</v>
      </c>
      <c r="F208" s="174">
        <f>H178*L104</f>
        <v>0.82669962875193304</v>
      </c>
      <c r="G208" s="174">
        <f>I178*L104</f>
        <v>0</v>
      </c>
      <c r="H208" s="175">
        <f>1-L104</f>
        <v>0.17330037124806696</v>
      </c>
      <c r="I208" s="172">
        <f>J178*M104</f>
        <v>0.18</v>
      </c>
      <c r="J208" s="172">
        <f>K178*M104</f>
        <v>0</v>
      </c>
      <c r="K208" s="173">
        <f>1-M104</f>
        <v>0.82000000000000006</v>
      </c>
    </row>
    <row r="209" spans="2:11" x14ac:dyDescent="0.25">
      <c r="B209" s="236">
        <v>206</v>
      </c>
      <c r="D209" s="109">
        <f t="shared" si="14"/>
        <v>12</v>
      </c>
      <c r="E209" s="41" t="s">
        <v>38</v>
      </c>
      <c r="F209" s="174">
        <f>H179*L105</f>
        <v>0.13698592718089203</v>
      </c>
      <c r="G209" s="174">
        <f>I179*L105</f>
        <v>0.65543570283525854</v>
      </c>
      <c r="H209" s="175">
        <f>1-L105</f>
        <v>0.20757836998384949</v>
      </c>
      <c r="I209" s="172">
        <f>J179*M105</f>
        <v>0.13668730473239935</v>
      </c>
      <c r="J209" s="172">
        <f>K179*M105</f>
        <v>0.65400688588713718</v>
      </c>
      <c r="K209" s="173">
        <f>1-M105</f>
        <v>0.2093058093804635</v>
      </c>
    </row>
    <row r="210" spans="2:11" x14ac:dyDescent="0.25">
      <c r="B210" s="236">
        <v>207</v>
      </c>
      <c r="D210" s="109">
        <f t="shared" si="14"/>
        <v>13</v>
      </c>
      <c r="E210" s="40" t="s">
        <v>40</v>
      </c>
      <c r="F210" s="174">
        <f>H180*L106</f>
        <v>8.6297264570752041E-2</v>
      </c>
      <c r="G210" s="174">
        <f>I180*L106</f>
        <v>0.67550768397049099</v>
      </c>
      <c r="H210" s="175">
        <f>1-L106</f>
        <v>0.23819505145875697</v>
      </c>
      <c r="I210" s="172">
        <f>J180*M106</f>
        <v>8.8919023933682284E-2</v>
      </c>
      <c r="J210" s="172">
        <f>K180*M106</f>
        <v>0.69602998678032069</v>
      </c>
      <c r="K210" s="173">
        <f>1-M106</f>
        <v>0.21505098928599697</v>
      </c>
    </row>
    <row r="211" spans="2:11" x14ac:dyDescent="0.25">
      <c r="B211" s="236">
        <v>208</v>
      </c>
      <c r="D211" s="109">
        <f t="shared" si="14"/>
        <v>14</v>
      </c>
      <c r="E211" s="41" t="s">
        <v>41</v>
      </c>
      <c r="F211" s="174">
        <f>H181*L107</f>
        <v>0.4420516919748485</v>
      </c>
      <c r="G211" s="174">
        <f>I181*L107</f>
        <v>0</v>
      </c>
      <c r="H211" s="175">
        <f>1-L107</f>
        <v>0.5579483080251515</v>
      </c>
      <c r="I211" s="172">
        <f>J181*M107</f>
        <v>0.18</v>
      </c>
      <c r="J211" s="172">
        <f>K181*M107</f>
        <v>0</v>
      </c>
      <c r="K211" s="173">
        <f>1-M107</f>
        <v>0.82000000000000006</v>
      </c>
    </row>
    <row r="212" spans="2:11" x14ac:dyDescent="0.25">
      <c r="B212" s="236">
        <v>209</v>
      </c>
      <c r="D212" s="109">
        <f t="shared" si="14"/>
        <v>15</v>
      </c>
      <c r="E212" s="40" t="s">
        <v>42</v>
      </c>
      <c r="F212" s="174">
        <f>H182*L108</f>
        <v>0.69193668472272707</v>
      </c>
      <c r="G212" s="174">
        <f>I182*L108</f>
        <v>0</v>
      </c>
      <c r="H212" s="175">
        <f>1-L108</f>
        <v>0.30806331527727293</v>
      </c>
      <c r="I212" s="172">
        <f>J182*M108</f>
        <v>0.18</v>
      </c>
      <c r="J212" s="172">
        <f>K182*M108</f>
        <v>0</v>
      </c>
      <c r="K212" s="173">
        <f>1-M108</f>
        <v>0.82000000000000006</v>
      </c>
    </row>
    <row r="213" spans="2:11" x14ac:dyDescent="0.25">
      <c r="B213" s="236">
        <v>210</v>
      </c>
      <c r="D213" s="109">
        <f t="shared" si="14"/>
        <v>16</v>
      </c>
      <c r="E213" s="41" t="s">
        <v>45</v>
      </c>
      <c r="F213" s="174">
        <f>H183*L109</f>
        <v>0.62466018797055645</v>
      </c>
      <c r="G213" s="174">
        <f>I183*L109</f>
        <v>0</v>
      </c>
      <c r="H213" s="175">
        <f>1-L109</f>
        <v>0.37533981202944355</v>
      </c>
      <c r="I213" s="172">
        <f>J183*M109</f>
        <v>0.18</v>
      </c>
      <c r="J213" s="172">
        <f>K183*M109</f>
        <v>0</v>
      </c>
      <c r="K213" s="173">
        <f>1-M109</f>
        <v>0.82000000000000006</v>
      </c>
    </row>
    <row r="214" spans="2:11" x14ac:dyDescent="0.25">
      <c r="B214" s="236">
        <v>211</v>
      </c>
      <c r="D214" s="109">
        <f t="shared" si="14"/>
        <v>17</v>
      </c>
      <c r="E214" s="40" t="s">
        <v>46</v>
      </c>
      <c r="F214" s="174">
        <f>H184*L110</f>
        <v>0.49630028573914697</v>
      </c>
      <c r="G214" s="174">
        <f>I184*L110</f>
        <v>0</v>
      </c>
      <c r="H214" s="175">
        <f>1-L110</f>
        <v>0.50369971426085303</v>
      </c>
      <c r="I214" s="172">
        <f>J184*M110</f>
        <v>0.18</v>
      </c>
      <c r="J214" s="172">
        <f>K184*M110</f>
        <v>0</v>
      </c>
      <c r="K214" s="173">
        <f>1-M110</f>
        <v>0.82000000000000006</v>
      </c>
    </row>
    <row r="215" spans="2:11" x14ac:dyDescent="0.25">
      <c r="B215" s="236">
        <v>212</v>
      </c>
      <c r="D215" s="109">
        <f t="shared" si="14"/>
        <v>18</v>
      </c>
      <c r="E215" s="41" t="s">
        <v>47</v>
      </c>
      <c r="F215" s="174">
        <f>H185*L111</f>
        <v>0.44972678378924447</v>
      </c>
      <c r="G215" s="174">
        <f>I185*L111</f>
        <v>0</v>
      </c>
      <c r="H215" s="175">
        <f>1-L111</f>
        <v>0.55027321621075553</v>
      </c>
      <c r="I215" s="172">
        <f>J185*M111</f>
        <v>0.18</v>
      </c>
      <c r="J215" s="172">
        <f>K185*M111</f>
        <v>0</v>
      </c>
      <c r="K215" s="173">
        <f>1-M111</f>
        <v>0.82000000000000006</v>
      </c>
    </row>
    <row r="216" spans="2:11" x14ac:dyDescent="0.25">
      <c r="B216" s="236">
        <v>213</v>
      </c>
      <c r="D216" s="109">
        <f t="shared" si="14"/>
        <v>19</v>
      </c>
      <c r="E216" s="42" t="s">
        <v>48</v>
      </c>
      <c r="F216" s="174">
        <f>H186*L112</f>
        <v>0.14043479369503709</v>
      </c>
      <c r="G216" s="174">
        <f>I186*L112</f>
        <v>0.768057855386585</v>
      </c>
      <c r="H216" s="175">
        <f>1-L112</f>
        <v>9.1507350918377917E-2</v>
      </c>
      <c r="I216" s="172">
        <f>J186*M112</f>
        <v>0.14066484171619351</v>
      </c>
      <c r="J216" s="172">
        <f>K186*M112</f>
        <v>0.76931602072521899</v>
      </c>
      <c r="K216" s="173">
        <f>1-M112</f>
        <v>9.0019137558587481E-2</v>
      </c>
    </row>
    <row r="217" spans="2:11" x14ac:dyDescent="0.25">
      <c r="B217" s="236">
        <v>214</v>
      </c>
      <c r="D217" s="109">
        <f t="shared" si="14"/>
        <v>20</v>
      </c>
      <c r="E217" s="41" t="s">
        <v>50</v>
      </c>
      <c r="F217" s="174">
        <f>H187*L113</f>
        <v>0.44783311700724948</v>
      </c>
      <c r="G217" s="174">
        <f>I187*L113</f>
        <v>0</v>
      </c>
      <c r="H217" s="175">
        <f>1-L113</f>
        <v>0.55216688299275052</v>
      </c>
      <c r="I217" s="172">
        <f>J187*M113</f>
        <v>0.18</v>
      </c>
      <c r="J217" s="172">
        <f>K187*M113</f>
        <v>0</v>
      </c>
      <c r="K217" s="173">
        <f>1-M113</f>
        <v>0.82000000000000006</v>
      </c>
    </row>
    <row r="218" spans="2:11" x14ac:dyDescent="0.25">
      <c r="B218" s="236">
        <v>215</v>
      </c>
      <c r="D218" s="109">
        <f t="shared" si="14"/>
        <v>21</v>
      </c>
      <c r="E218" s="40" t="s">
        <v>52</v>
      </c>
      <c r="F218" s="174">
        <f>H188*L114</f>
        <v>0.90184982815229842</v>
      </c>
      <c r="G218" s="174">
        <f>I188*L114</f>
        <v>0</v>
      </c>
      <c r="H218" s="175">
        <f>1-L114</f>
        <v>9.8150171847701584E-2</v>
      </c>
      <c r="I218" s="172">
        <f>J188*M114</f>
        <v>0.18</v>
      </c>
      <c r="J218" s="172">
        <f>K188*M114</f>
        <v>0</v>
      </c>
      <c r="K218" s="173">
        <f>1-M114</f>
        <v>0.82000000000000006</v>
      </c>
    </row>
    <row r="219" spans="2:11" x14ac:dyDescent="0.25">
      <c r="B219" s="236">
        <v>216</v>
      </c>
      <c r="D219" s="109">
        <f t="shared" si="14"/>
        <v>22</v>
      </c>
      <c r="E219" s="41" t="s">
        <v>55</v>
      </c>
      <c r="F219" s="174">
        <f>H189*L115</f>
        <v>0.71737946733282909</v>
      </c>
      <c r="G219" s="174">
        <f>I189*L115</f>
        <v>0</v>
      </c>
      <c r="H219" s="175">
        <f>1-L115</f>
        <v>0.28262053266717091</v>
      </c>
      <c r="I219" s="172">
        <f>J189*M115</f>
        <v>0.18</v>
      </c>
      <c r="J219" s="172">
        <f>K189*M115</f>
        <v>0</v>
      </c>
      <c r="K219" s="173">
        <f>1-M115</f>
        <v>0.82000000000000006</v>
      </c>
    </row>
    <row r="220" spans="2:11" x14ac:dyDescent="0.25">
      <c r="B220" s="236">
        <v>217</v>
      </c>
      <c r="D220" s="109">
        <f t="shared" si="14"/>
        <v>23</v>
      </c>
      <c r="E220" s="40" t="s">
        <v>58</v>
      </c>
      <c r="F220" s="174">
        <f>H190*L116</f>
        <v>0.717089615934696</v>
      </c>
      <c r="G220" s="174">
        <f>I190*L116</f>
        <v>0</v>
      </c>
      <c r="H220" s="175">
        <f>1-L116</f>
        <v>0.282910384065304</v>
      </c>
      <c r="I220" s="172">
        <f>J190*M116</f>
        <v>0.18</v>
      </c>
      <c r="J220" s="172">
        <f>K190*M116</f>
        <v>0</v>
      </c>
      <c r="K220" s="173">
        <f>1-M116</f>
        <v>0.82000000000000006</v>
      </c>
    </row>
    <row r="221" spans="2:11" x14ac:dyDescent="0.25">
      <c r="B221" s="236">
        <v>218</v>
      </c>
      <c r="D221" s="109">
        <f t="shared" si="14"/>
        <v>24</v>
      </c>
      <c r="E221" s="41" t="s">
        <v>59</v>
      </c>
      <c r="F221" s="174">
        <f>H191*L117</f>
        <v>0.816656131654524</v>
      </c>
      <c r="G221" s="174">
        <f>I191*L117</f>
        <v>0</v>
      </c>
      <c r="H221" s="175">
        <f>1-L117</f>
        <v>0.183343868345476</v>
      </c>
      <c r="I221" s="172">
        <f>J191*M117</f>
        <v>0.18</v>
      </c>
      <c r="J221" s="172">
        <f>K191*M117</f>
        <v>0</v>
      </c>
      <c r="K221" s="173">
        <f>1-M117</f>
        <v>0.82000000000000006</v>
      </c>
    </row>
    <row r="222" spans="2:11" x14ac:dyDescent="0.25">
      <c r="B222" s="236">
        <v>219</v>
      </c>
      <c r="D222" s="109">
        <f t="shared" si="14"/>
        <v>25</v>
      </c>
      <c r="E222" s="40" t="s">
        <v>60</v>
      </c>
      <c r="F222" s="174">
        <f>H192*L118</f>
        <v>0.59616223322575201</v>
      </c>
      <c r="G222" s="174">
        <f>I192*L118</f>
        <v>0</v>
      </c>
      <c r="H222" s="175">
        <f>1-L118</f>
        <v>0.40383776677424799</v>
      </c>
      <c r="I222" s="172">
        <f>J192*M118</f>
        <v>0.18</v>
      </c>
      <c r="J222" s="172">
        <f>K192*M118</f>
        <v>0</v>
      </c>
      <c r="K222" s="173">
        <f>1-M118</f>
        <v>0.82000000000000006</v>
      </c>
    </row>
    <row r="223" spans="2:11" x14ac:dyDescent="0.25">
      <c r="B223" s="236">
        <v>220</v>
      </c>
      <c r="D223" s="109">
        <f t="shared" si="14"/>
        <v>26</v>
      </c>
      <c r="E223" s="41" t="s">
        <v>61</v>
      </c>
      <c r="F223" s="174">
        <f>H193*L119</f>
        <v>0.82728683649019052</v>
      </c>
      <c r="G223" s="174">
        <f>I193*L119</f>
        <v>0</v>
      </c>
      <c r="H223" s="175">
        <f>1-L119</f>
        <v>0.17271316350980948</v>
      </c>
      <c r="I223" s="172">
        <f>J193*M119</f>
        <v>0.18</v>
      </c>
      <c r="J223" s="172">
        <f>K193*M119</f>
        <v>0</v>
      </c>
      <c r="K223" s="173">
        <f>1-M119</f>
        <v>0.82000000000000006</v>
      </c>
    </row>
    <row r="224" spans="2:11" x14ac:dyDescent="0.25">
      <c r="B224" s="236">
        <v>221</v>
      </c>
      <c r="D224" s="109">
        <f t="shared" si="14"/>
        <v>27</v>
      </c>
      <c r="E224" s="43" t="s">
        <v>71</v>
      </c>
      <c r="F224" s="176">
        <f>SUMPRODUCT(H168:H193,L94:L119,I34:I59)/SUM(I34:I59)</f>
        <v>0.47781402135252082</v>
      </c>
      <c r="G224" s="176">
        <f>SUMPRODUCT(I168:I193,L94:L119,I34:I59)/SUM(I34:I59)</f>
        <v>0.26959254448346182</v>
      </c>
      <c r="H224" s="175">
        <f>1-L121</f>
        <v>0.25259343416401725</v>
      </c>
      <c r="I224" s="161">
        <f>SUMPRODUCT(J168:J193,M94:M119,J34:J59)/SUM(J34:J59)</f>
        <v>0.15759762863324114</v>
      </c>
      <c r="J224" s="161">
        <f>SUMPRODUCT(K168:K193,M94:M119,J34:J59)/SUM(J34:J59)</f>
        <v>0.27485839383123811</v>
      </c>
      <c r="K224" s="173">
        <f>1-M120</f>
        <v>0.56754397753552077</v>
      </c>
    </row>
    <row r="225" spans="2:13" x14ac:dyDescent="0.25">
      <c r="B225" s="236">
        <v>222</v>
      </c>
      <c r="H225" s="169">
        <f>SUM(F224:H224)</f>
        <v>0.99999999999999989</v>
      </c>
      <c r="I225" s="147"/>
      <c r="J225" s="169">
        <f>SUM(I224:K224)</f>
        <v>1</v>
      </c>
    </row>
    <row r="226" spans="2:13" x14ac:dyDescent="0.25">
      <c r="B226" s="236">
        <v>223</v>
      </c>
    </row>
    <row r="227" spans="2:13" x14ac:dyDescent="0.25">
      <c r="B227" s="236">
        <v>224</v>
      </c>
    </row>
    <row r="228" spans="2:13" x14ac:dyDescent="0.25">
      <c r="B228" s="236">
        <v>225</v>
      </c>
      <c r="E228" s="224"/>
      <c r="F228" s="224"/>
      <c r="G228" s="224"/>
      <c r="H228" s="224"/>
      <c r="I228" s="224"/>
      <c r="J228" s="224"/>
      <c r="K228" s="224"/>
      <c r="L228" s="224"/>
      <c r="M228" s="224"/>
    </row>
    <row r="229" spans="2:13" x14ac:dyDescent="0.25">
      <c r="B229" s="236">
        <v>226</v>
      </c>
      <c r="E229" s="147">
        <v>1</v>
      </c>
      <c r="F229" s="147">
        <v>2</v>
      </c>
      <c r="G229" s="147">
        <v>3</v>
      </c>
      <c r="H229" s="147">
        <v>4</v>
      </c>
      <c r="I229" s="147">
        <v>5</v>
      </c>
      <c r="J229" s="147">
        <v>6</v>
      </c>
      <c r="K229" s="147">
        <v>7</v>
      </c>
      <c r="L229" s="147">
        <v>8</v>
      </c>
      <c r="M229" s="147">
        <v>9</v>
      </c>
    </row>
    <row r="230" spans="2:13" x14ac:dyDescent="0.25">
      <c r="B230" s="236">
        <v>227</v>
      </c>
      <c r="E230" s="303" t="s">
        <v>224</v>
      </c>
      <c r="F230" s="220" t="s">
        <v>153</v>
      </c>
      <c r="G230" s="242"/>
      <c r="H230" s="242"/>
      <c r="I230" s="242"/>
      <c r="J230" s="220" t="s">
        <v>168</v>
      </c>
      <c r="K230" s="242"/>
      <c r="L230" s="242"/>
      <c r="M230" s="242"/>
    </row>
    <row r="231" spans="2:13" x14ac:dyDescent="0.25">
      <c r="B231" s="236">
        <v>228</v>
      </c>
      <c r="E231" s="304"/>
      <c r="F231" s="220" t="s">
        <v>197</v>
      </c>
      <c r="G231" s="242"/>
      <c r="H231" s="220" t="s">
        <v>198</v>
      </c>
      <c r="I231" s="242"/>
      <c r="J231" s="220" t="s">
        <v>197</v>
      </c>
      <c r="K231" s="242"/>
      <c r="L231" s="220" t="s">
        <v>198</v>
      </c>
      <c r="M231" s="242"/>
    </row>
    <row r="232" spans="2:13" x14ac:dyDescent="0.25">
      <c r="B232" s="236">
        <v>229</v>
      </c>
      <c r="E232" s="305"/>
      <c r="F232" s="150" t="s">
        <v>184</v>
      </c>
      <c r="G232" s="150" t="s">
        <v>77</v>
      </c>
      <c r="H232" s="150" t="s">
        <v>184</v>
      </c>
      <c r="I232" s="150" t="s">
        <v>77</v>
      </c>
      <c r="J232" s="150" t="s">
        <v>184</v>
      </c>
      <c r="K232" s="150" t="s">
        <v>77</v>
      </c>
      <c r="L232" s="150" t="s">
        <v>184</v>
      </c>
      <c r="M232" s="150" t="s">
        <v>77</v>
      </c>
    </row>
    <row r="233" spans="2:13" ht="15" customHeight="1" x14ac:dyDescent="0.25">
      <c r="B233" s="236">
        <v>230</v>
      </c>
      <c r="E233" s="239">
        <v>1</v>
      </c>
      <c r="F233" s="161">
        <f>F137*H168</f>
        <v>0.85739041326153509</v>
      </c>
      <c r="G233" s="161">
        <v>0.9</v>
      </c>
      <c r="H233" s="161">
        <f>G137*J168</f>
        <v>0.6208219992839058</v>
      </c>
      <c r="I233" s="161">
        <v>0.9</v>
      </c>
      <c r="J233" s="161">
        <f>H137*H168</f>
        <v>0.19612032526502615</v>
      </c>
      <c r="K233" s="161">
        <v>0.9</v>
      </c>
      <c r="L233" s="161">
        <f>I137*H168</f>
        <v>0.14200743389243323</v>
      </c>
      <c r="M233" s="161">
        <v>0.9</v>
      </c>
    </row>
    <row r="234" spans="2:13" x14ac:dyDescent="0.25">
      <c r="B234" s="236">
        <v>231</v>
      </c>
      <c r="E234" s="239">
        <v>2</v>
      </c>
      <c r="F234" s="161">
        <f>F138*H169</f>
        <v>2.6524713466906734E-2</v>
      </c>
      <c r="G234" s="161">
        <v>0.9</v>
      </c>
      <c r="H234" s="161">
        <f>G138*J169</f>
        <v>1.9206099567076345E-2</v>
      </c>
      <c r="I234" s="161">
        <v>0.9</v>
      </c>
      <c r="J234" s="161">
        <f>H138*H169</f>
        <v>2.7139651519200714E-2</v>
      </c>
      <c r="K234" s="161">
        <v>0.9</v>
      </c>
      <c r="L234" s="161">
        <f>I138*H169</f>
        <v>1.9651365883512812E-2</v>
      </c>
      <c r="M234" s="161">
        <v>0.9</v>
      </c>
    </row>
    <row r="235" spans="2:13" x14ac:dyDescent="0.25">
      <c r="B235" s="236">
        <v>232</v>
      </c>
      <c r="E235" s="239">
        <v>3</v>
      </c>
      <c r="F235" s="161">
        <f>F139*H170</f>
        <v>0.74293621187731562</v>
      </c>
      <c r="G235" s="161">
        <v>0.9</v>
      </c>
      <c r="H235" s="161">
        <f>G139*J170</f>
        <v>0.53794763419799796</v>
      </c>
      <c r="I235" s="161">
        <v>0.9</v>
      </c>
      <c r="J235" s="161">
        <f>H139*H170</f>
        <v>0.19612032526502615</v>
      </c>
      <c r="K235" s="161">
        <v>0.9</v>
      </c>
      <c r="L235" s="161">
        <f>I139*H170</f>
        <v>0.14200743389243323</v>
      </c>
      <c r="M235" s="161">
        <v>0.9</v>
      </c>
    </row>
    <row r="236" spans="2:13" x14ac:dyDescent="0.25">
      <c r="B236" s="236">
        <v>233</v>
      </c>
      <c r="E236" s="239">
        <v>4</v>
      </c>
      <c r="F236" s="161">
        <f>F140*H171</f>
        <v>0.20637047314768539</v>
      </c>
      <c r="G236" s="161">
        <v>0.9</v>
      </c>
      <c r="H236" s="161">
        <f>G140*J171</f>
        <v>0.13436082707723843</v>
      </c>
      <c r="I236" s="161">
        <v>0.9</v>
      </c>
      <c r="J236" s="161">
        <f>H140*H171</f>
        <v>0.20852448265273857</v>
      </c>
      <c r="K236" s="161">
        <v>0.9</v>
      </c>
      <c r="L236" s="161">
        <f>I140*H171</f>
        <v>0.15098907594226429</v>
      </c>
      <c r="M236" s="161">
        <v>0.9</v>
      </c>
    </row>
    <row r="237" spans="2:13" x14ac:dyDescent="0.25">
      <c r="B237" s="236">
        <v>234</v>
      </c>
      <c r="E237" s="239">
        <v>5</v>
      </c>
      <c r="F237" s="161">
        <f>F141*H172</f>
        <v>0.75500562529093229</v>
      </c>
      <c r="G237" s="161">
        <v>0.9</v>
      </c>
      <c r="H237" s="161">
        <f>G141*J172</f>
        <v>0.54668689375785473</v>
      </c>
      <c r="I237" s="161">
        <v>0.9</v>
      </c>
      <c r="J237" s="161">
        <f>H141*H172</f>
        <v>0.19612032526502615</v>
      </c>
      <c r="K237" s="161">
        <v>0.9</v>
      </c>
      <c r="L237" s="161">
        <f>I141*H172</f>
        <v>0.14200743389243323</v>
      </c>
      <c r="M237" s="161">
        <v>0.9</v>
      </c>
    </row>
    <row r="238" spans="2:13" x14ac:dyDescent="0.25">
      <c r="B238" s="236">
        <v>235</v>
      </c>
      <c r="E238" s="239">
        <v>6</v>
      </c>
      <c r="F238" s="161">
        <f>F142*H173</f>
        <v>0.48646693887950154</v>
      </c>
      <c r="G238" s="161">
        <v>0.9</v>
      </c>
      <c r="H238" s="161">
        <f>G142*J173</f>
        <v>0.3522425407485516</v>
      </c>
      <c r="I238" s="161">
        <v>0.9</v>
      </c>
      <c r="J238" s="161">
        <f>H142*H173</f>
        <v>0.19612032526502615</v>
      </c>
      <c r="K238" s="161">
        <v>0.9</v>
      </c>
      <c r="L238" s="161">
        <f>I142*H173</f>
        <v>0.14200743389243323</v>
      </c>
      <c r="M238" s="161">
        <v>0.9</v>
      </c>
    </row>
    <row r="239" spans="2:13" x14ac:dyDescent="0.25">
      <c r="B239" s="236">
        <v>236</v>
      </c>
      <c r="E239" s="239">
        <v>7</v>
      </c>
      <c r="F239" s="161">
        <f>F143*H174</f>
        <v>0.41825971837571552</v>
      </c>
      <c r="G239" s="161">
        <v>0.9</v>
      </c>
      <c r="H239" s="161">
        <f>G143*J174</f>
        <v>0.30285483784938</v>
      </c>
      <c r="I239" s="161">
        <v>0.9</v>
      </c>
      <c r="J239" s="161">
        <f>H143*H174</f>
        <v>0.19612032526502615</v>
      </c>
      <c r="K239" s="161">
        <v>0.9</v>
      </c>
      <c r="L239" s="161">
        <f>I143*H174</f>
        <v>0.14200743389243323</v>
      </c>
      <c r="M239" s="161">
        <v>0.9</v>
      </c>
    </row>
    <row r="240" spans="2:13" x14ac:dyDescent="0.25">
      <c r="B240" s="236">
        <v>237</v>
      </c>
      <c r="E240" s="239">
        <v>8</v>
      </c>
      <c r="F240" s="161">
        <f>F144*H175</f>
        <v>0.70378795508066294</v>
      </c>
      <c r="G240" s="161">
        <v>0.9</v>
      </c>
      <c r="H240" s="161">
        <f>G144*J175</f>
        <v>0.50960103890481723</v>
      </c>
      <c r="I240" s="161">
        <v>0.9</v>
      </c>
      <c r="J240" s="161">
        <f>H144*H175</f>
        <v>0.19612032526502615</v>
      </c>
      <c r="K240" s="161">
        <v>0.9</v>
      </c>
      <c r="L240" s="161">
        <f>I144*H175</f>
        <v>0.14200743389243323</v>
      </c>
      <c r="M240" s="161">
        <v>0.9</v>
      </c>
    </row>
    <row r="241" spans="2:13" x14ac:dyDescent="0.25">
      <c r="B241" s="236">
        <v>238</v>
      </c>
      <c r="E241" s="239">
        <v>9</v>
      </c>
      <c r="F241" s="161">
        <f>F145*H176</f>
        <v>0.72595087224537758</v>
      </c>
      <c r="G241" s="161">
        <v>0.9</v>
      </c>
      <c r="H241" s="161">
        <f>G145*J176</f>
        <v>0.5256488350211993</v>
      </c>
      <c r="I241" s="161">
        <v>0.9</v>
      </c>
      <c r="J241" s="161">
        <f>H145*H176</f>
        <v>0.19612032526502615</v>
      </c>
      <c r="K241" s="161">
        <v>0.9</v>
      </c>
      <c r="L241" s="161">
        <f>I145*H176</f>
        <v>0.14200743389243323</v>
      </c>
      <c r="M241" s="161">
        <v>0.9</v>
      </c>
    </row>
    <row r="242" spans="2:13" x14ac:dyDescent="0.25">
      <c r="B242" s="236">
        <v>239</v>
      </c>
      <c r="E242" s="239">
        <v>10</v>
      </c>
      <c r="F242" s="161">
        <f>F146*H177</f>
        <v>0.10610050324636046</v>
      </c>
      <c r="G242" s="161">
        <v>0.9</v>
      </c>
      <c r="H242" s="161">
        <f>G146*J177</f>
        <v>7.6825592555746766E-2</v>
      </c>
      <c r="I242" s="161">
        <v>0.9</v>
      </c>
      <c r="J242" s="161">
        <f>H146*H177</f>
        <v>0.11414990877872407</v>
      </c>
      <c r="K242" s="161">
        <v>0.9</v>
      </c>
      <c r="L242" s="161">
        <f>I146*H177</f>
        <v>8.2654031920538884E-2</v>
      </c>
      <c r="M242" s="161">
        <v>0.9</v>
      </c>
    </row>
    <row r="243" spans="2:13" x14ac:dyDescent="0.25">
      <c r="B243" s="236">
        <v>240</v>
      </c>
      <c r="E243" s="239">
        <v>11</v>
      </c>
      <c r="F243" s="161">
        <f>F147*H178</f>
        <v>0.90073666715169709</v>
      </c>
      <c r="G243" s="161">
        <v>0.9</v>
      </c>
      <c r="H243" s="161">
        <f>G147*J178</f>
        <v>0.65220829377160672</v>
      </c>
      <c r="I243" s="161">
        <v>0.9</v>
      </c>
      <c r="J243" s="161">
        <f>H147*H178</f>
        <v>0.19612032526502615</v>
      </c>
      <c r="K243" s="161">
        <v>0.9</v>
      </c>
      <c r="L243" s="161">
        <f>I147*H178</f>
        <v>0.14200743389243323</v>
      </c>
      <c r="M243" s="161">
        <v>0.9</v>
      </c>
    </row>
    <row r="244" spans="2:13" x14ac:dyDescent="0.25">
      <c r="B244" s="236">
        <v>241</v>
      </c>
      <c r="E244" s="239">
        <v>12</v>
      </c>
      <c r="F244" s="161">
        <f>F148*H179</f>
        <v>0.14925402553026518</v>
      </c>
      <c r="G244" s="161">
        <v>0.9</v>
      </c>
      <c r="H244" s="161">
        <f>G148*J179</f>
        <v>0.10807233332407885</v>
      </c>
      <c r="I244" s="161">
        <v>0.9</v>
      </c>
      <c r="J244" s="161">
        <f>H148*H179</f>
        <v>0.14892865924287729</v>
      </c>
      <c r="K244" s="161">
        <v>0.9</v>
      </c>
      <c r="L244" s="161">
        <f>I148*H179</f>
        <v>0.10783674105956154</v>
      </c>
      <c r="M244" s="161">
        <v>0.9</v>
      </c>
    </row>
    <row r="245" spans="2:13" x14ac:dyDescent="0.25">
      <c r="B245" s="236">
        <v>242</v>
      </c>
      <c r="E245" s="239">
        <v>13</v>
      </c>
      <c r="F245" s="161">
        <f>F149*H180</f>
        <v>9.4025819983877268E-2</v>
      </c>
      <c r="G245" s="161">
        <v>0.9</v>
      </c>
      <c r="H245" s="161">
        <f>G149*J180</f>
        <v>6.808251718682716E-2</v>
      </c>
      <c r="I245" s="161">
        <v>0.9</v>
      </c>
      <c r="J245" s="161">
        <f>H149*H180</f>
        <v>9.6882377200680089E-2</v>
      </c>
      <c r="K245" s="161">
        <v>0.9</v>
      </c>
      <c r="L245" s="161">
        <f>I149*H180</f>
        <v>7.01509022946782E-2</v>
      </c>
      <c r="M245" s="161">
        <v>0.9</v>
      </c>
    </row>
    <row r="246" spans="2:13" x14ac:dyDescent="0.25">
      <c r="B246" s="236">
        <v>243</v>
      </c>
      <c r="E246" s="239">
        <v>14</v>
      </c>
      <c r="F246" s="161">
        <f>F150*H181</f>
        <v>0.48164067563368024</v>
      </c>
      <c r="G246" s="161">
        <v>0.9</v>
      </c>
      <c r="H246" s="161">
        <f>G150*J181</f>
        <v>0.34874792458420306</v>
      </c>
      <c r="I246" s="161">
        <v>0.9</v>
      </c>
      <c r="J246" s="161">
        <f>H150*H181</f>
        <v>0.19612032526502615</v>
      </c>
      <c r="K246" s="161">
        <v>0.9</v>
      </c>
      <c r="L246" s="161">
        <f>I150*H181</f>
        <v>0.14200743389243323</v>
      </c>
      <c r="M246" s="161">
        <v>0.9</v>
      </c>
    </row>
    <row r="247" spans="2:13" x14ac:dyDescent="0.25">
      <c r="B247" s="236">
        <v>244</v>
      </c>
      <c r="E247" s="239">
        <v>15</v>
      </c>
      <c r="F247" s="161">
        <f>F151*H182</f>
        <v>0.75390470928125053</v>
      </c>
      <c r="G247" s="161">
        <v>0.9</v>
      </c>
      <c r="H247" s="161">
        <f>G151*J182</f>
        <v>0.54588973896395598</v>
      </c>
      <c r="I247" s="161">
        <v>0.9</v>
      </c>
      <c r="J247" s="161">
        <f>H151*H182</f>
        <v>0.19612032526502615</v>
      </c>
      <c r="K247" s="161">
        <v>0.9</v>
      </c>
      <c r="L247" s="161">
        <f>I151*H182</f>
        <v>0.14200743389243323</v>
      </c>
      <c r="M247" s="161">
        <v>0.9</v>
      </c>
    </row>
    <row r="248" spans="2:13" x14ac:dyDescent="0.25">
      <c r="B248" s="236">
        <v>245</v>
      </c>
      <c r="E248" s="239">
        <v>16</v>
      </c>
      <c r="F248" s="161">
        <f>F152*H183</f>
        <v>0.68060310691609949</v>
      </c>
      <c r="G248" s="161">
        <v>0.9</v>
      </c>
      <c r="H248" s="161">
        <f>G152*J183</f>
        <v>0.49281327971368727</v>
      </c>
      <c r="I248" s="161">
        <v>0.9</v>
      </c>
      <c r="J248" s="161">
        <f>H152*H183</f>
        <v>0.19612032526502615</v>
      </c>
      <c r="K248" s="161">
        <v>0.9</v>
      </c>
      <c r="L248" s="161">
        <f>I152*H183</f>
        <v>0.14200743389243323</v>
      </c>
      <c r="M248" s="161">
        <v>0.9</v>
      </c>
    </row>
    <row r="249" spans="2:13" x14ac:dyDescent="0.25">
      <c r="B249" s="236">
        <v>246</v>
      </c>
      <c r="E249" s="239">
        <v>17</v>
      </c>
      <c r="F249" s="161">
        <f>F153*H184</f>
        <v>0.54074763037937179</v>
      </c>
      <c r="G249" s="161">
        <v>0.9</v>
      </c>
      <c r="H249" s="161">
        <f>G153*J184</f>
        <v>0.39154627787720908</v>
      </c>
      <c r="I249" s="161">
        <v>0.9</v>
      </c>
      <c r="J249" s="161">
        <f>H153*H184</f>
        <v>0.19612032526502615</v>
      </c>
      <c r="K249" s="161">
        <v>0.9</v>
      </c>
      <c r="L249" s="161">
        <f>I153*H184</f>
        <v>0.14200743389243323</v>
      </c>
      <c r="M249" s="161">
        <v>0.9</v>
      </c>
    </row>
    <row r="250" spans="2:13" x14ac:dyDescent="0.25">
      <c r="B250" s="236">
        <v>247</v>
      </c>
      <c r="E250" s="239">
        <v>18</v>
      </c>
      <c r="F250" s="161">
        <f>F154*H185</f>
        <v>0.49000312842855953</v>
      </c>
      <c r="G250" s="161">
        <v>0.9</v>
      </c>
      <c r="H250" s="161">
        <f>G154*J185</f>
        <v>0.35480303621448744</v>
      </c>
      <c r="I250" s="161">
        <v>0.9</v>
      </c>
      <c r="J250" s="161">
        <f>H154*H185</f>
        <v>0.19612032526502615</v>
      </c>
      <c r="K250" s="161">
        <v>0.9</v>
      </c>
      <c r="L250" s="161">
        <f>I154*H185</f>
        <v>0.14200743389243323</v>
      </c>
      <c r="M250" s="161">
        <v>0.9</v>
      </c>
    </row>
    <row r="251" spans="2:13" x14ac:dyDescent="0.25">
      <c r="B251" s="236">
        <v>248</v>
      </c>
      <c r="E251" s="239">
        <v>19</v>
      </c>
      <c r="F251" s="161">
        <f>F155*H186</f>
        <v>0.15301176343331954</v>
      </c>
      <c r="G251" s="161">
        <v>0.9</v>
      </c>
      <c r="H251" s="161">
        <f>G155*J186</f>
        <v>0.11079324823247487</v>
      </c>
      <c r="I251" s="161">
        <v>0.9</v>
      </c>
      <c r="J251" s="161">
        <f>H155*H186</f>
        <v>0.15326241394851828</v>
      </c>
      <c r="K251" s="161">
        <v>0.9</v>
      </c>
      <c r="L251" s="161">
        <f>I155*H186</f>
        <v>0.11097474006112183</v>
      </c>
      <c r="M251" s="161">
        <v>0.9</v>
      </c>
    </row>
    <row r="252" spans="2:13" x14ac:dyDescent="0.25">
      <c r="B252" s="236">
        <v>249</v>
      </c>
      <c r="E252" s="239">
        <v>20</v>
      </c>
      <c r="F252" s="161">
        <f>F156*H187</f>
        <v>0.48793986984395715</v>
      </c>
      <c r="G252" s="161">
        <v>0.9</v>
      </c>
      <c r="H252" s="161">
        <f>G156*J187</f>
        <v>0.35330906532360717</v>
      </c>
      <c r="I252" s="161">
        <v>0.9</v>
      </c>
      <c r="J252" s="161">
        <f>H156*H187</f>
        <v>0.19612032526502615</v>
      </c>
      <c r="K252" s="161">
        <v>0.9</v>
      </c>
      <c r="L252" s="161">
        <f>I156*H187</f>
        <v>0.14200743389243323</v>
      </c>
      <c r="M252" s="161">
        <v>0.9</v>
      </c>
    </row>
    <row r="253" spans="2:13" x14ac:dyDescent="0.25">
      <c r="B253" s="236">
        <v>250</v>
      </c>
      <c r="E253" s="239">
        <v>21</v>
      </c>
      <c r="F253" s="161">
        <f>F157*H188</f>
        <v>0.98261712020798175</v>
      </c>
      <c r="G253" s="161">
        <v>0.9</v>
      </c>
      <c r="H253" s="161">
        <f>G157*J188</f>
        <v>0.71149655473466544</v>
      </c>
      <c r="I253" s="161">
        <v>0.9</v>
      </c>
      <c r="J253" s="161">
        <f>H157*H188</f>
        <v>0.19612032526502615</v>
      </c>
      <c r="K253" s="161">
        <v>0.9</v>
      </c>
      <c r="L253" s="161">
        <f>I157*H188</f>
        <v>0.14200743389243323</v>
      </c>
      <c r="M253" s="161">
        <v>0.9</v>
      </c>
    </row>
    <row r="254" spans="2:13" x14ac:dyDescent="0.25">
      <c r="B254" s="236">
        <v>251</v>
      </c>
      <c r="E254" s="239">
        <v>22</v>
      </c>
      <c r="F254" s="161">
        <f>F158*H189</f>
        <v>0.78162608039869808</v>
      </c>
      <c r="G254" s="161">
        <v>0.9</v>
      </c>
      <c r="H254" s="161">
        <f>G158*J189</f>
        <v>0.56596231823919829</v>
      </c>
      <c r="I254" s="161">
        <v>0.9</v>
      </c>
      <c r="J254" s="161">
        <f>H158*H189</f>
        <v>0.19612032526502615</v>
      </c>
      <c r="K254" s="161">
        <v>0.9</v>
      </c>
      <c r="L254" s="161">
        <f>I158*H189</f>
        <v>0.14200743389243323</v>
      </c>
      <c r="M254" s="161">
        <v>0.9</v>
      </c>
    </row>
    <row r="255" spans="2:13" x14ac:dyDescent="0.25">
      <c r="B255" s="236">
        <v>252</v>
      </c>
      <c r="E255" s="239">
        <v>23</v>
      </c>
      <c r="F255" s="161">
        <f>F159*H190</f>
        <v>0.78131027067380709</v>
      </c>
      <c r="G255" s="161">
        <v>0.9</v>
      </c>
      <c r="H255" s="161">
        <f>G159*J190</f>
        <v>0.56573364572109264</v>
      </c>
      <c r="I255" s="161">
        <v>0.9</v>
      </c>
      <c r="J255" s="161">
        <f>H159*H190</f>
        <v>0.19612032526502615</v>
      </c>
      <c r="K255" s="161">
        <v>0.9</v>
      </c>
      <c r="L255" s="161">
        <f>I159*H190</f>
        <v>0.14200743389243323</v>
      </c>
      <c r="M255" s="161">
        <v>0.9</v>
      </c>
    </row>
    <row r="256" spans="2:13" x14ac:dyDescent="0.25">
      <c r="B256" s="236">
        <v>253</v>
      </c>
      <c r="E256" s="239">
        <v>24</v>
      </c>
      <c r="F256" s="161">
        <f>F160*H191</f>
        <v>0.88979370094312926</v>
      </c>
      <c r="G256" s="161">
        <v>0.9</v>
      </c>
      <c r="H256" s="161">
        <f>G160*J191</f>
        <v>0.64428467571544479</v>
      </c>
      <c r="I256" s="161">
        <v>0.9</v>
      </c>
      <c r="J256" s="161">
        <f>H160*H191</f>
        <v>0.19612032526502615</v>
      </c>
      <c r="K256" s="161">
        <v>0.9</v>
      </c>
      <c r="L256" s="161">
        <f>I160*H191</f>
        <v>0.14200743389243323</v>
      </c>
      <c r="M256" s="161">
        <v>0.9</v>
      </c>
    </row>
    <row r="257" spans="2:20" x14ac:dyDescent="0.25">
      <c r="B257" s="236">
        <v>254</v>
      </c>
      <c r="E257" s="239">
        <v>25</v>
      </c>
      <c r="F257" s="161">
        <f>F161*H192</f>
        <v>0.64955295050532702</v>
      </c>
      <c r="G257" s="161">
        <v>0.9</v>
      </c>
      <c r="H257" s="161">
        <f>G161*J192</f>
        <v>0.47033038291095186</v>
      </c>
      <c r="I257" s="161">
        <v>0.9</v>
      </c>
      <c r="J257" s="161">
        <f>H161*H192</f>
        <v>0.19612032526502615</v>
      </c>
      <c r="K257" s="161">
        <v>0.9</v>
      </c>
      <c r="L257" s="161">
        <f>I161*H192</f>
        <v>0.14200743389243323</v>
      </c>
      <c r="M257" s="161">
        <v>0.9</v>
      </c>
    </row>
    <row r="258" spans="2:20" x14ac:dyDescent="0.25">
      <c r="B258" s="236">
        <v>255</v>
      </c>
      <c r="E258" s="239">
        <v>26</v>
      </c>
      <c r="F258" s="161">
        <f>F162*H193</f>
        <v>0.90137646366628155</v>
      </c>
      <c r="G258" s="161">
        <v>0.9</v>
      </c>
      <c r="H258" s="161">
        <f>G162*J193</f>
        <v>0.65267155968311641</v>
      </c>
      <c r="I258" s="161">
        <v>0.9</v>
      </c>
      <c r="J258" s="161">
        <f>H162*H193</f>
        <v>0.19612032526502615</v>
      </c>
      <c r="K258" s="161">
        <v>0.9</v>
      </c>
      <c r="L258" s="161">
        <f>I162*H193</f>
        <v>0.14200743389243323</v>
      </c>
      <c r="M258" s="161">
        <v>0.9</v>
      </c>
    </row>
    <row r="259" spans="2:20" x14ac:dyDescent="0.25">
      <c r="B259" s="236">
        <v>256</v>
      </c>
      <c r="E259" s="239">
        <v>27</v>
      </c>
      <c r="F259" s="161">
        <f>F163*H194</f>
        <v>0.5169950583102505</v>
      </c>
      <c r="G259" s="161">
        <v>0.9</v>
      </c>
      <c r="H259" s="161">
        <f>G163*H194</f>
        <v>0.37434743934110698</v>
      </c>
      <c r="I259" s="161">
        <v>0.9</v>
      </c>
      <c r="J259" s="161">
        <f>H163*J194</f>
        <v>0.17171165660304474</v>
      </c>
      <c r="K259" s="161">
        <v>0.9</v>
      </c>
      <c r="L259" s="161">
        <f>I163*J194</f>
        <v>0.12433352683188463</v>
      </c>
      <c r="M259" s="161">
        <v>0.9</v>
      </c>
    </row>
    <row r="260" spans="2:20" x14ac:dyDescent="0.25">
      <c r="B260" s="236">
        <v>257</v>
      </c>
      <c r="F260" s="237"/>
      <c r="G260" s="237"/>
      <c r="H260" s="237"/>
      <c r="I260" s="237"/>
      <c r="J260" s="237"/>
      <c r="K260" s="237"/>
      <c r="L260" s="238"/>
      <c r="M260" s="237"/>
    </row>
    <row r="261" spans="2:20" x14ac:dyDescent="0.25">
      <c r="B261" s="236">
        <v>258</v>
      </c>
      <c r="F261" s="237"/>
      <c r="G261" s="237"/>
      <c r="H261" s="237"/>
      <c r="I261" s="237"/>
      <c r="J261" s="237"/>
      <c r="K261" s="237"/>
      <c r="L261" s="238"/>
      <c r="M261" s="237"/>
    </row>
    <row r="262" spans="2:20" x14ac:dyDescent="0.25">
      <c r="B262" s="236">
        <v>259</v>
      </c>
      <c r="F262" s="237"/>
      <c r="G262" s="237"/>
      <c r="H262" s="237"/>
      <c r="I262" s="237"/>
      <c r="J262" s="237"/>
      <c r="K262" s="237"/>
      <c r="L262" s="238"/>
      <c r="M262" s="237"/>
      <c r="O262" s="237"/>
      <c r="P262" s="237"/>
      <c r="R262" s="237"/>
      <c r="S262" s="238"/>
      <c r="T262" s="237"/>
    </row>
    <row r="263" spans="2:20" x14ac:dyDescent="0.25">
      <c r="B263" s="236">
        <v>260</v>
      </c>
      <c r="F263" s="237"/>
      <c r="G263" s="237"/>
      <c r="H263" s="237"/>
      <c r="I263" s="237"/>
      <c r="J263" s="237"/>
      <c r="K263" s="237"/>
      <c r="L263" s="238"/>
      <c r="M263" s="237"/>
      <c r="O263" s="237"/>
      <c r="P263" s="237"/>
      <c r="R263" s="237"/>
      <c r="S263" s="238"/>
      <c r="T263" s="237"/>
    </row>
    <row r="264" spans="2:20" x14ac:dyDescent="0.25">
      <c r="B264" s="236">
        <v>261</v>
      </c>
      <c r="O264" s="237"/>
      <c r="P264" s="237"/>
      <c r="Q264" s="237"/>
      <c r="R264" s="237"/>
      <c r="S264" s="238"/>
      <c r="T264" s="237"/>
    </row>
    <row r="265" spans="2:20" x14ac:dyDescent="0.25">
      <c r="B265" s="236">
        <v>262</v>
      </c>
      <c r="O265" s="237"/>
      <c r="P265" s="237"/>
      <c r="Q265" s="237"/>
      <c r="R265" s="237"/>
      <c r="S265" s="238"/>
      <c r="T265" s="237"/>
    </row>
    <row r="266" spans="2:20" x14ac:dyDescent="0.25">
      <c r="B266" s="236">
        <v>263</v>
      </c>
      <c r="M266" s="238"/>
      <c r="N266" s="237"/>
      <c r="O266" s="237"/>
      <c r="P266" s="237"/>
      <c r="Q266" s="237"/>
      <c r="R266" s="237"/>
      <c r="S266" s="238"/>
      <c r="T266" s="237"/>
    </row>
    <row r="267" spans="2:20" x14ac:dyDescent="0.25">
      <c r="B267" s="236">
        <v>264</v>
      </c>
      <c r="M267" s="238"/>
      <c r="N267" s="237"/>
      <c r="O267" s="237"/>
      <c r="P267" s="237"/>
      <c r="Q267" s="237"/>
      <c r="R267" s="237"/>
      <c r="S267" s="238"/>
      <c r="T267" s="237"/>
    </row>
    <row r="268" spans="2:20" x14ac:dyDescent="0.25">
      <c r="B268" s="236">
        <v>265</v>
      </c>
      <c r="M268" s="238"/>
      <c r="N268" s="237"/>
      <c r="O268" s="237"/>
      <c r="P268" s="237"/>
      <c r="Q268" s="237"/>
      <c r="R268" s="237"/>
      <c r="S268" s="238"/>
      <c r="T268" s="237"/>
    </row>
    <row r="269" spans="2:20" x14ac:dyDescent="0.25">
      <c r="B269" s="236">
        <v>266</v>
      </c>
      <c r="M269" s="238"/>
      <c r="N269" s="237"/>
      <c r="O269" s="237"/>
      <c r="P269" s="237"/>
      <c r="Q269" s="237"/>
      <c r="R269" s="237"/>
      <c r="S269" s="238"/>
      <c r="T269" s="237"/>
    </row>
    <row r="270" spans="2:20" x14ac:dyDescent="0.25">
      <c r="B270" s="236">
        <v>267</v>
      </c>
      <c r="M270" s="238"/>
      <c r="N270" s="237"/>
      <c r="O270" s="237"/>
      <c r="P270" s="237"/>
      <c r="Q270" s="237"/>
      <c r="R270" s="237"/>
      <c r="S270" s="238"/>
      <c r="T270" s="237"/>
    </row>
    <row r="271" spans="2:20" x14ac:dyDescent="0.25">
      <c r="B271" s="236">
        <v>268</v>
      </c>
      <c r="M271" s="238"/>
      <c r="N271" s="237"/>
      <c r="O271" s="237"/>
      <c r="P271" s="237"/>
      <c r="Q271" s="237"/>
      <c r="R271" s="237"/>
      <c r="S271" s="238"/>
      <c r="T271" s="237"/>
    </row>
    <row r="272" spans="2:20" x14ac:dyDescent="0.25">
      <c r="B272" s="236">
        <v>269</v>
      </c>
      <c r="M272" s="238"/>
      <c r="N272" s="237"/>
      <c r="O272" s="237"/>
      <c r="P272" s="237"/>
      <c r="Q272" s="237"/>
      <c r="R272" s="237"/>
      <c r="S272" s="238"/>
      <c r="T272" s="237"/>
    </row>
    <row r="273" spans="2:20" x14ac:dyDescent="0.25">
      <c r="B273" s="236">
        <v>270</v>
      </c>
      <c r="M273" s="238"/>
      <c r="N273" s="237"/>
      <c r="O273" s="237"/>
      <c r="P273" s="237"/>
      <c r="Q273" s="237"/>
      <c r="R273" s="237"/>
      <c r="S273" s="238"/>
      <c r="T273" s="237"/>
    </row>
    <row r="274" spans="2:20" x14ac:dyDescent="0.25">
      <c r="B274" s="236">
        <v>271</v>
      </c>
      <c r="M274" s="238"/>
      <c r="N274" s="237"/>
      <c r="O274" s="237"/>
      <c r="P274" s="237"/>
      <c r="Q274" s="237"/>
      <c r="R274" s="237"/>
      <c r="S274" s="238"/>
      <c r="T274" s="237"/>
    </row>
    <row r="275" spans="2:20" x14ac:dyDescent="0.25">
      <c r="B275" s="236">
        <v>272</v>
      </c>
      <c r="M275" s="238"/>
      <c r="N275" s="237"/>
      <c r="O275" s="237"/>
      <c r="P275" s="237"/>
      <c r="Q275" s="237"/>
      <c r="R275" s="237"/>
      <c r="S275" s="238"/>
      <c r="T275" s="237"/>
    </row>
    <row r="276" spans="2:20" x14ac:dyDescent="0.25">
      <c r="B276" s="236">
        <v>273</v>
      </c>
      <c r="M276" s="238"/>
      <c r="N276" s="237"/>
      <c r="O276" s="237"/>
      <c r="P276" s="237"/>
      <c r="Q276" s="237"/>
      <c r="R276" s="237"/>
      <c r="S276" s="238"/>
      <c r="T276" s="237"/>
    </row>
    <row r="277" spans="2:20" x14ac:dyDescent="0.25">
      <c r="B277" s="236">
        <v>274</v>
      </c>
      <c r="M277" s="238"/>
      <c r="N277" s="237"/>
      <c r="O277" s="237"/>
      <c r="P277" s="237"/>
      <c r="Q277" s="237"/>
      <c r="R277" s="237"/>
      <c r="S277" s="238"/>
      <c r="T277" s="237"/>
    </row>
    <row r="278" spans="2:20" x14ac:dyDescent="0.25">
      <c r="B278" s="236">
        <v>275</v>
      </c>
      <c r="M278" s="238"/>
      <c r="N278" s="237"/>
      <c r="O278" s="237"/>
      <c r="P278" s="237"/>
      <c r="Q278" s="237"/>
      <c r="R278" s="237"/>
      <c r="S278" s="238"/>
      <c r="T278" s="237"/>
    </row>
    <row r="279" spans="2:20" x14ac:dyDescent="0.25">
      <c r="B279" s="236">
        <v>276</v>
      </c>
      <c r="M279" s="238"/>
      <c r="N279" s="237"/>
      <c r="O279" s="237"/>
      <c r="P279" s="237"/>
      <c r="Q279" s="237"/>
      <c r="R279" s="237"/>
      <c r="S279" s="238"/>
      <c r="T279" s="237"/>
    </row>
    <row r="280" spans="2:20" x14ac:dyDescent="0.25">
      <c r="B280" s="236">
        <v>277</v>
      </c>
      <c r="M280" s="238"/>
      <c r="N280" s="237"/>
      <c r="O280" s="237"/>
      <c r="P280" s="237"/>
      <c r="Q280" s="237"/>
      <c r="R280" s="237"/>
      <c r="S280" s="238"/>
      <c r="T280" s="237"/>
    </row>
    <row r="281" spans="2:20" x14ac:dyDescent="0.25">
      <c r="B281" s="236">
        <v>278</v>
      </c>
      <c r="M281" s="238"/>
      <c r="N281" s="237"/>
      <c r="O281" s="237"/>
      <c r="P281" s="237"/>
      <c r="Q281" s="237"/>
      <c r="R281" s="237"/>
      <c r="S281" s="238"/>
      <c r="T281" s="237"/>
    </row>
    <row r="282" spans="2:20" x14ac:dyDescent="0.25">
      <c r="B282" s="236">
        <v>279</v>
      </c>
      <c r="M282" s="238"/>
      <c r="N282" s="237"/>
      <c r="O282" s="237"/>
      <c r="P282" s="237"/>
      <c r="Q282" s="237"/>
      <c r="R282" s="237"/>
      <c r="S282" s="238"/>
      <c r="T282" s="237"/>
    </row>
    <row r="283" spans="2:20" x14ac:dyDescent="0.25">
      <c r="B283" s="236">
        <v>280</v>
      </c>
      <c r="M283" s="238"/>
      <c r="N283" s="237"/>
      <c r="O283" s="237"/>
      <c r="P283" s="237"/>
      <c r="Q283" s="237"/>
      <c r="R283" s="237"/>
      <c r="S283" s="238"/>
      <c r="T283" s="237"/>
    </row>
    <row r="284" spans="2:20" x14ac:dyDescent="0.25">
      <c r="B284" s="236">
        <v>281</v>
      </c>
      <c r="M284" s="238"/>
      <c r="N284" s="237"/>
      <c r="O284" s="237"/>
      <c r="P284" s="237"/>
      <c r="Q284" s="237"/>
      <c r="R284" s="237"/>
      <c r="S284" s="238"/>
      <c r="T284" s="237"/>
    </row>
    <row r="285" spans="2:20" x14ac:dyDescent="0.25">
      <c r="B285" s="236">
        <v>282</v>
      </c>
      <c r="M285" s="238"/>
      <c r="N285" s="237"/>
      <c r="O285" s="237"/>
      <c r="P285" s="237"/>
      <c r="Q285" s="237"/>
      <c r="R285" s="237"/>
      <c r="S285" s="238"/>
      <c r="T285" s="237"/>
    </row>
    <row r="286" spans="2:20" x14ac:dyDescent="0.25">
      <c r="B286" s="236">
        <v>283</v>
      </c>
      <c r="M286" s="238"/>
      <c r="N286" s="237"/>
      <c r="O286" s="237"/>
      <c r="P286" s="237"/>
      <c r="Q286" s="237"/>
      <c r="R286" s="237"/>
      <c r="S286" s="238"/>
      <c r="T286" s="237"/>
    </row>
    <row r="287" spans="2:20" x14ac:dyDescent="0.25">
      <c r="B287" s="236">
        <v>284</v>
      </c>
      <c r="M287" s="238"/>
      <c r="N287" s="237"/>
      <c r="O287" s="237"/>
      <c r="P287" s="237"/>
      <c r="Q287" s="237"/>
      <c r="R287" s="237"/>
      <c r="S287" s="238"/>
      <c r="T287" s="237"/>
    </row>
    <row r="288" spans="2:20" x14ac:dyDescent="0.25">
      <c r="B288" s="236">
        <v>285</v>
      </c>
      <c r="M288" s="238"/>
      <c r="N288" s="237"/>
      <c r="O288" s="237"/>
      <c r="P288" s="237"/>
      <c r="Q288" s="237"/>
      <c r="R288" s="237"/>
      <c r="S288" s="238"/>
      <c r="T288" s="237"/>
    </row>
    <row r="289" spans="2:20" x14ac:dyDescent="0.25">
      <c r="B289" s="236">
        <v>286</v>
      </c>
      <c r="M289" s="238"/>
      <c r="N289" s="237"/>
      <c r="O289" s="237"/>
      <c r="P289" s="237"/>
      <c r="Q289" s="237"/>
      <c r="R289" s="237"/>
      <c r="S289" s="238"/>
      <c r="T289" s="237"/>
    </row>
    <row r="290" spans="2:20" x14ac:dyDescent="0.25">
      <c r="B290" s="236">
        <v>287</v>
      </c>
      <c r="M290" s="238"/>
      <c r="N290" s="237"/>
      <c r="O290" s="237"/>
      <c r="P290" s="237"/>
      <c r="Q290" s="237"/>
      <c r="R290" s="237"/>
      <c r="S290" s="238"/>
      <c r="T290" s="237"/>
    </row>
    <row r="291" spans="2:20" x14ac:dyDescent="0.25">
      <c r="B291" s="236">
        <v>288</v>
      </c>
      <c r="M291" s="238"/>
      <c r="N291" s="237"/>
      <c r="O291" s="237"/>
      <c r="P291" s="237"/>
      <c r="Q291" s="237"/>
      <c r="R291" s="237"/>
      <c r="S291" s="238"/>
      <c r="T291" s="237"/>
    </row>
    <row r="292" spans="2:20" x14ac:dyDescent="0.25">
      <c r="B292" s="236">
        <v>289</v>
      </c>
      <c r="M292" s="238"/>
      <c r="N292" s="237"/>
      <c r="O292" s="237"/>
      <c r="P292" s="237"/>
      <c r="Q292" s="237"/>
      <c r="R292" s="237"/>
      <c r="S292" s="238"/>
      <c r="T292" s="237"/>
    </row>
    <row r="293" spans="2:20" x14ac:dyDescent="0.25">
      <c r="B293" s="236">
        <v>290</v>
      </c>
      <c r="M293" s="238"/>
      <c r="N293" s="237"/>
      <c r="O293" s="237"/>
      <c r="P293" s="237"/>
      <c r="Q293" s="237"/>
      <c r="R293" s="237"/>
      <c r="S293" s="238"/>
      <c r="T293" s="237"/>
    </row>
    <row r="294" spans="2:20" x14ac:dyDescent="0.25">
      <c r="B294" s="236">
        <v>291</v>
      </c>
      <c r="M294" s="238"/>
      <c r="N294" s="237"/>
      <c r="O294" s="237"/>
      <c r="P294" s="237"/>
      <c r="Q294" s="237"/>
      <c r="R294" s="237"/>
      <c r="S294" s="238"/>
      <c r="T294" s="237"/>
    </row>
    <row r="295" spans="2:20" x14ac:dyDescent="0.25">
      <c r="B295" s="236">
        <v>292</v>
      </c>
      <c r="M295" s="238"/>
      <c r="N295" s="237"/>
      <c r="O295" s="237"/>
      <c r="P295" s="237"/>
      <c r="Q295" s="237"/>
      <c r="R295" s="237"/>
      <c r="S295" s="238"/>
      <c r="T295" s="237"/>
    </row>
    <row r="296" spans="2:20" x14ac:dyDescent="0.25">
      <c r="B296" s="236">
        <v>293</v>
      </c>
      <c r="M296" s="238"/>
      <c r="N296" s="237"/>
      <c r="O296" s="237"/>
      <c r="P296" s="237"/>
      <c r="Q296" s="237"/>
      <c r="R296" s="237"/>
      <c r="S296" s="238"/>
      <c r="T296" s="237"/>
    </row>
    <row r="297" spans="2:20" x14ac:dyDescent="0.25">
      <c r="B297" s="236">
        <v>294</v>
      </c>
      <c r="M297" s="238"/>
      <c r="N297" s="237"/>
      <c r="O297" s="237"/>
      <c r="P297" s="237"/>
      <c r="Q297" s="237"/>
      <c r="R297" s="237"/>
      <c r="S297" s="238"/>
      <c r="T297" s="237"/>
    </row>
    <row r="298" spans="2:20" x14ac:dyDescent="0.25">
      <c r="B298" s="236">
        <v>295</v>
      </c>
      <c r="M298" s="238"/>
      <c r="N298" s="237"/>
      <c r="O298" s="237"/>
      <c r="P298" s="237"/>
      <c r="Q298" s="237"/>
      <c r="R298" s="237"/>
      <c r="S298" s="238"/>
      <c r="T298" s="237"/>
    </row>
    <row r="299" spans="2:20" x14ac:dyDescent="0.25">
      <c r="B299" s="236">
        <v>296</v>
      </c>
      <c r="M299" s="238"/>
      <c r="N299" s="237"/>
      <c r="O299" s="237"/>
      <c r="P299" s="237"/>
      <c r="Q299" s="237"/>
      <c r="R299" s="237"/>
      <c r="S299" s="238"/>
      <c r="T299" s="237"/>
    </row>
    <row r="300" spans="2:20" x14ac:dyDescent="0.25">
      <c r="B300" s="236">
        <v>297</v>
      </c>
      <c r="E300" s="49"/>
      <c r="F300" s="234"/>
      <c r="G300" s="237"/>
      <c r="H300" s="237"/>
      <c r="I300" s="237"/>
      <c r="J300" s="237"/>
      <c r="K300" s="237"/>
      <c r="L300" s="237"/>
      <c r="M300" s="238"/>
      <c r="N300" s="237"/>
      <c r="O300" s="237"/>
      <c r="P300" s="237"/>
      <c r="Q300" s="237"/>
      <c r="R300" s="237"/>
      <c r="S300" s="238"/>
      <c r="T300" s="237"/>
    </row>
    <row r="301" spans="2:20" x14ac:dyDescent="0.25">
      <c r="B301" s="236">
        <v>298</v>
      </c>
      <c r="E301" s="49"/>
      <c r="F301" s="234"/>
      <c r="G301" s="237"/>
      <c r="H301" s="237"/>
      <c r="I301" s="237"/>
      <c r="J301" s="237"/>
      <c r="K301" s="237"/>
      <c r="L301" s="237"/>
      <c r="M301" s="238"/>
      <c r="N301" s="237"/>
      <c r="O301" s="237"/>
      <c r="P301" s="237"/>
      <c r="Q301" s="237"/>
      <c r="R301" s="237"/>
      <c r="S301" s="238"/>
      <c r="T301" s="237"/>
    </row>
    <row r="302" spans="2:20" x14ac:dyDescent="0.25">
      <c r="B302" s="236">
        <v>299</v>
      </c>
      <c r="E302" s="49"/>
      <c r="F302" s="234"/>
      <c r="G302" s="237"/>
      <c r="H302" s="237"/>
      <c r="I302" s="237"/>
      <c r="J302" s="237"/>
      <c r="K302" s="237"/>
      <c r="L302" s="237"/>
      <c r="M302" s="238"/>
      <c r="N302" s="237"/>
      <c r="O302" s="237"/>
      <c r="P302" s="237"/>
      <c r="Q302" s="237"/>
      <c r="R302" s="237"/>
      <c r="S302" s="238"/>
      <c r="T302" s="237"/>
    </row>
    <row r="303" spans="2:20" x14ac:dyDescent="0.25">
      <c r="B303" s="236">
        <v>300</v>
      </c>
      <c r="E303" s="49"/>
      <c r="F303" s="234"/>
      <c r="G303" s="237"/>
      <c r="H303" s="237"/>
      <c r="I303" s="237"/>
      <c r="J303" s="237"/>
      <c r="K303" s="237"/>
      <c r="L303" s="237"/>
      <c r="M303" s="238"/>
      <c r="N303" s="237"/>
      <c r="O303" s="237"/>
      <c r="P303" s="237"/>
      <c r="Q303" s="237"/>
      <c r="R303" s="237"/>
      <c r="S303" s="238"/>
      <c r="T303" s="237"/>
    </row>
    <row r="304" spans="2:20" x14ac:dyDescent="0.25">
      <c r="B304" s="236">
        <v>301</v>
      </c>
      <c r="E304" s="49"/>
      <c r="F304" s="234"/>
      <c r="G304" s="237"/>
      <c r="H304" s="237"/>
      <c r="I304" s="237"/>
      <c r="J304" s="237"/>
      <c r="K304" s="237"/>
      <c r="L304" s="237"/>
      <c r="M304" s="238"/>
      <c r="N304" s="237"/>
      <c r="O304" s="237"/>
      <c r="P304" s="237"/>
      <c r="Q304" s="237"/>
      <c r="R304" s="237"/>
      <c r="S304" s="238"/>
      <c r="T304" s="237"/>
    </row>
    <row r="305" spans="2:20" x14ac:dyDescent="0.25">
      <c r="B305" s="236">
        <v>302</v>
      </c>
      <c r="E305" s="49"/>
      <c r="F305" s="234"/>
      <c r="G305" s="237"/>
      <c r="H305" s="237"/>
      <c r="I305" s="237"/>
      <c r="J305" s="237"/>
      <c r="K305" s="237"/>
      <c r="L305" s="237"/>
      <c r="M305" s="238"/>
      <c r="N305" s="237"/>
      <c r="O305" s="237"/>
      <c r="P305" s="237"/>
      <c r="Q305" s="237"/>
      <c r="R305" s="237"/>
      <c r="S305" s="238"/>
      <c r="T305" s="237"/>
    </row>
    <row r="306" spans="2:20" x14ac:dyDescent="0.25">
      <c r="B306" s="236">
        <v>303</v>
      </c>
      <c r="E306" s="49"/>
      <c r="F306" s="234"/>
      <c r="G306" s="237"/>
      <c r="H306" s="237"/>
      <c r="I306" s="237"/>
      <c r="J306" s="237"/>
      <c r="K306" s="237"/>
      <c r="L306" s="237"/>
      <c r="M306" s="238"/>
      <c r="N306" s="237"/>
      <c r="O306" s="237"/>
      <c r="P306" s="237"/>
      <c r="Q306" s="237"/>
      <c r="R306" s="237"/>
      <c r="S306" s="238"/>
      <c r="T306" s="237"/>
    </row>
    <row r="307" spans="2:20" x14ac:dyDescent="0.25">
      <c r="B307" s="236">
        <v>304</v>
      </c>
      <c r="E307" s="49"/>
      <c r="F307" s="234"/>
      <c r="G307" s="237"/>
      <c r="H307" s="237"/>
      <c r="I307" s="237"/>
      <c r="J307" s="237"/>
      <c r="K307" s="237"/>
      <c r="L307" s="237"/>
      <c r="M307" s="238"/>
      <c r="N307" s="237"/>
      <c r="O307" s="237"/>
      <c r="P307" s="237"/>
      <c r="Q307" s="237"/>
      <c r="R307" s="237"/>
      <c r="S307" s="238"/>
      <c r="T307" s="237"/>
    </row>
    <row r="308" spans="2:20" x14ac:dyDescent="0.25">
      <c r="B308" s="236">
        <v>305</v>
      </c>
      <c r="E308" s="49"/>
      <c r="F308" s="234"/>
      <c r="G308" s="237"/>
      <c r="H308" s="237"/>
      <c r="I308" s="237"/>
      <c r="J308" s="237"/>
      <c r="K308" s="237"/>
      <c r="L308" s="237"/>
      <c r="M308" s="238"/>
      <c r="N308" s="237"/>
      <c r="O308" s="237"/>
      <c r="P308" s="237"/>
      <c r="Q308" s="237"/>
      <c r="R308" s="237"/>
      <c r="S308" s="238"/>
      <c r="T308" s="237"/>
    </row>
    <row r="309" spans="2:20" x14ac:dyDescent="0.25">
      <c r="B309" s="236">
        <v>306</v>
      </c>
      <c r="E309" s="49"/>
      <c r="F309" s="234"/>
      <c r="G309" s="237"/>
      <c r="H309" s="237"/>
      <c r="I309" s="237"/>
      <c r="J309" s="237"/>
      <c r="K309" s="237"/>
      <c r="L309" s="237"/>
      <c r="M309" s="238"/>
      <c r="N309" s="237"/>
      <c r="O309" s="237"/>
      <c r="P309" s="237"/>
      <c r="Q309" s="237"/>
      <c r="R309" s="237"/>
      <c r="S309" s="238"/>
      <c r="T309" s="237"/>
    </row>
    <row r="310" spans="2:20" x14ac:dyDescent="0.25">
      <c r="B310" s="236">
        <v>307</v>
      </c>
      <c r="E310" s="49"/>
      <c r="F310" s="234"/>
      <c r="G310" s="237"/>
      <c r="H310" s="237"/>
      <c r="I310" s="237"/>
      <c r="J310" s="237"/>
      <c r="K310" s="237"/>
      <c r="L310" s="237"/>
      <c r="M310" s="238"/>
      <c r="N310" s="237"/>
      <c r="O310" s="237"/>
      <c r="P310" s="237"/>
      <c r="Q310" s="237"/>
      <c r="R310" s="237"/>
      <c r="S310" s="238"/>
      <c r="T310" s="237"/>
    </row>
    <row r="311" spans="2:20" x14ac:dyDescent="0.25">
      <c r="B311" s="236">
        <v>308</v>
      </c>
      <c r="E311" s="49"/>
      <c r="F311" s="234"/>
      <c r="G311" s="237"/>
      <c r="H311" s="237"/>
      <c r="I311" s="237"/>
      <c r="J311" s="237"/>
      <c r="K311" s="237"/>
      <c r="L311" s="237"/>
      <c r="M311" s="238"/>
      <c r="N311" s="237"/>
      <c r="O311" s="237"/>
      <c r="P311" s="237"/>
      <c r="Q311" s="237"/>
      <c r="R311" s="237"/>
      <c r="S311" s="238"/>
      <c r="T311" s="237"/>
    </row>
    <row r="312" spans="2:20" x14ac:dyDescent="0.25">
      <c r="B312" s="236">
        <v>309</v>
      </c>
      <c r="E312" s="49"/>
      <c r="F312" s="234"/>
      <c r="G312" s="237"/>
      <c r="H312" s="237"/>
      <c r="I312" s="237"/>
      <c r="J312" s="237"/>
      <c r="K312" s="237"/>
      <c r="L312" s="237"/>
      <c r="M312" s="238"/>
      <c r="N312" s="237"/>
      <c r="O312" s="237"/>
      <c r="P312" s="237"/>
      <c r="Q312" s="237"/>
      <c r="R312" s="237"/>
      <c r="S312" s="238"/>
      <c r="T312" s="237"/>
    </row>
    <row r="313" spans="2:20" x14ac:dyDescent="0.25">
      <c r="B313" s="236">
        <v>310</v>
      </c>
      <c r="E313" s="49"/>
      <c r="F313" s="234"/>
      <c r="G313" s="237"/>
      <c r="H313" s="237"/>
      <c r="I313" s="237"/>
      <c r="J313" s="237"/>
      <c r="K313" s="237"/>
      <c r="L313" s="237"/>
      <c r="M313" s="238"/>
      <c r="N313" s="237"/>
      <c r="O313" s="237"/>
      <c r="P313" s="237"/>
      <c r="Q313" s="237"/>
      <c r="R313" s="237"/>
      <c r="S313" s="238"/>
      <c r="T313" s="237"/>
    </row>
    <row r="314" spans="2:20" x14ac:dyDescent="0.25">
      <c r="B314" s="236">
        <v>311</v>
      </c>
      <c r="E314" s="49"/>
      <c r="F314" s="234"/>
      <c r="G314" s="237"/>
      <c r="H314" s="237"/>
      <c r="I314" s="237"/>
      <c r="J314" s="237"/>
      <c r="K314" s="237"/>
      <c r="L314" s="237"/>
      <c r="M314" s="238"/>
      <c r="N314" s="237"/>
      <c r="O314" s="237"/>
      <c r="P314" s="237"/>
      <c r="Q314" s="237"/>
      <c r="R314" s="237"/>
      <c r="S314" s="238"/>
      <c r="T314" s="237"/>
    </row>
    <row r="315" spans="2:20" x14ac:dyDescent="0.25">
      <c r="B315" s="236">
        <v>312</v>
      </c>
      <c r="E315" s="49"/>
      <c r="F315" s="234"/>
      <c r="G315" s="237"/>
      <c r="H315" s="237"/>
      <c r="I315" s="237"/>
      <c r="J315" s="237"/>
      <c r="K315" s="237"/>
      <c r="L315" s="237"/>
      <c r="M315" s="238"/>
      <c r="N315" s="237"/>
      <c r="O315" s="237"/>
      <c r="P315" s="237"/>
      <c r="Q315" s="237"/>
      <c r="R315" s="237"/>
      <c r="S315" s="238"/>
      <c r="T315" s="237"/>
    </row>
    <row r="316" spans="2:20" x14ac:dyDescent="0.25">
      <c r="B316" s="236">
        <v>313</v>
      </c>
      <c r="E316" s="49"/>
      <c r="F316" s="234"/>
      <c r="G316" s="237"/>
      <c r="H316" s="237"/>
      <c r="I316" s="237"/>
      <c r="J316" s="237"/>
      <c r="K316" s="237"/>
      <c r="L316" s="237"/>
      <c r="M316" s="238"/>
      <c r="N316" s="237"/>
      <c r="O316" s="237"/>
      <c r="P316" s="237"/>
      <c r="Q316" s="237"/>
      <c r="R316" s="237"/>
      <c r="S316" s="238"/>
      <c r="T316" s="237"/>
    </row>
    <row r="317" spans="2:20" x14ac:dyDescent="0.25">
      <c r="B317" s="236">
        <v>314</v>
      </c>
      <c r="E317" s="49"/>
      <c r="F317" s="234"/>
      <c r="G317" s="237"/>
      <c r="H317" s="237"/>
      <c r="I317" s="237"/>
      <c r="J317" s="237"/>
      <c r="K317" s="237"/>
      <c r="L317" s="237"/>
      <c r="M317" s="238"/>
      <c r="N317" s="237"/>
      <c r="O317" s="237"/>
      <c r="P317" s="237"/>
      <c r="Q317" s="237"/>
      <c r="R317" s="237"/>
      <c r="S317" s="238"/>
      <c r="T317" s="237"/>
    </row>
    <row r="318" spans="2:20" x14ac:dyDescent="0.25">
      <c r="B318" s="236">
        <v>315</v>
      </c>
      <c r="E318" s="49"/>
      <c r="F318" s="234"/>
      <c r="G318" s="237"/>
      <c r="H318" s="237"/>
      <c r="I318" s="237"/>
      <c r="J318" s="237"/>
      <c r="K318" s="237"/>
      <c r="L318" s="237"/>
      <c r="M318" s="238"/>
      <c r="N318" s="237"/>
      <c r="O318" s="237"/>
      <c r="P318" s="237"/>
      <c r="Q318" s="237"/>
      <c r="R318" s="237"/>
      <c r="S318" s="238"/>
      <c r="T318" s="237"/>
    </row>
    <row r="319" spans="2:20" x14ac:dyDescent="0.25">
      <c r="B319" s="236">
        <v>316</v>
      </c>
      <c r="E319" s="49"/>
      <c r="F319" s="234"/>
      <c r="G319" s="237"/>
      <c r="H319" s="237"/>
      <c r="I319" s="237"/>
      <c r="J319" s="237"/>
      <c r="K319" s="237"/>
      <c r="L319" s="237"/>
      <c r="M319" s="238"/>
      <c r="N319" s="237"/>
      <c r="O319" s="237"/>
      <c r="P319" s="237"/>
      <c r="Q319" s="237"/>
      <c r="R319" s="237"/>
      <c r="S319" s="238"/>
      <c r="T319" s="237"/>
    </row>
    <row r="320" spans="2:20" x14ac:dyDescent="0.25">
      <c r="B320" s="236">
        <v>317</v>
      </c>
      <c r="E320" s="49"/>
      <c r="F320" s="234"/>
      <c r="G320" s="237"/>
      <c r="H320" s="237"/>
      <c r="I320" s="237"/>
      <c r="J320" s="237"/>
      <c r="K320" s="237"/>
      <c r="L320" s="237"/>
      <c r="M320" s="238"/>
      <c r="N320" s="237"/>
      <c r="O320" s="237"/>
      <c r="P320" s="237"/>
      <c r="Q320" s="237"/>
      <c r="R320" s="237"/>
      <c r="S320" s="238"/>
      <c r="T320" s="237"/>
    </row>
    <row r="321" spans="2:20" x14ac:dyDescent="0.25">
      <c r="B321" s="236">
        <v>318</v>
      </c>
      <c r="E321" s="49"/>
      <c r="F321" s="234"/>
      <c r="G321" s="237"/>
      <c r="H321" s="237"/>
      <c r="I321" s="237"/>
      <c r="J321" s="237"/>
      <c r="K321" s="237"/>
      <c r="L321" s="237"/>
      <c r="M321" s="238"/>
      <c r="N321" s="237"/>
      <c r="O321" s="237"/>
      <c r="P321" s="237"/>
      <c r="Q321" s="237"/>
      <c r="R321" s="237"/>
      <c r="S321" s="238"/>
      <c r="T321" s="237"/>
    </row>
    <row r="322" spans="2:20" x14ac:dyDescent="0.25">
      <c r="B322" s="236">
        <v>319</v>
      </c>
      <c r="E322" s="49"/>
      <c r="F322" s="234"/>
      <c r="G322" s="237"/>
      <c r="H322" s="237"/>
      <c r="I322" s="237"/>
      <c r="J322" s="237"/>
      <c r="K322" s="237"/>
      <c r="L322" s="237"/>
      <c r="M322" s="238"/>
      <c r="N322" s="237"/>
      <c r="O322" s="237"/>
      <c r="P322" s="237"/>
      <c r="Q322" s="237"/>
      <c r="R322" s="237"/>
      <c r="S322" s="238"/>
      <c r="T322" s="237"/>
    </row>
    <row r="323" spans="2:20" x14ac:dyDescent="0.25">
      <c r="B323" s="236">
        <v>320</v>
      </c>
      <c r="E323" s="49"/>
      <c r="F323" s="234"/>
      <c r="G323" s="237"/>
      <c r="H323" s="237"/>
      <c r="I323" s="237"/>
      <c r="J323" s="237"/>
      <c r="K323" s="237"/>
      <c r="L323" s="237"/>
      <c r="M323" s="238"/>
      <c r="N323" s="237"/>
      <c r="O323" s="237"/>
      <c r="P323" s="237"/>
      <c r="Q323" s="237"/>
      <c r="R323" s="237"/>
      <c r="S323" s="238"/>
      <c r="T323" s="237"/>
    </row>
    <row r="324" spans="2:20" x14ac:dyDescent="0.25">
      <c r="B324" s="236">
        <v>321</v>
      </c>
      <c r="E324" s="49"/>
      <c r="F324" s="234"/>
      <c r="G324" s="237"/>
      <c r="H324" s="237"/>
      <c r="I324" s="237"/>
      <c r="J324" s="237"/>
      <c r="K324" s="237"/>
      <c r="L324" s="237"/>
      <c r="M324" s="238"/>
      <c r="N324" s="237"/>
      <c r="O324" s="237"/>
      <c r="P324" s="237"/>
      <c r="Q324" s="237"/>
      <c r="R324" s="237"/>
      <c r="S324" s="238"/>
      <c r="T324" s="237"/>
    </row>
    <row r="325" spans="2:20" x14ac:dyDescent="0.25">
      <c r="B325" s="236">
        <v>322</v>
      </c>
      <c r="E325" s="49"/>
      <c r="F325" s="234"/>
      <c r="G325" s="237"/>
      <c r="H325" s="237"/>
      <c r="I325" s="237"/>
      <c r="J325" s="237"/>
      <c r="K325" s="237"/>
      <c r="L325" s="237"/>
      <c r="M325" s="238"/>
      <c r="N325" s="237"/>
      <c r="O325" s="237"/>
      <c r="P325" s="237"/>
      <c r="Q325" s="237"/>
      <c r="R325" s="237"/>
      <c r="S325" s="238"/>
      <c r="T325" s="237"/>
    </row>
    <row r="326" spans="2:20" x14ac:dyDescent="0.25">
      <c r="B326" s="236">
        <v>323</v>
      </c>
      <c r="E326" s="49"/>
      <c r="F326" s="234"/>
      <c r="G326" s="237"/>
      <c r="H326" s="237"/>
      <c r="I326" s="237"/>
      <c r="J326" s="237"/>
      <c r="K326" s="237"/>
      <c r="L326" s="237"/>
      <c r="M326" s="238"/>
      <c r="N326" s="237"/>
      <c r="O326" s="237"/>
      <c r="P326" s="237"/>
      <c r="Q326" s="237"/>
      <c r="R326" s="237"/>
      <c r="S326" s="238"/>
      <c r="T326" s="237"/>
    </row>
    <row r="327" spans="2:20" x14ac:dyDescent="0.25">
      <c r="B327" s="236">
        <v>324</v>
      </c>
      <c r="E327" s="49"/>
      <c r="F327" s="234"/>
      <c r="G327" s="237"/>
      <c r="H327" s="237"/>
      <c r="I327" s="237"/>
      <c r="J327" s="237"/>
      <c r="K327" s="237"/>
      <c r="L327" s="237"/>
      <c r="M327" s="238"/>
      <c r="N327" s="237"/>
      <c r="O327" s="237"/>
      <c r="P327" s="237"/>
      <c r="Q327" s="237"/>
      <c r="R327" s="237"/>
      <c r="S327" s="238"/>
      <c r="T327" s="237"/>
    </row>
    <row r="328" spans="2:20" x14ac:dyDescent="0.25">
      <c r="B328" s="236">
        <v>325</v>
      </c>
      <c r="E328" s="49"/>
      <c r="F328" s="234"/>
      <c r="G328" s="237"/>
      <c r="H328" s="237"/>
      <c r="I328" s="237"/>
      <c r="J328" s="237"/>
      <c r="K328" s="237"/>
      <c r="L328" s="237"/>
      <c r="M328" s="238"/>
      <c r="N328" s="237"/>
      <c r="O328" s="237"/>
      <c r="P328" s="237"/>
      <c r="Q328" s="237"/>
      <c r="R328" s="237"/>
      <c r="S328" s="238"/>
      <c r="T328" s="237"/>
    </row>
    <row r="329" spans="2:20" x14ac:dyDescent="0.25">
      <c r="B329" s="236">
        <v>326</v>
      </c>
      <c r="E329" s="49"/>
      <c r="F329" s="234"/>
      <c r="G329" s="237"/>
      <c r="H329" s="237"/>
      <c r="I329" s="237"/>
      <c r="J329" s="237"/>
      <c r="K329" s="237"/>
      <c r="L329" s="237"/>
      <c r="M329" s="238"/>
      <c r="N329" s="237"/>
      <c r="O329" s="237"/>
      <c r="P329" s="237"/>
      <c r="Q329" s="237"/>
      <c r="R329" s="237"/>
      <c r="S329" s="238"/>
      <c r="T329" s="237"/>
    </row>
    <row r="330" spans="2:20" x14ac:dyDescent="0.25">
      <c r="B330" s="236">
        <v>327</v>
      </c>
      <c r="E330" s="49"/>
      <c r="F330" s="234"/>
      <c r="G330" s="237"/>
      <c r="H330" s="237"/>
      <c r="I330" s="237"/>
      <c r="J330" s="237"/>
      <c r="K330" s="237"/>
      <c r="L330" s="237"/>
      <c r="M330" s="238"/>
      <c r="N330" s="237"/>
      <c r="O330" s="237"/>
      <c r="P330" s="237"/>
      <c r="Q330" s="237"/>
      <c r="R330" s="237"/>
      <c r="S330" s="238"/>
      <c r="T330" s="237"/>
    </row>
    <row r="331" spans="2:20" x14ac:dyDescent="0.25">
      <c r="B331" s="236">
        <v>328</v>
      </c>
      <c r="E331" s="49"/>
      <c r="F331" s="234"/>
      <c r="G331" s="237"/>
      <c r="H331" s="237"/>
      <c r="I331" s="237"/>
      <c r="J331" s="237"/>
      <c r="K331" s="237"/>
      <c r="L331" s="237"/>
      <c r="M331" s="238"/>
      <c r="N331" s="237"/>
      <c r="O331" s="237"/>
      <c r="P331" s="237"/>
      <c r="Q331" s="237"/>
      <c r="R331" s="237"/>
      <c r="S331" s="238"/>
      <c r="T331" s="237"/>
    </row>
    <row r="332" spans="2:20" x14ac:dyDescent="0.25">
      <c r="B332" s="236">
        <v>329</v>
      </c>
      <c r="E332" s="49"/>
      <c r="F332" s="234"/>
      <c r="G332" s="237"/>
      <c r="H332" s="237"/>
      <c r="I332" s="237"/>
      <c r="J332" s="237"/>
      <c r="K332" s="237"/>
      <c r="L332" s="237"/>
      <c r="M332" s="238"/>
      <c r="N332" s="237"/>
      <c r="O332" s="237"/>
      <c r="P332" s="237"/>
      <c r="Q332" s="237"/>
      <c r="R332" s="237"/>
      <c r="S332" s="238"/>
      <c r="T332" s="237"/>
    </row>
    <row r="333" spans="2:20" x14ac:dyDescent="0.25">
      <c r="B333" s="236">
        <v>330</v>
      </c>
      <c r="E333" s="49"/>
      <c r="F333" s="234"/>
      <c r="G333" s="237"/>
      <c r="H333" s="237"/>
      <c r="I333" s="237"/>
      <c r="J333" s="237"/>
      <c r="K333" s="237"/>
      <c r="L333" s="237"/>
      <c r="M333" s="238"/>
      <c r="N333" s="237"/>
      <c r="O333" s="237"/>
      <c r="P333" s="237"/>
      <c r="Q333" s="237"/>
      <c r="R333" s="237"/>
      <c r="S333" s="238"/>
      <c r="T333" s="237"/>
    </row>
    <row r="334" spans="2:20" x14ac:dyDescent="0.25">
      <c r="B334" s="236">
        <v>331</v>
      </c>
      <c r="E334" s="49"/>
      <c r="F334" s="234"/>
      <c r="G334" s="237"/>
      <c r="H334" s="237"/>
      <c r="I334" s="237"/>
      <c r="J334" s="237"/>
      <c r="K334" s="237"/>
      <c r="L334" s="237"/>
      <c r="M334" s="238"/>
      <c r="N334" s="237"/>
      <c r="O334" s="237"/>
      <c r="P334" s="237"/>
      <c r="Q334" s="237"/>
      <c r="R334" s="237"/>
      <c r="S334" s="238"/>
      <c r="T334" s="237"/>
    </row>
    <row r="335" spans="2:20" x14ac:dyDescent="0.25">
      <c r="B335" s="236">
        <v>332</v>
      </c>
      <c r="E335" s="49"/>
      <c r="F335" s="234"/>
      <c r="G335" s="237"/>
      <c r="H335" s="237"/>
      <c r="I335" s="237"/>
      <c r="J335" s="237"/>
      <c r="K335" s="237"/>
      <c r="L335" s="237"/>
      <c r="M335" s="238"/>
      <c r="N335" s="237"/>
      <c r="O335" s="237"/>
      <c r="P335" s="237"/>
      <c r="Q335" s="237"/>
      <c r="R335" s="237"/>
      <c r="S335" s="238"/>
      <c r="T335" s="237"/>
    </row>
    <row r="336" spans="2:20" x14ac:dyDescent="0.25">
      <c r="B336" s="236">
        <v>333</v>
      </c>
      <c r="E336" s="49"/>
      <c r="F336" s="234"/>
      <c r="G336" s="237"/>
      <c r="H336" s="237"/>
      <c r="I336" s="237"/>
      <c r="J336" s="237"/>
      <c r="K336" s="237"/>
      <c r="L336" s="237"/>
      <c r="M336" s="238"/>
      <c r="N336" s="237"/>
      <c r="O336" s="237"/>
      <c r="P336" s="237"/>
      <c r="Q336" s="237"/>
      <c r="R336" s="237"/>
      <c r="S336" s="238"/>
      <c r="T336" s="237"/>
    </row>
    <row r="337" spans="2:20" x14ac:dyDescent="0.25">
      <c r="B337" s="236">
        <v>334</v>
      </c>
      <c r="E337" s="49"/>
      <c r="F337" s="234"/>
      <c r="G337" s="237"/>
      <c r="H337" s="237"/>
      <c r="I337" s="237"/>
      <c r="J337" s="237"/>
      <c r="K337" s="237"/>
      <c r="L337" s="237"/>
      <c r="M337" s="238"/>
      <c r="N337" s="237"/>
      <c r="O337" s="237"/>
      <c r="P337" s="237"/>
      <c r="Q337" s="237"/>
      <c r="R337" s="237"/>
      <c r="S337" s="238"/>
      <c r="T337" s="237"/>
    </row>
    <row r="338" spans="2:20" x14ac:dyDescent="0.25">
      <c r="B338" s="236">
        <v>335</v>
      </c>
      <c r="E338" s="49"/>
      <c r="F338" s="234"/>
      <c r="G338" s="237"/>
      <c r="H338" s="237"/>
      <c r="I338" s="237"/>
      <c r="J338" s="237"/>
      <c r="K338" s="237"/>
      <c r="L338" s="237"/>
      <c r="M338" s="238"/>
      <c r="N338" s="237"/>
      <c r="O338" s="237"/>
      <c r="P338" s="237"/>
      <c r="Q338" s="237"/>
      <c r="R338" s="237"/>
      <c r="S338" s="238"/>
      <c r="T338" s="237"/>
    </row>
    <row r="339" spans="2:20" x14ac:dyDescent="0.25">
      <c r="B339" s="236">
        <v>336</v>
      </c>
      <c r="E339" s="49"/>
      <c r="F339" s="234"/>
      <c r="G339" s="237"/>
      <c r="H339" s="237"/>
      <c r="I339" s="237"/>
      <c r="J339" s="237"/>
      <c r="K339" s="237"/>
      <c r="L339" s="237"/>
      <c r="M339" s="238"/>
      <c r="N339" s="237"/>
      <c r="O339" s="237"/>
      <c r="P339" s="237"/>
      <c r="Q339" s="237"/>
      <c r="R339" s="237"/>
      <c r="S339" s="238"/>
      <c r="T339" s="237"/>
    </row>
    <row r="340" spans="2:20" x14ac:dyDescent="0.25">
      <c r="B340" s="236">
        <v>337</v>
      </c>
      <c r="E340" s="49"/>
      <c r="F340" s="234"/>
      <c r="G340" s="237"/>
      <c r="H340" s="237"/>
      <c r="I340" s="237"/>
      <c r="J340" s="237"/>
      <c r="K340" s="237"/>
      <c r="L340" s="237"/>
      <c r="M340" s="238"/>
      <c r="N340" s="237"/>
      <c r="O340" s="237"/>
      <c r="P340" s="237"/>
      <c r="Q340" s="237"/>
      <c r="R340" s="237"/>
      <c r="S340" s="238"/>
      <c r="T340" s="237"/>
    </row>
    <row r="341" spans="2:20" x14ac:dyDescent="0.25">
      <c r="B341" s="236">
        <v>338</v>
      </c>
      <c r="E341" s="49"/>
      <c r="F341" s="234"/>
      <c r="G341" s="237"/>
      <c r="H341" s="237"/>
      <c r="I341" s="237"/>
      <c r="J341" s="237"/>
      <c r="K341" s="237"/>
      <c r="L341" s="237"/>
      <c r="M341" s="238"/>
      <c r="N341" s="237"/>
      <c r="O341" s="237"/>
      <c r="P341" s="237"/>
      <c r="Q341" s="237"/>
      <c r="R341" s="237"/>
      <c r="S341" s="238"/>
      <c r="T341" s="237"/>
    </row>
    <row r="342" spans="2:20" x14ac:dyDescent="0.25">
      <c r="B342" s="236">
        <v>339</v>
      </c>
      <c r="E342" s="49"/>
      <c r="F342" s="234"/>
      <c r="G342" s="237"/>
      <c r="H342" s="237"/>
      <c r="I342" s="237"/>
      <c r="J342" s="237"/>
      <c r="K342" s="237"/>
      <c r="L342" s="237"/>
      <c r="M342" s="238"/>
      <c r="N342" s="237"/>
      <c r="O342" s="237"/>
      <c r="P342" s="237"/>
      <c r="Q342" s="237"/>
      <c r="R342" s="237"/>
      <c r="S342" s="238"/>
      <c r="T342" s="237"/>
    </row>
    <row r="343" spans="2:20" x14ac:dyDescent="0.25">
      <c r="B343" s="236">
        <v>340</v>
      </c>
      <c r="E343" s="49"/>
      <c r="F343" s="234"/>
      <c r="G343" s="237"/>
      <c r="H343" s="237"/>
      <c r="I343" s="237"/>
      <c r="J343" s="237"/>
      <c r="K343" s="237"/>
      <c r="L343" s="237"/>
      <c r="M343" s="238"/>
      <c r="N343" s="237"/>
      <c r="O343" s="237"/>
      <c r="P343" s="237"/>
      <c r="Q343" s="237"/>
      <c r="R343" s="237"/>
      <c r="S343" s="238"/>
      <c r="T343" s="237"/>
    </row>
    <row r="344" spans="2:20" x14ac:dyDescent="0.25">
      <c r="B344" s="236">
        <v>341</v>
      </c>
      <c r="E344" s="49"/>
      <c r="F344" s="234"/>
      <c r="G344" s="237"/>
      <c r="H344" s="237"/>
      <c r="I344" s="237"/>
      <c r="J344" s="237"/>
      <c r="K344" s="237"/>
      <c r="L344" s="237"/>
      <c r="M344" s="238"/>
      <c r="N344" s="237"/>
      <c r="O344" s="237"/>
      <c r="P344" s="237"/>
      <c r="Q344" s="237"/>
      <c r="R344" s="237"/>
      <c r="S344" s="238"/>
      <c r="T344" s="237"/>
    </row>
    <row r="345" spans="2:20" x14ac:dyDescent="0.25">
      <c r="B345" s="236">
        <v>342</v>
      </c>
      <c r="E345" s="49"/>
      <c r="F345" s="234"/>
      <c r="G345" s="237"/>
      <c r="H345" s="237"/>
      <c r="I345" s="237"/>
      <c r="J345" s="237"/>
      <c r="K345" s="237"/>
      <c r="L345" s="237"/>
      <c r="M345" s="238"/>
      <c r="N345" s="237"/>
      <c r="O345" s="237"/>
      <c r="P345" s="237"/>
      <c r="Q345" s="237"/>
      <c r="R345" s="237"/>
      <c r="S345" s="238"/>
      <c r="T345" s="237"/>
    </row>
    <row r="346" spans="2:20" x14ac:dyDescent="0.25">
      <c r="B346" s="236">
        <v>343</v>
      </c>
      <c r="E346" s="49"/>
      <c r="F346" s="234"/>
      <c r="G346" s="237"/>
      <c r="H346" s="237"/>
      <c r="I346" s="237"/>
      <c r="J346" s="237"/>
      <c r="K346" s="237"/>
      <c r="L346" s="237"/>
      <c r="M346" s="238"/>
      <c r="N346" s="237"/>
      <c r="O346" s="237"/>
      <c r="P346" s="237"/>
      <c r="Q346" s="237"/>
      <c r="R346" s="237"/>
      <c r="S346" s="238"/>
      <c r="T346" s="237"/>
    </row>
    <row r="347" spans="2:20" x14ac:dyDescent="0.25">
      <c r="B347" s="236">
        <v>344</v>
      </c>
      <c r="E347" s="49"/>
      <c r="F347" s="234"/>
      <c r="G347" s="237"/>
      <c r="H347" s="237"/>
      <c r="I347" s="237"/>
      <c r="J347" s="237"/>
      <c r="K347" s="237"/>
      <c r="L347" s="237"/>
      <c r="M347" s="238"/>
      <c r="N347" s="237"/>
      <c r="O347" s="237"/>
      <c r="P347" s="237"/>
      <c r="Q347" s="237"/>
      <c r="R347" s="237"/>
      <c r="S347" s="238"/>
      <c r="T347" s="237"/>
    </row>
    <row r="348" spans="2:20" x14ac:dyDescent="0.25">
      <c r="B348" s="236">
        <v>345</v>
      </c>
      <c r="E348" s="49"/>
      <c r="F348" s="234"/>
      <c r="G348" s="237"/>
      <c r="H348" s="237"/>
      <c r="I348" s="237"/>
      <c r="J348" s="237"/>
      <c r="K348" s="237"/>
      <c r="L348" s="237"/>
      <c r="M348" s="238"/>
      <c r="N348" s="237"/>
      <c r="O348" s="237"/>
      <c r="P348" s="237"/>
      <c r="Q348" s="237"/>
      <c r="R348" s="237"/>
      <c r="S348" s="238"/>
      <c r="T348" s="237"/>
    </row>
    <row r="349" spans="2:20" x14ac:dyDescent="0.25">
      <c r="B349" s="236">
        <v>346</v>
      </c>
      <c r="E349" s="49"/>
      <c r="F349" s="234"/>
      <c r="G349" s="237"/>
      <c r="H349" s="237"/>
      <c r="I349" s="237"/>
      <c r="J349" s="237"/>
      <c r="K349" s="237"/>
      <c r="L349" s="237"/>
      <c r="M349" s="238"/>
      <c r="N349" s="237"/>
      <c r="O349" s="237"/>
      <c r="P349" s="237"/>
      <c r="Q349" s="237"/>
      <c r="R349" s="237"/>
      <c r="S349" s="238"/>
      <c r="T349" s="237"/>
    </row>
    <row r="350" spans="2:20" x14ac:dyDescent="0.25">
      <c r="B350" s="236">
        <v>347</v>
      </c>
      <c r="E350" s="49"/>
      <c r="F350" s="234"/>
      <c r="G350" s="237"/>
      <c r="H350" s="237"/>
      <c r="I350" s="237"/>
      <c r="J350" s="237"/>
      <c r="K350" s="237"/>
      <c r="L350" s="237"/>
      <c r="M350" s="238"/>
      <c r="N350" s="237"/>
      <c r="O350" s="237"/>
      <c r="P350" s="237"/>
      <c r="Q350" s="237"/>
      <c r="R350" s="237"/>
      <c r="S350" s="238"/>
      <c r="T350" s="237"/>
    </row>
    <row r="351" spans="2:20" x14ac:dyDescent="0.25">
      <c r="B351" s="236">
        <v>348</v>
      </c>
      <c r="E351" s="49"/>
      <c r="F351" s="234"/>
      <c r="G351" s="237"/>
      <c r="H351" s="237"/>
      <c r="I351" s="237"/>
      <c r="J351" s="237"/>
      <c r="K351" s="237"/>
      <c r="L351" s="237"/>
      <c r="M351" s="238"/>
      <c r="N351" s="237"/>
      <c r="O351" s="237"/>
      <c r="P351" s="237"/>
      <c r="Q351" s="237"/>
      <c r="R351" s="237"/>
      <c r="S351" s="238"/>
      <c r="T351" s="237"/>
    </row>
    <row r="352" spans="2:20" x14ac:dyDescent="0.25">
      <c r="B352" s="236">
        <v>349</v>
      </c>
      <c r="E352" s="49"/>
      <c r="F352" s="234"/>
      <c r="G352" s="237"/>
      <c r="H352" s="237"/>
      <c r="I352" s="237"/>
      <c r="J352" s="237"/>
      <c r="K352" s="237"/>
      <c r="L352" s="237"/>
      <c r="M352" s="238"/>
      <c r="N352" s="237"/>
      <c r="O352" s="237"/>
      <c r="P352" s="237"/>
      <c r="Q352" s="237"/>
      <c r="R352" s="237"/>
      <c r="S352" s="238"/>
      <c r="T352" s="237"/>
    </row>
    <row r="353" spans="2:20" x14ac:dyDescent="0.25">
      <c r="B353" s="236">
        <v>350</v>
      </c>
      <c r="E353" s="49"/>
      <c r="F353" s="234"/>
      <c r="G353" s="237"/>
      <c r="H353" s="237"/>
      <c r="I353" s="237"/>
      <c r="J353" s="237"/>
      <c r="K353" s="237"/>
      <c r="L353" s="237"/>
      <c r="M353" s="238"/>
      <c r="N353" s="237"/>
      <c r="O353" s="237"/>
      <c r="P353" s="237"/>
      <c r="Q353" s="237"/>
      <c r="R353" s="237"/>
      <c r="S353" s="238"/>
      <c r="T353" s="237"/>
    </row>
    <row r="354" spans="2:20" x14ac:dyDescent="0.25">
      <c r="B354" s="236">
        <v>351</v>
      </c>
      <c r="E354" s="49"/>
      <c r="F354" s="234"/>
      <c r="G354" s="237"/>
      <c r="H354" s="237"/>
      <c r="I354" s="237"/>
      <c r="J354" s="237"/>
      <c r="K354" s="237"/>
      <c r="L354" s="237"/>
      <c r="M354" s="238"/>
      <c r="N354" s="237"/>
      <c r="O354" s="237"/>
      <c r="P354" s="237"/>
      <c r="Q354" s="237"/>
      <c r="R354" s="237"/>
      <c r="S354" s="238"/>
      <c r="T354" s="237"/>
    </row>
    <row r="355" spans="2:20" x14ac:dyDescent="0.25">
      <c r="B355" s="236">
        <v>352</v>
      </c>
      <c r="E355" s="49"/>
      <c r="F355" s="234"/>
      <c r="G355" s="237"/>
      <c r="H355" s="237"/>
      <c r="I355" s="237"/>
      <c r="J355" s="237"/>
      <c r="K355" s="237"/>
      <c r="L355" s="237"/>
      <c r="M355" s="238"/>
      <c r="N355" s="237"/>
      <c r="O355" s="237"/>
      <c r="P355" s="237"/>
      <c r="Q355" s="237"/>
      <c r="R355" s="237"/>
      <c r="S355" s="238"/>
      <c r="T355" s="237"/>
    </row>
    <row r="356" spans="2:20" x14ac:dyDescent="0.25">
      <c r="B356" s="236">
        <v>353</v>
      </c>
      <c r="E356" s="49"/>
      <c r="F356" s="234"/>
      <c r="G356" s="237"/>
      <c r="H356" s="237"/>
      <c r="I356" s="237"/>
      <c r="J356" s="237"/>
      <c r="K356" s="237"/>
      <c r="L356" s="237"/>
      <c r="M356" s="238"/>
      <c r="N356" s="237"/>
      <c r="O356" s="237"/>
      <c r="P356" s="237"/>
      <c r="Q356" s="237"/>
      <c r="R356" s="237"/>
      <c r="S356" s="238"/>
      <c r="T356" s="237"/>
    </row>
    <row r="357" spans="2:20" x14ac:dyDescent="0.25">
      <c r="B357" s="236">
        <v>354</v>
      </c>
      <c r="E357" s="49"/>
      <c r="F357" s="234"/>
      <c r="G357" s="237"/>
      <c r="H357" s="237"/>
      <c r="I357" s="237"/>
      <c r="J357" s="237"/>
      <c r="K357" s="237"/>
      <c r="L357" s="237"/>
      <c r="M357" s="238"/>
      <c r="N357" s="237"/>
      <c r="O357" s="237"/>
      <c r="P357" s="237"/>
      <c r="Q357" s="237"/>
      <c r="R357" s="237"/>
      <c r="S357" s="238"/>
      <c r="T357" s="237"/>
    </row>
    <row r="358" spans="2:20" x14ac:dyDescent="0.25">
      <c r="B358" s="236">
        <v>355</v>
      </c>
      <c r="E358" s="49"/>
      <c r="F358" s="234"/>
      <c r="G358" s="237"/>
      <c r="H358" s="237"/>
      <c r="I358" s="237"/>
      <c r="J358" s="237"/>
      <c r="K358" s="237"/>
      <c r="L358" s="237"/>
      <c r="M358" s="238"/>
      <c r="N358" s="237"/>
      <c r="O358" s="237"/>
      <c r="P358" s="237"/>
      <c r="Q358" s="237"/>
      <c r="R358" s="237"/>
      <c r="S358" s="238"/>
      <c r="T358" s="237"/>
    </row>
    <row r="359" spans="2:20" x14ac:dyDescent="0.25">
      <c r="B359" s="236">
        <v>356</v>
      </c>
      <c r="E359" s="49"/>
      <c r="F359" s="234"/>
      <c r="G359" s="237"/>
      <c r="H359" s="237"/>
      <c r="I359" s="237"/>
      <c r="J359" s="237"/>
      <c r="K359" s="237"/>
      <c r="L359" s="237"/>
      <c r="M359" s="238"/>
      <c r="N359" s="237"/>
      <c r="O359" s="237"/>
      <c r="P359" s="237"/>
      <c r="Q359" s="237"/>
      <c r="R359" s="237"/>
      <c r="S359" s="238"/>
      <c r="T359" s="237"/>
    </row>
    <row r="360" spans="2:20" x14ac:dyDescent="0.25">
      <c r="B360" s="236">
        <v>357</v>
      </c>
      <c r="E360" s="49"/>
      <c r="F360" s="234"/>
      <c r="G360" s="237"/>
      <c r="H360" s="237"/>
      <c r="I360" s="237"/>
      <c r="J360" s="237"/>
      <c r="K360" s="237"/>
      <c r="L360" s="237"/>
      <c r="M360" s="238"/>
      <c r="N360" s="237"/>
      <c r="O360" s="237"/>
      <c r="P360" s="237"/>
      <c r="Q360" s="237"/>
      <c r="R360" s="237"/>
      <c r="S360" s="238"/>
      <c r="T360" s="237"/>
    </row>
    <row r="361" spans="2:20" x14ac:dyDescent="0.25">
      <c r="B361" s="236">
        <v>358</v>
      </c>
      <c r="E361" s="49"/>
      <c r="F361" s="234"/>
      <c r="G361" s="237"/>
      <c r="H361" s="237"/>
      <c r="I361" s="237"/>
      <c r="J361" s="237"/>
      <c r="K361" s="237"/>
      <c r="L361" s="237"/>
      <c r="M361" s="238"/>
      <c r="N361" s="237"/>
      <c r="O361" s="237"/>
      <c r="P361" s="237"/>
      <c r="Q361" s="237"/>
      <c r="R361" s="237"/>
      <c r="S361" s="238"/>
      <c r="T361" s="237"/>
    </row>
    <row r="362" spans="2:20" x14ac:dyDescent="0.25">
      <c r="B362" s="236">
        <v>359</v>
      </c>
      <c r="E362" s="49"/>
      <c r="F362" s="234"/>
      <c r="G362" s="237"/>
      <c r="H362" s="237"/>
      <c r="I362" s="237"/>
      <c r="J362" s="237"/>
      <c r="K362" s="237"/>
      <c r="L362" s="237"/>
      <c r="M362" s="238"/>
      <c r="N362" s="237"/>
      <c r="O362" s="237"/>
      <c r="P362" s="237"/>
      <c r="Q362" s="237"/>
      <c r="R362" s="237"/>
      <c r="S362" s="238"/>
      <c r="T362" s="237"/>
    </row>
    <row r="363" spans="2:20" x14ac:dyDescent="0.25">
      <c r="B363" s="236">
        <v>360</v>
      </c>
      <c r="E363" s="49"/>
      <c r="F363" s="234"/>
      <c r="G363" s="237"/>
      <c r="H363" s="237"/>
      <c r="I363" s="237"/>
      <c r="J363" s="237"/>
      <c r="K363" s="237"/>
      <c r="L363" s="237"/>
      <c r="M363" s="238"/>
      <c r="N363" s="237"/>
      <c r="O363" s="237"/>
      <c r="P363" s="237"/>
      <c r="Q363" s="237"/>
      <c r="R363" s="237"/>
      <c r="S363" s="238"/>
      <c r="T363" s="237"/>
    </row>
    <row r="364" spans="2:20" x14ac:dyDescent="0.25">
      <c r="B364" s="236">
        <v>361</v>
      </c>
      <c r="E364" s="49"/>
      <c r="F364" s="234"/>
      <c r="G364" s="237"/>
      <c r="H364" s="237"/>
      <c r="I364" s="237"/>
      <c r="J364" s="237"/>
      <c r="K364" s="237"/>
      <c r="L364" s="237"/>
      <c r="M364" s="238"/>
      <c r="N364" s="237"/>
      <c r="O364" s="237"/>
      <c r="P364" s="237"/>
      <c r="Q364" s="237"/>
      <c r="R364" s="237"/>
      <c r="S364" s="238"/>
      <c r="T364" s="237"/>
    </row>
    <row r="365" spans="2:20" x14ac:dyDescent="0.25">
      <c r="B365" s="236">
        <v>362</v>
      </c>
      <c r="E365" s="49"/>
      <c r="F365" s="234"/>
      <c r="G365" s="237"/>
      <c r="H365" s="237"/>
      <c r="I365" s="237"/>
      <c r="J365" s="237"/>
      <c r="K365" s="237"/>
      <c r="L365" s="237"/>
      <c r="M365" s="238"/>
      <c r="N365" s="237"/>
      <c r="O365" s="237"/>
      <c r="P365" s="237"/>
      <c r="Q365" s="237"/>
      <c r="R365" s="237"/>
      <c r="S365" s="238"/>
      <c r="T365" s="237"/>
    </row>
    <row r="366" spans="2:20" x14ac:dyDescent="0.25">
      <c r="B366" s="236">
        <v>363</v>
      </c>
      <c r="E366" s="49"/>
      <c r="F366" s="234"/>
      <c r="G366" s="237"/>
      <c r="H366" s="237"/>
      <c r="I366" s="237"/>
      <c r="J366" s="237"/>
      <c r="K366" s="237"/>
      <c r="L366" s="237"/>
      <c r="M366" s="238"/>
      <c r="N366" s="237"/>
      <c r="O366" s="237"/>
      <c r="P366" s="237"/>
      <c r="Q366" s="237"/>
      <c r="R366" s="237"/>
      <c r="S366" s="238"/>
      <c r="T366" s="237"/>
    </row>
    <row r="367" spans="2:20" x14ac:dyDescent="0.25">
      <c r="B367" s="236">
        <v>364</v>
      </c>
      <c r="E367" s="49"/>
      <c r="F367" s="234"/>
      <c r="G367" s="237"/>
      <c r="H367" s="237"/>
      <c r="I367" s="237"/>
      <c r="J367" s="237"/>
      <c r="K367" s="237"/>
      <c r="L367" s="237"/>
      <c r="M367" s="238"/>
      <c r="N367" s="237"/>
      <c r="O367" s="237"/>
      <c r="P367" s="237"/>
      <c r="Q367" s="237"/>
      <c r="R367" s="237"/>
      <c r="S367" s="238"/>
      <c r="T367" s="237"/>
    </row>
    <row r="368" spans="2:20" x14ac:dyDescent="0.25">
      <c r="B368" s="236">
        <v>365</v>
      </c>
      <c r="E368" s="49"/>
      <c r="F368" s="234"/>
      <c r="G368" s="237"/>
      <c r="H368" s="237"/>
      <c r="I368" s="237"/>
      <c r="J368" s="237"/>
      <c r="K368" s="237"/>
      <c r="L368" s="237"/>
      <c r="M368" s="238"/>
      <c r="N368" s="237"/>
      <c r="O368" s="237"/>
      <c r="P368" s="237"/>
      <c r="Q368" s="237"/>
      <c r="R368" s="237"/>
      <c r="S368" s="238"/>
      <c r="T368" s="237"/>
    </row>
    <row r="369" spans="2:20" x14ac:dyDescent="0.25">
      <c r="B369" s="236">
        <v>366</v>
      </c>
      <c r="E369" s="49"/>
      <c r="F369" s="234"/>
      <c r="G369" s="237"/>
      <c r="H369" s="237"/>
      <c r="I369" s="237"/>
      <c r="J369" s="237"/>
      <c r="K369" s="237"/>
      <c r="L369" s="237"/>
      <c r="M369" s="238"/>
      <c r="N369" s="237"/>
      <c r="O369" s="237"/>
      <c r="P369" s="237"/>
      <c r="Q369" s="237"/>
      <c r="R369" s="237"/>
      <c r="S369" s="238"/>
      <c r="T369" s="237"/>
    </row>
    <row r="370" spans="2:20" x14ac:dyDescent="0.25">
      <c r="B370" s="236">
        <v>367</v>
      </c>
      <c r="E370" s="49"/>
      <c r="F370" s="234"/>
      <c r="G370" s="237"/>
      <c r="H370" s="237"/>
      <c r="I370" s="237"/>
      <c r="J370" s="237"/>
      <c r="K370" s="237"/>
      <c r="L370" s="237"/>
      <c r="M370" s="238"/>
      <c r="N370" s="237"/>
      <c r="O370" s="237"/>
      <c r="P370" s="237"/>
      <c r="Q370" s="237"/>
      <c r="R370" s="237"/>
      <c r="S370" s="238"/>
      <c r="T370" s="237"/>
    </row>
    <row r="371" spans="2:20" x14ac:dyDescent="0.25">
      <c r="B371" s="236">
        <v>368</v>
      </c>
      <c r="E371" s="49"/>
      <c r="F371" s="234"/>
      <c r="G371" s="237"/>
      <c r="H371" s="237"/>
      <c r="I371" s="237"/>
      <c r="J371" s="237"/>
      <c r="K371" s="237"/>
      <c r="L371" s="237"/>
      <c r="M371" s="238"/>
      <c r="N371" s="237"/>
      <c r="O371" s="237"/>
      <c r="P371" s="237"/>
      <c r="Q371" s="237"/>
      <c r="R371" s="237"/>
      <c r="S371" s="238"/>
      <c r="T371" s="237"/>
    </row>
    <row r="372" spans="2:20" x14ac:dyDescent="0.25">
      <c r="B372" s="236">
        <v>369</v>
      </c>
      <c r="E372" s="49"/>
      <c r="F372" s="234"/>
      <c r="G372" s="237"/>
      <c r="H372" s="237"/>
      <c r="I372" s="237"/>
      <c r="J372" s="237"/>
      <c r="K372" s="237"/>
      <c r="L372" s="237"/>
      <c r="M372" s="238"/>
      <c r="N372" s="237"/>
      <c r="O372" s="237"/>
      <c r="P372" s="237"/>
      <c r="Q372" s="237"/>
      <c r="R372" s="237"/>
      <c r="S372" s="238"/>
      <c r="T372" s="237"/>
    </row>
    <row r="373" spans="2:20" x14ac:dyDescent="0.25">
      <c r="B373" s="236">
        <v>370</v>
      </c>
      <c r="E373" s="49"/>
      <c r="F373" s="234"/>
      <c r="G373" s="237"/>
      <c r="H373" s="237"/>
      <c r="I373" s="237"/>
      <c r="J373" s="237"/>
      <c r="K373" s="237"/>
      <c r="L373" s="237"/>
      <c r="M373" s="238"/>
      <c r="N373" s="237"/>
      <c r="O373" s="237"/>
      <c r="P373" s="237"/>
      <c r="Q373" s="237"/>
      <c r="R373" s="237"/>
      <c r="S373" s="238"/>
      <c r="T373" s="237"/>
    </row>
    <row r="374" spans="2:20" x14ac:dyDescent="0.25">
      <c r="B374" s="236">
        <v>371</v>
      </c>
      <c r="E374" s="49"/>
      <c r="F374" s="234"/>
      <c r="G374" s="237"/>
      <c r="H374" s="237"/>
      <c r="I374" s="237"/>
      <c r="J374" s="237"/>
      <c r="K374" s="237"/>
      <c r="L374" s="237"/>
      <c r="M374" s="238"/>
      <c r="N374" s="237"/>
      <c r="O374" s="237"/>
      <c r="P374" s="237"/>
      <c r="Q374" s="237"/>
      <c r="R374" s="237"/>
      <c r="S374" s="238"/>
      <c r="T374" s="237"/>
    </row>
    <row r="375" spans="2:20" x14ac:dyDescent="0.25">
      <c r="B375" s="236">
        <v>372</v>
      </c>
      <c r="E375" s="49"/>
      <c r="F375" s="234"/>
      <c r="G375" s="237"/>
      <c r="H375" s="237"/>
      <c r="I375" s="237"/>
      <c r="J375" s="237"/>
      <c r="K375" s="237"/>
      <c r="L375" s="237"/>
      <c r="M375" s="238"/>
      <c r="N375" s="237"/>
      <c r="O375" s="237"/>
      <c r="P375" s="237"/>
      <c r="Q375" s="237"/>
      <c r="R375" s="237"/>
      <c r="S375" s="238"/>
      <c r="T375" s="237"/>
    </row>
    <row r="376" spans="2:20" x14ac:dyDescent="0.25">
      <c r="B376" s="236">
        <v>373</v>
      </c>
      <c r="E376" s="49"/>
      <c r="F376" s="234"/>
      <c r="G376" s="237"/>
      <c r="H376" s="237"/>
      <c r="I376" s="237"/>
      <c r="J376" s="237"/>
      <c r="K376" s="237"/>
      <c r="L376" s="237"/>
      <c r="M376" s="238"/>
      <c r="N376" s="237"/>
      <c r="O376" s="237"/>
      <c r="P376" s="237"/>
      <c r="Q376" s="237"/>
      <c r="R376" s="237"/>
      <c r="S376" s="238"/>
      <c r="T376" s="237"/>
    </row>
    <row r="377" spans="2:20" x14ac:dyDescent="0.25">
      <c r="B377" s="236">
        <v>374</v>
      </c>
      <c r="E377" s="49"/>
      <c r="F377" s="234"/>
      <c r="G377" s="237"/>
      <c r="H377" s="237"/>
      <c r="I377" s="237"/>
      <c r="J377" s="237"/>
      <c r="K377" s="237"/>
      <c r="L377" s="237"/>
      <c r="M377" s="238"/>
      <c r="N377" s="237"/>
      <c r="O377" s="237"/>
      <c r="P377" s="237"/>
      <c r="Q377" s="237"/>
      <c r="R377" s="237"/>
      <c r="S377" s="238"/>
      <c r="T377" s="237"/>
    </row>
    <row r="378" spans="2:20" x14ac:dyDescent="0.25">
      <c r="B378" s="236">
        <v>375</v>
      </c>
      <c r="E378" s="49"/>
      <c r="F378" s="234"/>
      <c r="G378" s="237"/>
      <c r="H378" s="237"/>
      <c r="I378" s="237"/>
      <c r="J378" s="237"/>
      <c r="K378" s="237"/>
      <c r="L378" s="237"/>
      <c r="M378" s="238"/>
      <c r="N378" s="237"/>
      <c r="O378" s="237"/>
      <c r="P378" s="237"/>
      <c r="Q378" s="237"/>
      <c r="R378" s="237"/>
      <c r="S378" s="238"/>
      <c r="T378" s="237"/>
    </row>
    <row r="379" spans="2:20" x14ac:dyDescent="0.25">
      <c r="B379" s="236">
        <v>376</v>
      </c>
      <c r="E379" s="49"/>
      <c r="F379" s="234"/>
      <c r="G379" s="237"/>
      <c r="H379" s="237"/>
      <c r="I379" s="237"/>
      <c r="J379" s="237"/>
      <c r="K379" s="237"/>
      <c r="L379" s="237"/>
      <c r="M379" s="238"/>
      <c r="N379" s="237"/>
      <c r="O379" s="237"/>
      <c r="P379" s="237"/>
      <c r="Q379" s="237"/>
      <c r="R379" s="237"/>
      <c r="S379" s="238"/>
      <c r="T379" s="237"/>
    </row>
    <row r="380" spans="2:20" x14ac:dyDescent="0.25">
      <c r="B380" s="236">
        <v>377</v>
      </c>
      <c r="E380" s="49"/>
      <c r="F380" s="234"/>
      <c r="G380" s="237"/>
      <c r="H380" s="237"/>
      <c r="I380" s="237"/>
      <c r="J380" s="237"/>
      <c r="K380" s="237"/>
      <c r="L380" s="237"/>
      <c r="M380" s="238"/>
      <c r="N380" s="237"/>
      <c r="O380" s="237"/>
      <c r="P380" s="237"/>
      <c r="Q380" s="237"/>
      <c r="R380" s="237"/>
      <c r="S380" s="238"/>
      <c r="T380" s="237"/>
    </row>
    <row r="381" spans="2:20" x14ac:dyDescent="0.25">
      <c r="B381" s="236">
        <v>378</v>
      </c>
      <c r="E381" s="49"/>
      <c r="F381" s="234"/>
      <c r="G381" s="237"/>
      <c r="H381" s="237"/>
      <c r="I381" s="237"/>
      <c r="J381" s="237"/>
      <c r="K381" s="237"/>
      <c r="L381" s="237"/>
      <c r="M381" s="238"/>
      <c r="N381" s="237"/>
      <c r="O381" s="237"/>
      <c r="P381" s="237"/>
      <c r="Q381" s="237"/>
      <c r="R381" s="237"/>
      <c r="S381" s="238"/>
      <c r="T381" s="237"/>
    </row>
    <row r="382" spans="2:20" x14ac:dyDescent="0.25">
      <c r="B382" s="236">
        <v>379</v>
      </c>
      <c r="E382" s="49"/>
      <c r="F382" s="234"/>
      <c r="G382" s="237"/>
      <c r="H382" s="237"/>
      <c r="I382" s="237"/>
      <c r="J382" s="237"/>
      <c r="K382" s="237"/>
      <c r="L382" s="237"/>
      <c r="M382" s="238"/>
      <c r="N382" s="237"/>
      <c r="O382" s="237"/>
      <c r="P382" s="237"/>
      <c r="Q382" s="237"/>
      <c r="R382" s="237"/>
      <c r="S382" s="238"/>
      <c r="T382" s="237"/>
    </row>
    <row r="383" spans="2:20" x14ac:dyDescent="0.25">
      <c r="B383" s="236">
        <v>380</v>
      </c>
      <c r="E383" s="49"/>
      <c r="F383" s="234"/>
      <c r="G383" s="237"/>
      <c r="H383" s="237"/>
      <c r="I383" s="237"/>
      <c r="J383" s="237"/>
      <c r="K383" s="237"/>
      <c r="L383" s="237"/>
      <c r="M383" s="238"/>
      <c r="N383" s="237"/>
      <c r="O383" s="237"/>
      <c r="P383" s="237"/>
      <c r="Q383" s="237"/>
      <c r="R383" s="237"/>
      <c r="S383" s="238"/>
      <c r="T383" s="237"/>
    </row>
    <row r="384" spans="2:20" x14ac:dyDescent="0.25">
      <c r="B384" s="236">
        <v>381</v>
      </c>
      <c r="E384" s="49"/>
      <c r="F384" s="234"/>
      <c r="G384" s="237"/>
      <c r="H384" s="237"/>
      <c r="I384" s="237"/>
      <c r="J384" s="237"/>
      <c r="K384" s="237"/>
      <c r="L384" s="237"/>
      <c r="M384" s="238"/>
      <c r="N384" s="237"/>
      <c r="O384" s="237"/>
      <c r="P384" s="237"/>
      <c r="Q384" s="237"/>
      <c r="R384" s="237"/>
      <c r="S384" s="238"/>
      <c r="T384" s="237"/>
    </row>
    <row r="385" spans="2:20" x14ac:dyDescent="0.25">
      <c r="B385" s="236">
        <v>382</v>
      </c>
      <c r="E385" s="49"/>
      <c r="F385" s="234"/>
      <c r="G385" s="237"/>
      <c r="H385" s="237"/>
      <c r="I385" s="237"/>
      <c r="J385" s="237"/>
      <c r="K385" s="237"/>
      <c r="L385" s="237"/>
      <c r="M385" s="238"/>
      <c r="N385" s="237"/>
      <c r="O385" s="237"/>
      <c r="P385" s="237"/>
      <c r="Q385" s="237"/>
      <c r="R385" s="237"/>
      <c r="S385" s="238"/>
      <c r="T385" s="237"/>
    </row>
    <row r="386" spans="2:20" x14ac:dyDescent="0.25">
      <c r="B386" s="236">
        <v>383</v>
      </c>
      <c r="E386" s="49"/>
      <c r="F386" s="234"/>
      <c r="G386" s="237"/>
      <c r="H386" s="237"/>
      <c r="I386" s="237"/>
      <c r="J386" s="237"/>
      <c r="K386" s="237"/>
      <c r="L386" s="237"/>
      <c r="M386" s="238"/>
      <c r="N386" s="237"/>
      <c r="O386" s="237"/>
      <c r="P386" s="237"/>
      <c r="Q386" s="237"/>
      <c r="R386" s="237"/>
      <c r="S386" s="238"/>
      <c r="T386" s="237"/>
    </row>
    <row r="387" spans="2:20" x14ac:dyDescent="0.25">
      <c r="B387" s="236">
        <v>384</v>
      </c>
      <c r="E387" s="49"/>
      <c r="F387" s="234"/>
      <c r="G387" s="237"/>
      <c r="H387" s="237"/>
      <c r="I387" s="237"/>
      <c r="J387" s="237"/>
      <c r="K387" s="237"/>
      <c r="L387" s="237"/>
      <c r="M387" s="238"/>
      <c r="N387" s="237"/>
      <c r="O387" s="237"/>
      <c r="P387" s="237"/>
      <c r="Q387" s="237"/>
      <c r="R387" s="237"/>
      <c r="S387" s="238"/>
      <c r="T387" s="237"/>
    </row>
    <row r="388" spans="2:20" x14ac:dyDescent="0.25">
      <c r="B388" s="236">
        <v>385</v>
      </c>
      <c r="E388" s="49"/>
      <c r="F388" s="234"/>
      <c r="G388" s="237"/>
      <c r="H388" s="237"/>
      <c r="I388" s="237"/>
      <c r="J388" s="237"/>
      <c r="K388" s="237"/>
      <c r="L388" s="237"/>
      <c r="M388" s="238"/>
      <c r="N388" s="237"/>
      <c r="O388" s="237"/>
      <c r="P388" s="237"/>
      <c r="Q388" s="237"/>
      <c r="R388" s="237"/>
      <c r="S388" s="238"/>
      <c r="T388" s="237"/>
    </row>
    <row r="389" spans="2:20" x14ac:dyDescent="0.25">
      <c r="B389" s="236">
        <v>386</v>
      </c>
      <c r="E389" s="49"/>
      <c r="F389" s="234"/>
      <c r="G389" s="237"/>
      <c r="H389" s="237"/>
      <c r="I389" s="237"/>
      <c r="J389" s="237"/>
      <c r="K389" s="237"/>
      <c r="L389" s="237"/>
      <c r="M389" s="238"/>
      <c r="N389" s="237"/>
      <c r="O389" s="237"/>
      <c r="P389" s="237"/>
      <c r="Q389" s="237"/>
      <c r="R389" s="237"/>
      <c r="S389" s="238"/>
      <c r="T389" s="237"/>
    </row>
    <row r="390" spans="2:20" x14ac:dyDescent="0.25">
      <c r="B390" s="236">
        <v>387</v>
      </c>
      <c r="E390" s="49"/>
      <c r="F390" s="234"/>
      <c r="G390" s="237"/>
      <c r="H390" s="237"/>
      <c r="I390" s="237"/>
      <c r="J390" s="237"/>
      <c r="K390" s="237"/>
      <c r="L390" s="237"/>
      <c r="M390" s="238"/>
      <c r="N390" s="237"/>
      <c r="O390" s="237"/>
      <c r="P390" s="237"/>
      <c r="Q390" s="237"/>
      <c r="R390" s="237"/>
      <c r="S390" s="238"/>
      <c r="T390" s="237"/>
    </row>
    <row r="391" spans="2:20" x14ac:dyDescent="0.25">
      <c r="B391" s="236">
        <v>388</v>
      </c>
      <c r="E391" s="49"/>
      <c r="F391" s="234"/>
      <c r="G391" s="237"/>
      <c r="H391" s="237"/>
      <c r="I391" s="237"/>
      <c r="J391" s="237"/>
      <c r="K391" s="237"/>
      <c r="L391" s="237"/>
      <c r="M391" s="238"/>
      <c r="N391" s="237"/>
      <c r="O391" s="237"/>
      <c r="P391" s="237"/>
      <c r="Q391" s="237"/>
      <c r="R391" s="237"/>
      <c r="S391" s="238"/>
      <c r="T391" s="237"/>
    </row>
    <row r="392" spans="2:20" x14ac:dyDescent="0.25">
      <c r="B392" s="236">
        <v>389</v>
      </c>
      <c r="E392" s="49"/>
      <c r="F392" s="234"/>
      <c r="G392" s="237"/>
      <c r="H392" s="237"/>
      <c r="I392" s="237"/>
      <c r="J392" s="237"/>
      <c r="K392" s="237"/>
      <c r="L392" s="237"/>
      <c r="M392" s="238"/>
      <c r="N392" s="237"/>
      <c r="O392" s="237"/>
      <c r="P392" s="237"/>
      <c r="Q392" s="237"/>
      <c r="R392" s="237"/>
      <c r="S392" s="238"/>
      <c r="T392" s="237"/>
    </row>
    <row r="393" spans="2:20" x14ac:dyDescent="0.25">
      <c r="B393" s="236">
        <v>390</v>
      </c>
      <c r="E393" s="49"/>
      <c r="F393" s="234"/>
      <c r="G393" s="237"/>
      <c r="H393" s="237"/>
      <c r="I393" s="237"/>
      <c r="J393" s="237"/>
      <c r="K393" s="237"/>
      <c r="L393" s="237"/>
      <c r="M393" s="238"/>
      <c r="N393" s="237"/>
      <c r="O393" s="237"/>
      <c r="P393" s="237"/>
      <c r="Q393" s="237"/>
      <c r="R393" s="237"/>
      <c r="S393" s="238"/>
      <c r="T393" s="237"/>
    </row>
    <row r="394" spans="2:20" x14ac:dyDescent="0.25">
      <c r="B394" s="236">
        <v>391</v>
      </c>
      <c r="E394" s="49"/>
      <c r="F394" s="234"/>
      <c r="G394" s="237"/>
      <c r="H394" s="237"/>
      <c r="I394" s="237"/>
      <c r="J394" s="237"/>
      <c r="K394" s="237"/>
      <c r="L394" s="237"/>
      <c r="M394" s="238"/>
      <c r="N394" s="237"/>
      <c r="O394" s="237"/>
      <c r="P394" s="237"/>
      <c r="Q394" s="237"/>
      <c r="R394" s="237"/>
      <c r="S394" s="238"/>
      <c r="T394" s="237"/>
    </row>
    <row r="395" spans="2:20" x14ac:dyDescent="0.25">
      <c r="B395" s="236">
        <v>392</v>
      </c>
      <c r="E395" s="49"/>
      <c r="F395" s="234"/>
      <c r="G395" s="237"/>
      <c r="H395" s="237"/>
      <c r="I395" s="237"/>
      <c r="J395" s="237"/>
      <c r="K395" s="237"/>
      <c r="L395" s="237"/>
      <c r="M395" s="238"/>
      <c r="N395" s="237"/>
      <c r="O395" s="237"/>
      <c r="P395" s="237"/>
      <c r="Q395" s="237"/>
      <c r="R395" s="237"/>
      <c r="S395" s="238"/>
      <c r="T395" s="237"/>
    </row>
    <row r="396" spans="2:20" x14ac:dyDescent="0.25">
      <c r="B396" s="236">
        <v>393</v>
      </c>
      <c r="E396" s="49"/>
      <c r="F396" s="234"/>
      <c r="G396" s="237"/>
      <c r="H396" s="237"/>
      <c r="I396" s="237"/>
      <c r="J396" s="237"/>
      <c r="K396" s="237"/>
      <c r="L396" s="237"/>
      <c r="M396" s="238"/>
      <c r="N396" s="237"/>
      <c r="O396" s="237"/>
      <c r="P396" s="237"/>
      <c r="Q396" s="237"/>
      <c r="R396" s="237"/>
      <c r="S396" s="238"/>
      <c r="T396" s="237"/>
    </row>
    <row r="397" spans="2:20" x14ac:dyDescent="0.25">
      <c r="B397" s="236">
        <v>394</v>
      </c>
      <c r="E397" s="49"/>
      <c r="F397" s="234"/>
      <c r="G397" s="237"/>
      <c r="H397" s="237"/>
      <c r="I397" s="237"/>
      <c r="J397" s="237"/>
      <c r="K397" s="237"/>
      <c r="L397" s="237"/>
      <c r="M397" s="238"/>
      <c r="N397" s="237"/>
      <c r="O397" s="237"/>
      <c r="P397" s="237"/>
      <c r="Q397" s="237"/>
      <c r="R397" s="237"/>
      <c r="S397" s="238"/>
      <c r="T397" s="237"/>
    </row>
    <row r="398" spans="2:20" x14ac:dyDescent="0.25">
      <c r="B398" s="236">
        <v>395</v>
      </c>
      <c r="E398" s="49"/>
      <c r="F398" s="234"/>
      <c r="G398" s="237"/>
      <c r="H398" s="237"/>
      <c r="I398" s="237"/>
      <c r="J398" s="237"/>
      <c r="K398" s="237"/>
      <c r="L398" s="237"/>
      <c r="M398" s="238"/>
      <c r="N398" s="237"/>
      <c r="O398" s="237"/>
      <c r="P398" s="237"/>
      <c r="Q398" s="237"/>
      <c r="R398" s="237"/>
      <c r="S398" s="238"/>
      <c r="T398" s="237"/>
    </row>
    <row r="399" spans="2:20" x14ac:dyDescent="0.25">
      <c r="B399" s="236">
        <v>396</v>
      </c>
      <c r="E399" s="49"/>
      <c r="F399" s="234"/>
      <c r="G399" s="237"/>
      <c r="H399" s="237"/>
      <c r="I399" s="237"/>
      <c r="J399" s="237"/>
      <c r="K399" s="237"/>
      <c r="L399" s="237"/>
      <c r="M399" s="238"/>
      <c r="N399" s="237"/>
      <c r="O399" s="237"/>
      <c r="P399" s="237"/>
      <c r="Q399" s="237"/>
      <c r="R399" s="237"/>
      <c r="S399" s="238"/>
      <c r="T399" s="237"/>
    </row>
    <row r="400" spans="2:20" x14ac:dyDescent="0.25">
      <c r="B400" s="236">
        <v>397</v>
      </c>
      <c r="E400" s="49"/>
      <c r="F400" s="234"/>
      <c r="G400" s="237"/>
      <c r="H400" s="237"/>
      <c r="I400" s="237"/>
      <c r="J400" s="237"/>
      <c r="K400" s="237"/>
      <c r="L400" s="237"/>
      <c r="M400" s="238"/>
      <c r="N400" s="237"/>
      <c r="O400" s="237"/>
      <c r="P400" s="237"/>
      <c r="Q400" s="237"/>
      <c r="R400" s="237"/>
      <c r="S400" s="238"/>
      <c r="T400" s="237"/>
    </row>
    <row r="401" spans="2:20" x14ac:dyDescent="0.25">
      <c r="B401" s="236">
        <v>398</v>
      </c>
      <c r="E401" s="49"/>
      <c r="F401" s="234"/>
      <c r="G401" s="237"/>
      <c r="H401" s="237"/>
      <c r="I401" s="237"/>
      <c r="J401" s="237"/>
      <c r="K401" s="237"/>
      <c r="L401" s="237"/>
      <c r="M401" s="238"/>
      <c r="N401" s="237"/>
      <c r="O401" s="237"/>
      <c r="P401" s="237"/>
      <c r="Q401" s="237"/>
      <c r="R401" s="237"/>
      <c r="S401" s="238"/>
      <c r="T401" s="237"/>
    </row>
    <row r="402" spans="2:20" x14ac:dyDescent="0.25">
      <c r="B402" s="236">
        <v>399</v>
      </c>
      <c r="E402" s="49"/>
      <c r="F402" s="234"/>
      <c r="G402" s="237"/>
      <c r="H402" s="237"/>
      <c r="I402" s="237"/>
      <c r="J402" s="237"/>
      <c r="K402" s="237"/>
      <c r="L402" s="237"/>
      <c r="M402" s="238"/>
      <c r="N402" s="237"/>
      <c r="O402" s="237"/>
      <c r="P402" s="237"/>
      <c r="Q402" s="237"/>
      <c r="R402" s="237"/>
      <c r="S402" s="238"/>
      <c r="T402" s="237"/>
    </row>
    <row r="403" spans="2:20" x14ac:dyDescent="0.25">
      <c r="B403" s="236">
        <v>400</v>
      </c>
      <c r="E403" s="49"/>
      <c r="F403" s="234"/>
      <c r="G403" s="237"/>
      <c r="H403" s="237"/>
      <c r="I403" s="237"/>
      <c r="J403" s="237"/>
      <c r="K403" s="237"/>
      <c r="L403" s="237"/>
      <c r="M403" s="238"/>
      <c r="N403" s="237"/>
      <c r="O403" s="237"/>
      <c r="P403" s="237"/>
      <c r="Q403" s="237"/>
      <c r="R403" s="237"/>
      <c r="S403" s="238"/>
      <c r="T403" s="237"/>
    </row>
    <row r="404" spans="2:20" x14ac:dyDescent="0.25">
      <c r="B404" s="236">
        <v>401</v>
      </c>
      <c r="E404" s="49"/>
      <c r="F404" s="234"/>
      <c r="G404" s="237"/>
      <c r="H404" s="237"/>
      <c r="I404" s="237"/>
      <c r="J404" s="237"/>
      <c r="K404" s="237"/>
      <c r="L404" s="237"/>
      <c r="M404" s="238"/>
      <c r="N404" s="237"/>
      <c r="O404" s="237"/>
      <c r="P404" s="237"/>
      <c r="Q404" s="237"/>
      <c r="R404" s="237"/>
      <c r="S404" s="238"/>
      <c r="T404" s="237"/>
    </row>
    <row r="405" spans="2:20" x14ac:dyDescent="0.25">
      <c r="B405" s="236">
        <v>402</v>
      </c>
      <c r="E405" s="49"/>
      <c r="F405" s="234"/>
      <c r="G405" s="237"/>
      <c r="H405" s="237"/>
      <c r="I405" s="237"/>
      <c r="J405" s="237"/>
      <c r="K405" s="237"/>
      <c r="L405" s="237"/>
      <c r="M405" s="238"/>
      <c r="N405" s="237"/>
      <c r="O405" s="237"/>
      <c r="P405" s="237"/>
      <c r="Q405" s="237"/>
      <c r="R405" s="237"/>
      <c r="S405" s="238"/>
      <c r="T405" s="237"/>
    </row>
    <row r="406" spans="2:20" x14ac:dyDescent="0.25">
      <c r="B406" s="236">
        <v>403</v>
      </c>
      <c r="E406" s="49"/>
      <c r="F406" s="234"/>
      <c r="G406" s="237"/>
      <c r="H406" s="237"/>
      <c r="I406" s="237"/>
      <c r="J406" s="237"/>
      <c r="K406" s="237"/>
      <c r="L406" s="237"/>
      <c r="M406" s="238"/>
      <c r="N406" s="237"/>
      <c r="O406" s="237"/>
      <c r="P406" s="237"/>
      <c r="Q406" s="237"/>
      <c r="R406" s="237"/>
      <c r="S406" s="238"/>
      <c r="T406" s="237"/>
    </row>
    <row r="407" spans="2:20" x14ac:dyDescent="0.25">
      <c r="B407" s="236">
        <v>404</v>
      </c>
      <c r="E407" s="49"/>
      <c r="F407" s="234"/>
      <c r="G407" s="237"/>
      <c r="H407" s="237"/>
      <c r="I407" s="237"/>
      <c r="J407" s="237"/>
      <c r="K407" s="237"/>
      <c r="L407" s="237"/>
      <c r="M407" s="238"/>
      <c r="N407" s="237"/>
      <c r="O407" s="237"/>
      <c r="P407" s="237"/>
      <c r="Q407" s="237"/>
      <c r="R407" s="237"/>
      <c r="S407" s="238"/>
      <c r="T407" s="237"/>
    </row>
    <row r="408" spans="2:20" x14ac:dyDescent="0.25">
      <c r="B408" s="236">
        <v>405</v>
      </c>
      <c r="E408" s="49"/>
      <c r="F408" s="234"/>
      <c r="G408" s="237"/>
      <c r="H408" s="237"/>
      <c r="I408" s="237"/>
      <c r="J408" s="237"/>
      <c r="K408" s="237"/>
      <c r="L408" s="237"/>
      <c r="M408" s="238"/>
      <c r="N408" s="237"/>
      <c r="O408" s="237"/>
      <c r="P408" s="237"/>
      <c r="Q408" s="237"/>
      <c r="R408" s="237"/>
      <c r="S408" s="238"/>
      <c r="T408" s="237"/>
    </row>
    <row r="409" spans="2:20" x14ac:dyDescent="0.25">
      <c r="B409" s="236">
        <v>406</v>
      </c>
      <c r="E409" s="49"/>
      <c r="F409" s="234"/>
      <c r="G409" s="237"/>
      <c r="H409" s="237"/>
      <c r="I409" s="237"/>
      <c r="J409" s="237"/>
      <c r="K409" s="237"/>
      <c r="L409" s="237"/>
      <c r="M409" s="238"/>
      <c r="N409" s="237"/>
      <c r="O409" s="237"/>
      <c r="P409" s="237"/>
      <c r="Q409" s="237"/>
      <c r="R409" s="237"/>
      <c r="S409" s="238"/>
      <c r="T409" s="237"/>
    </row>
    <row r="410" spans="2:20" x14ac:dyDescent="0.25">
      <c r="B410" s="236">
        <v>407</v>
      </c>
      <c r="E410" s="49"/>
      <c r="F410" s="234"/>
      <c r="G410" s="237"/>
      <c r="H410" s="237"/>
      <c r="I410" s="237"/>
      <c r="J410" s="237"/>
      <c r="K410" s="237"/>
      <c r="L410" s="237"/>
      <c r="M410" s="238"/>
      <c r="N410" s="237"/>
      <c r="O410" s="237"/>
      <c r="P410" s="237"/>
      <c r="Q410" s="237"/>
      <c r="R410" s="237"/>
      <c r="S410" s="238"/>
      <c r="T410" s="237"/>
    </row>
    <row r="411" spans="2:20" x14ac:dyDescent="0.25">
      <c r="B411" s="236">
        <v>408</v>
      </c>
      <c r="E411" s="49"/>
      <c r="F411" s="234"/>
      <c r="G411" s="237"/>
      <c r="H411" s="237"/>
      <c r="I411" s="237"/>
      <c r="J411" s="237"/>
      <c r="K411" s="237"/>
      <c r="L411" s="237"/>
      <c r="M411" s="238"/>
      <c r="N411" s="237"/>
      <c r="O411" s="237"/>
      <c r="P411" s="237"/>
      <c r="Q411" s="237"/>
      <c r="R411" s="237"/>
      <c r="S411" s="238"/>
      <c r="T411" s="237"/>
    </row>
    <row r="412" spans="2:20" x14ac:dyDescent="0.25">
      <c r="B412" s="236">
        <v>409</v>
      </c>
      <c r="E412" s="49"/>
      <c r="F412" s="234"/>
      <c r="G412" s="237"/>
      <c r="H412" s="237"/>
      <c r="I412" s="237"/>
      <c r="J412" s="237"/>
      <c r="K412" s="237"/>
      <c r="L412" s="237"/>
      <c r="M412" s="238"/>
      <c r="N412" s="237"/>
      <c r="O412" s="237"/>
      <c r="P412" s="237"/>
      <c r="Q412" s="237"/>
      <c r="R412" s="237"/>
      <c r="S412" s="238"/>
      <c r="T412" s="237"/>
    </row>
    <row r="413" spans="2:20" x14ac:dyDescent="0.25">
      <c r="B413" s="236">
        <v>410</v>
      </c>
      <c r="E413" s="49"/>
      <c r="F413" s="234"/>
      <c r="G413" s="237"/>
      <c r="H413" s="237"/>
      <c r="I413" s="237"/>
      <c r="J413" s="237"/>
      <c r="K413" s="237"/>
      <c r="L413" s="237"/>
      <c r="M413" s="238"/>
      <c r="N413" s="237"/>
      <c r="O413" s="237"/>
      <c r="P413" s="237"/>
      <c r="Q413" s="237"/>
      <c r="R413" s="237"/>
      <c r="S413" s="238"/>
      <c r="T413" s="237"/>
    </row>
    <row r="414" spans="2:20" x14ac:dyDescent="0.25">
      <c r="B414" s="236">
        <v>411</v>
      </c>
      <c r="E414" s="49"/>
      <c r="F414" s="234"/>
      <c r="G414" s="237"/>
      <c r="H414" s="237"/>
      <c r="I414" s="237"/>
      <c r="J414" s="237"/>
      <c r="K414" s="237"/>
      <c r="L414" s="237"/>
      <c r="M414" s="238"/>
      <c r="N414" s="237"/>
      <c r="O414" s="237"/>
      <c r="P414" s="237"/>
      <c r="Q414" s="237"/>
      <c r="R414" s="237"/>
      <c r="S414" s="238"/>
      <c r="T414" s="237"/>
    </row>
    <row r="415" spans="2:20" x14ac:dyDescent="0.25">
      <c r="B415" s="236">
        <v>412</v>
      </c>
      <c r="E415" s="49"/>
      <c r="F415" s="234"/>
      <c r="G415" s="237"/>
      <c r="H415" s="237"/>
      <c r="I415" s="237"/>
      <c r="J415" s="237"/>
      <c r="K415" s="237"/>
      <c r="L415" s="237"/>
      <c r="M415" s="238"/>
      <c r="N415" s="237"/>
      <c r="O415" s="237"/>
      <c r="P415" s="237"/>
      <c r="Q415" s="237"/>
      <c r="R415" s="237"/>
      <c r="S415" s="238"/>
      <c r="T415" s="237"/>
    </row>
    <row r="416" spans="2:20" x14ac:dyDescent="0.25">
      <c r="B416" s="236">
        <v>413</v>
      </c>
      <c r="E416" s="49"/>
      <c r="F416" s="234"/>
      <c r="G416" s="237"/>
      <c r="H416" s="237"/>
      <c r="I416" s="237"/>
      <c r="J416" s="237"/>
      <c r="K416" s="237"/>
      <c r="L416" s="237"/>
      <c r="M416" s="238"/>
      <c r="N416" s="237"/>
      <c r="O416" s="237"/>
      <c r="P416" s="237"/>
      <c r="Q416" s="237"/>
      <c r="R416" s="237"/>
      <c r="S416" s="238"/>
      <c r="T416" s="237"/>
    </row>
    <row r="417" spans="2:20" x14ac:dyDescent="0.25">
      <c r="B417" s="236">
        <v>414</v>
      </c>
      <c r="E417" s="49"/>
      <c r="F417" s="234"/>
      <c r="G417" s="237"/>
      <c r="H417" s="237"/>
      <c r="I417" s="237"/>
      <c r="J417" s="237"/>
      <c r="K417" s="237"/>
      <c r="L417" s="237"/>
      <c r="M417" s="238"/>
      <c r="N417" s="237"/>
      <c r="O417" s="237"/>
      <c r="P417" s="237"/>
      <c r="Q417" s="237"/>
      <c r="R417" s="237"/>
      <c r="S417" s="238"/>
      <c r="T417" s="237"/>
    </row>
    <row r="418" spans="2:20" x14ac:dyDescent="0.25">
      <c r="B418" s="236">
        <v>415</v>
      </c>
      <c r="E418" s="49"/>
      <c r="F418" s="234"/>
      <c r="G418" s="237"/>
      <c r="H418" s="237"/>
      <c r="I418" s="237"/>
      <c r="J418" s="237"/>
      <c r="K418" s="237"/>
      <c r="L418" s="237"/>
      <c r="M418" s="238"/>
      <c r="N418" s="237"/>
      <c r="O418" s="237"/>
      <c r="P418" s="237"/>
      <c r="Q418" s="237"/>
      <c r="R418" s="237"/>
      <c r="S418" s="238"/>
      <c r="T418" s="237"/>
    </row>
    <row r="419" spans="2:20" x14ac:dyDescent="0.25">
      <c r="B419" s="236">
        <v>416</v>
      </c>
      <c r="E419" s="49"/>
      <c r="F419" s="234"/>
      <c r="G419" s="237"/>
      <c r="H419" s="237"/>
      <c r="I419" s="237"/>
      <c r="J419" s="237"/>
      <c r="K419" s="237"/>
      <c r="L419" s="237"/>
      <c r="M419" s="238"/>
      <c r="N419" s="237"/>
      <c r="O419" s="237"/>
      <c r="P419" s="237"/>
      <c r="Q419" s="237"/>
      <c r="R419" s="237"/>
      <c r="S419" s="238"/>
      <c r="T419" s="237"/>
    </row>
    <row r="420" spans="2:20" x14ac:dyDescent="0.25">
      <c r="B420" s="236">
        <v>417</v>
      </c>
      <c r="E420" s="49"/>
      <c r="F420" s="234"/>
      <c r="G420" s="237"/>
      <c r="H420" s="237"/>
      <c r="I420" s="237"/>
      <c r="J420" s="237"/>
      <c r="K420" s="237"/>
      <c r="L420" s="237"/>
      <c r="M420" s="238"/>
      <c r="N420" s="237"/>
      <c r="O420" s="237"/>
      <c r="P420" s="237"/>
      <c r="Q420" s="237"/>
      <c r="R420" s="237"/>
      <c r="S420" s="238"/>
      <c r="T420" s="237"/>
    </row>
    <row r="421" spans="2:20" x14ac:dyDescent="0.25">
      <c r="B421" s="236">
        <v>418</v>
      </c>
      <c r="E421" s="49"/>
      <c r="F421" s="234"/>
      <c r="G421" s="237"/>
      <c r="H421" s="237"/>
      <c r="I421" s="237"/>
      <c r="J421" s="237"/>
      <c r="K421" s="237"/>
      <c r="L421" s="237"/>
      <c r="M421" s="238"/>
      <c r="N421" s="237"/>
      <c r="O421" s="237"/>
      <c r="P421" s="237"/>
      <c r="Q421" s="237"/>
      <c r="R421" s="237"/>
      <c r="S421" s="238"/>
      <c r="T421" s="237"/>
    </row>
    <row r="422" spans="2:20" x14ac:dyDescent="0.25">
      <c r="B422" s="236">
        <v>419</v>
      </c>
      <c r="E422" s="49"/>
      <c r="F422" s="234"/>
      <c r="G422" s="237"/>
      <c r="H422" s="237"/>
      <c r="I422" s="237"/>
      <c r="J422" s="237"/>
      <c r="K422" s="237"/>
      <c r="L422" s="237"/>
      <c r="M422" s="238"/>
      <c r="N422" s="237"/>
      <c r="O422" s="237"/>
      <c r="P422" s="237"/>
      <c r="Q422" s="237"/>
      <c r="R422" s="237"/>
      <c r="S422" s="238"/>
      <c r="T422" s="237"/>
    </row>
    <row r="423" spans="2:20" x14ac:dyDescent="0.25">
      <c r="B423" s="236">
        <v>420</v>
      </c>
      <c r="E423" s="49"/>
      <c r="F423" s="234"/>
      <c r="G423" s="237"/>
      <c r="H423" s="237"/>
      <c r="I423" s="237"/>
      <c r="J423" s="237"/>
      <c r="K423" s="237"/>
      <c r="L423" s="237"/>
      <c r="M423" s="238"/>
      <c r="N423" s="237"/>
      <c r="O423" s="237"/>
      <c r="P423" s="237"/>
      <c r="Q423" s="237"/>
      <c r="R423" s="237"/>
      <c r="S423" s="238"/>
      <c r="T423" s="237"/>
    </row>
    <row r="424" spans="2:20" x14ac:dyDescent="0.25">
      <c r="B424" s="236">
        <v>421</v>
      </c>
      <c r="E424" s="49"/>
      <c r="F424" s="234"/>
      <c r="G424" s="237"/>
      <c r="H424" s="237"/>
      <c r="I424" s="237"/>
      <c r="J424" s="237"/>
      <c r="K424" s="237"/>
      <c r="L424" s="237"/>
      <c r="M424" s="238"/>
      <c r="N424" s="237"/>
      <c r="O424" s="237"/>
      <c r="P424" s="237"/>
      <c r="Q424" s="237"/>
      <c r="R424" s="237"/>
      <c r="S424" s="238"/>
      <c r="T424" s="237"/>
    </row>
    <row r="425" spans="2:20" x14ac:dyDescent="0.25">
      <c r="B425" s="236">
        <v>422</v>
      </c>
      <c r="E425" s="49"/>
      <c r="F425" s="234"/>
      <c r="G425" s="237"/>
      <c r="H425" s="237"/>
      <c r="I425" s="237"/>
      <c r="J425" s="237"/>
      <c r="K425" s="237"/>
      <c r="L425" s="237"/>
      <c r="M425" s="238"/>
      <c r="N425" s="237"/>
      <c r="O425" s="237"/>
      <c r="P425" s="237"/>
      <c r="Q425" s="237"/>
      <c r="R425" s="237"/>
      <c r="S425" s="238"/>
      <c r="T425" s="237"/>
    </row>
    <row r="426" spans="2:20" x14ac:dyDescent="0.25">
      <c r="B426" s="236">
        <v>423</v>
      </c>
      <c r="E426" s="49"/>
      <c r="F426" s="234"/>
      <c r="G426" s="237"/>
      <c r="H426" s="237"/>
      <c r="I426" s="237"/>
      <c r="J426" s="237"/>
      <c r="K426" s="237"/>
      <c r="L426" s="237"/>
      <c r="M426" s="238"/>
      <c r="N426" s="237"/>
      <c r="O426" s="237"/>
      <c r="P426" s="237"/>
      <c r="Q426" s="237"/>
      <c r="R426" s="237"/>
      <c r="S426" s="238"/>
      <c r="T426" s="237"/>
    </row>
    <row r="427" spans="2:20" x14ac:dyDescent="0.25">
      <c r="B427" s="236">
        <v>424</v>
      </c>
      <c r="E427" s="49"/>
      <c r="F427" s="234"/>
      <c r="G427" s="237"/>
      <c r="H427" s="237"/>
      <c r="I427" s="237"/>
      <c r="J427" s="237"/>
      <c r="K427" s="237"/>
      <c r="L427" s="237"/>
      <c r="M427" s="238"/>
      <c r="N427" s="237"/>
      <c r="O427" s="237"/>
      <c r="P427" s="237"/>
      <c r="Q427" s="237"/>
      <c r="R427" s="237"/>
      <c r="S427" s="238"/>
      <c r="T427" s="237"/>
    </row>
    <row r="428" spans="2:20" x14ac:dyDescent="0.25">
      <c r="B428" s="236">
        <v>425</v>
      </c>
      <c r="E428" s="49"/>
      <c r="F428" s="234"/>
      <c r="G428" s="237"/>
      <c r="H428" s="237"/>
      <c r="I428" s="237"/>
      <c r="J428" s="237"/>
      <c r="K428" s="237"/>
      <c r="L428" s="237"/>
      <c r="M428" s="238"/>
      <c r="N428" s="237"/>
      <c r="O428" s="237"/>
      <c r="P428" s="237"/>
      <c r="Q428" s="237"/>
      <c r="R428" s="237"/>
      <c r="S428" s="238"/>
      <c r="T428" s="237"/>
    </row>
    <row r="429" spans="2:20" x14ac:dyDescent="0.25">
      <c r="B429" s="236">
        <v>426</v>
      </c>
      <c r="E429" s="49"/>
      <c r="F429" s="234"/>
      <c r="G429" s="237"/>
      <c r="H429" s="237"/>
      <c r="I429" s="237"/>
      <c r="J429" s="237"/>
      <c r="K429" s="237"/>
      <c r="L429" s="237"/>
      <c r="M429" s="238"/>
      <c r="N429" s="237"/>
      <c r="O429" s="237"/>
      <c r="P429" s="237"/>
      <c r="Q429" s="237"/>
      <c r="R429" s="237"/>
      <c r="S429" s="238"/>
      <c r="T429" s="237"/>
    </row>
    <row r="430" spans="2:20" x14ac:dyDescent="0.25">
      <c r="B430" s="236">
        <v>427</v>
      </c>
      <c r="E430" s="49"/>
      <c r="F430" s="234"/>
      <c r="G430" s="237"/>
      <c r="H430" s="237"/>
      <c r="I430" s="237"/>
      <c r="J430" s="237"/>
      <c r="K430" s="237"/>
      <c r="L430" s="237"/>
      <c r="M430" s="238"/>
      <c r="N430" s="237"/>
      <c r="O430" s="237"/>
      <c r="P430" s="237"/>
      <c r="Q430" s="237"/>
      <c r="R430" s="237"/>
      <c r="S430" s="238"/>
      <c r="T430" s="237"/>
    </row>
    <row r="431" spans="2:20" x14ac:dyDescent="0.25">
      <c r="B431" s="236">
        <v>428</v>
      </c>
      <c r="E431" s="49"/>
      <c r="F431" s="234"/>
      <c r="G431" s="237"/>
      <c r="H431" s="237"/>
      <c r="I431" s="237"/>
      <c r="J431" s="237"/>
      <c r="K431" s="237"/>
      <c r="L431" s="237"/>
      <c r="M431" s="238"/>
      <c r="N431" s="237"/>
      <c r="O431" s="237"/>
      <c r="P431" s="237"/>
      <c r="Q431" s="237"/>
      <c r="R431" s="237"/>
      <c r="S431" s="238"/>
      <c r="T431" s="237"/>
    </row>
    <row r="432" spans="2:20" x14ac:dyDescent="0.25">
      <c r="B432" s="236">
        <v>429</v>
      </c>
      <c r="E432" s="49"/>
      <c r="F432" s="234"/>
      <c r="G432" s="237"/>
      <c r="H432" s="237"/>
      <c r="I432" s="237"/>
      <c r="J432" s="237"/>
      <c r="K432" s="237"/>
      <c r="L432" s="237"/>
      <c r="M432" s="238"/>
      <c r="N432" s="237"/>
      <c r="O432" s="237"/>
      <c r="P432" s="237"/>
      <c r="Q432" s="237"/>
      <c r="R432" s="237"/>
      <c r="S432" s="238"/>
      <c r="T432" s="237"/>
    </row>
    <row r="433" spans="2:20" x14ac:dyDescent="0.25">
      <c r="B433" s="236">
        <v>430</v>
      </c>
      <c r="E433" s="49"/>
      <c r="F433" s="234"/>
      <c r="G433" s="237"/>
      <c r="H433" s="237"/>
      <c r="I433" s="237"/>
      <c r="J433" s="237"/>
      <c r="K433" s="237"/>
      <c r="L433" s="237"/>
      <c r="M433" s="238"/>
      <c r="N433" s="237"/>
      <c r="O433" s="237"/>
      <c r="P433" s="237"/>
      <c r="Q433" s="237"/>
      <c r="R433" s="237"/>
      <c r="S433" s="238"/>
      <c r="T433" s="237"/>
    </row>
    <row r="434" spans="2:20" x14ac:dyDescent="0.25">
      <c r="B434" s="236">
        <v>431</v>
      </c>
      <c r="E434" s="49"/>
      <c r="F434" s="234"/>
      <c r="G434" s="237"/>
      <c r="H434" s="237"/>
      <c r="I434" s="237"/>
      <c r="J434" s="237"/>
      <c r="K434" s="237"/>
      <c r="L434" s="237"/>
      <c r="M434" s="238"/>
      <c r="N434" s="237"/>
      <c r="O434" s="237"/>
      <c r="P434" s="237"/>
      <c r="Q434" s="237"/>
      <c r="R434" s="237"/>
      <c r="S434" s="238"/>
      <c r="T434" s="237"/>
    </row>
    <row r="435" spans="2:20" x14ac:dyDescent="0.25">
      <c r="B435" s="236">
        <v>432</v>
      </c>
      <c r="E435" s="49"/>
      <c r="F435" s="234"/>
      <c r="G435" s="237"/>
      <c r="H435" s="237"/>
      <c r="I435" s="237"/>
      <c r="J435" s="237"/>
      <c r="K435" s="237"/>
      <c r="L435" s="237"/>
      <c r="M435" s="238"/>
      <c r="N435" s="237"/>
      <c r="O435" s="237"/>
      <c r="P435" s="237"/>
      <c r="Q435" s="237"/>
      <c r="R435" s="237"/>
      <c r="S435" s="238"/>
      <c r="T435" s="237"/>
    </row>
    <row r="436" spans="2:20" x14ac:dyDescent="0.25">
      <c r="B436" s="236">
        <v>433</v>
      </c>
      <c r="E436" s="49"/>
      <c r="F436" s="234"/>
      <c r="G436" s="237"/>
      <c r="H436" s="237"/>
      <c r="I436" s="237"/>
      <c r="J436" s="237"/>
      <c r="K436" s="237"/>
      <c r="L436" s="237"/>
      <c r="M436" s="238"/>
      <c r="N436" s="237"/>
      <c r="O436" s="237"/>
      <c r="P436" s="237"/>
      <c r="Q436" s="237"/>
      <c r="R436" s="237"/>
      <c r="S436" s="238"/>
      <c r="T436" s="237"/>
    </row>
    <row r="437" spans="2:20" x14ac:dyDescent="0.25">
      <c r="B437" s="236">
        <v>434</v>
      </c>
      <c r="E437" s="49"/>
      <c r="F437" s="234"/>
      <c r="G437" s="237"/>
      <c r="H437" s="237"/>
      <c r="I437" s="237"/>
      <c r="J437" s="237"/>
      <c r="K437" s="237"/>
      <c r="L437" s="237"/>
      <c r="M437" s="238"/>
      <c r="N437" s="237"/>
      <c r="O437" s="237"/>
      <c r="P437" s="237"/>
      <c r="Q437" s="237"/>
      <c r="R437" s="237"/>
      <c r="S437" s="238"/>
      <c r="T437" s="237"/>
    </row>
    <row r="438" spans="2:20" x14ac:dyDescent="0.25">
      <c r="B438" s="236">
        <v>435</v>
      </c>
      <c r="E438" s="49"/>
      <c r="F438" s="234"/>
      <c r="G438" s="237"/>
      <c r="H438" s="237"/>
      <c r="I438" s="237"/>
      <c r="J438" s="237"/>
      <c r="K438" s="237"/>
      <c r="L438" s="237"/>
      <c r="M438" s="238"/>
      <c r="N438" s="237"/>
      <c r="O438" s="237"/>
      <c r="P438" s="237"/>
      <c r="Q438" s="237"/>
      <c r="R438" s="237"/>
      <c r="S438" s="238"/>
      <c r="T438" s="237"/>
    </row>
    <row r="439" spans="2:20" x14ac:dyDescent="0.25">
      <c r="B439" s="236">
        <v>436</v>
      </c>
      <c r="E439" s="49"/>
      <c r="F439" s="234"/>
      <c r="G439" s="237"/>
      <c r="H439" s="237"/>
      <c r="I439" s="237"/>
      <c r="J439" s="237"/>
      <c r="K439" s="237"/>
      <c r="L439" s="237"/>
      <c r="M439" s="238"/>
      <c r="N439" s="237"/>
      <c r="O439" s="237"/>
      <c r="P439" s="237"/>
      <c r="Q439" s="237"/>
      <c r="R439" s="237"/>
      <c r="S439" s="238"/>
      <c r="T439" s="237"/>
    </row>
    <row r="440" spans="2:20" x14ac:dyDescent="0.25">
      <c r="B440" s="236">
        <v>437</v>
      </c>
      <c r="E440" s="49"/>
      <c r="F440" s="234"/>
      <c r="G440" s="237"/>
      <c r="H440" s="237"/>
      <c r="I440" s="237"/>
      <c r="J440" s="237"/>
      <c r="K440" s="237"/>
      <c r="L440" s="237"/>
      <c r="M440" s="238"/>
      <c r="N440" s="237"/>
      <c r="O440" s="237"/>
      <c r="P440" s="237"/>
      <c r="Q440" s="237"/>
      <c r="R440" s="237"/>
      <c r="S440" s="238"/>
      <c r="T440" s="237"/>
    </row>
    <row r="441" spans="2:20" x14ac:dyDescent="0.25">
      <c r="B441" s="236">
        <v>438</v>
      </c>
      <c r="E441" s="49"/>
    </row>
    <row r="442" spans="2:20" x14ac:dyDescent="0.25">
      <c r="B442" s="236">
        <v>439</v>
      </c>
      <c r="F442" s="109" t="str">
        <f>E224</f>
        <v>DRC Total</v>
      </c>
    </row>
    <row r="443" spans="2:20" x14ac:dyDescent="0.25">
      <c r="B443" s="236">
        <v>440</v>
      </c>
    </row>
    <row r="444" spans="2:20" x14ac:dyDescent="0.25">
      <c r="B444" s="236">
        <v>441</v>
      </c>
      <c r="E444" s="109" t="s">
        <v>220</v>
      </c>
      <c r="G444" s="187">
        <v>0.18</v>
      </c>
      <c r="H444" s="187"/>
      <c r="I444" s="187"/>
      <c r="J444" s="109" t="s">
        <v>221</v>
      </c>
    </row>
    <row r="445" spans="2:20" x14ac:dyDescent="0.25">
      <c r="B445" s="236">
        <v>442</v>
      </c>
      <c r="J445" s="187">
        <v>0.05</v>
      </c>
      <c r="K445" s="109" t="s">
        <v>219</v>
      </c>
    </row>
    <row r="446" spans="2:20" x14ac:dyDescent="0.25">
      <c r="B446" s="236">
        <v>443</v>
      </c>
      <c r="J446" s="180">
        <v>1.0895573625834787</v>
      </c>
      <c r="K446" s="109" t="s">
        <v>199</v>
      </c>
    </row>
    <row r="447" spans="2:20" x14ac:dyDescent="0.25">
      <c r="B447" s="236">
        <v>444</v>
      </c>
      <c r="J447" s="180">
        <v>0.78893018829129569</v>
      </c>
      <c r="K447" s="109" t="s">
        <v>200</v>
      </c>
    </row>
    <row r="448" spans="2:20" x14ac:dyDescent="0.25">
      <c r="B448" s="236">
        <v>445</v>
      </c>
      <c r="J448" s="180"/>
    </row>
    <row r="449" spans="2:19" x14ac:dyDescent="0.25">
      <c r="B449" s="236">
        <v>446</v>
      </c>
      <c r="J449" s="180"/>
    </row>
    <row r="450" spans="2:19" x14ac:dyDescent="0.25">
      <c r="B450" s="236">
        <v>447</v>
      </c>
    </row>
    <row r="451" spans="2:19" x14ac:dyDescent="0.25">
      <c r="B451" s="236">
        <v>448</v>
      </c>
      <c r="E451" s="179"/>
      <c r="N451" s="205" t="s">
        <v>197</v>
      </c>
      <c r="O451" s="211"/>
      <c r="P451" s="206"/>
      <c r="Q451" s="205" t="s">
        <v>198</v>
      </c>
      <c r="R451" s="211"/>
      <c r="S451" s="206"/>
    </row>
    <row r="452" spans="2:19" x14ac:dyDescent="0.25">
      <c r="B452" s="236">
        <v>449</v>
      </c>
      <c r="E452" s="106"/>
      <c r="N452" s="150" t="s">
        <v>184</v>
      </c>
      <c r="O452" s="150" t="s">
        <v>77</v>
      </c>
      <c r="P452" s="150" t="s">
        <v>173</v>
      </c>
      <c r="Q452" s="150" t="s">
        <v>184</v>
      </c>
      <c r="R452" s="150" t="s">
        <v>77</v>
      </c>
      <c r="S452" s="150" t="s">
        <v>173</v>
      </c>
    </row>
    <row r="453" spans="2:19" x14ac:dyDescent="0.25">
      <c r="B453" s="236">
        <v>450</v>
      </c>
      <c r="E453" s="41"/>
    </row>
    <row r="454" spans="2:19" x14ac:dyDescent="0.25">
      <c r="B454" s="236">
        <v>451</v>
      </c>
      <c r="E454" s="41"/>
    </row>
    <row r="455" spans="2:19" x14ac:dyDescent="0.25">
      <c r="B455" s="236">
        <v>452</v>
      </c>
      <c r="E455" s="41"/>
    </row>
    <row r="456" spans="2:19" x14ac:dyDescent="0.25">
      <c r="B456" s="236">
        <v>453</v>
      </c>
      <c r="E456" s="41"/>
    </row>
    <row r="457" spans="2:19" x14ac:dyDescent="0.25">
      <c r="B457" s="236">
        <v>454</v>
      </c>
      <c r="E457" s="41"/>
    </row>
    <row r="458" spans="2:19" x14ac:dyDescent="0.25">
      <c r="B458" s="236">
        <v>455</v>
      </c>
      <c r="E458" s="41"/>
    </row>
    <row r="459" spans="2:19" x14ac:dyDescent="0.25">
      <c r="B459" s="236">
        <v>456</v>
      </c>
      <c r="E459" s="41"/>
    </row>
    <row r="460" spans="2:19" x14ac:dyDescent="0.25">
      <c r="B460" s="236">
        <v>457</v>
      </c>
      <c r="E460" s="41"/>
    </row>
    <row r="461" spans="2:19" x14ac:dyDescent="0.25">
      <c r="B461" s="236">
        <v>458</v>
      </c>
      <c r="E461" s="41"/>
    </row>
    <row r="462" spans="2:19" x14ac:dyDescent="0.25">
      <c r="B462" s="236">
        <v>459</v>
      </c>
      <c r="E462" s="41"/>
    </row>
    <row r="463" spans="2:19" x14ac:dyDescent="0.25">
      <c r="B463" s="236">
        <v>460</v>
      </c>
      <c r="E463" s="41"/>
    </row>
    <row r="464" spans="2:19" x14ac:dyDescent="0.25">
      <c r="B464" s="236">
        <v>461</v>
      </c>
      <c r="E464" s="41"/>
    </row>
    <row r="465" spans="2:5" x14ac:dyDescent="0.25">
      <c r="B465" s="236">
        <v>462</v>
      </c>
      <c r="E465" s="41"/>
    </row>
    <row r="466" spans="2:5" x14ac:dyDescent="0.25">
      <c r="B466" s="236">
        <v>463</v>
      </c>
      <c r="E466" s="41"/>
    </row>
    <row r="467" spans="2:5" x14ac:dyDescent="0.25">
      <c r="B467" s="236">
        <v>464</v>
      </c>
      <c r="E467" s="41"/>
    </row>
    <row r="468" spans="2:5" x14ac:dyDescent="0.25">
      <c r="B468" s="236">
        <v>465</v>
      </c>
      <c r="E468" s="41"/>
    </row>
    <row r="469" spans="2:5" x14ac:dyDescent="0.25">
      <c r="B469" s="236">
        <v>466</v>
      </c>
      <c r="E469" s="41"/>
    </row>
    <row r="470" spans="2:5" x14ac:dyDescent="0.25">
      <c r="B470" s="236">
        <v>467</v>
      </c>
      <c r="E470" s="41"/>
    </row>
    <row r="471" spans="2:5" x14ac:dyDescent="0.25">
      <c r="B471" s="236">
        <v>468</v>
      </c>
      <c r="E471" s="41"/>
    </row>
    <row r="472" spans="2:5" x14ac:dyDescent="0.25">
      <c r="B472" s="236">
        <v>469</v>
      </c>
      <c r="E472" s="41"/>
    </row>
    <row r="473" spans="2:5" x14ac:dyDescent="0.25">
      <c r="B473" s="236">
        <v>470</v>
      </c>
      <c r="E473" s="41"/>
    </row>
    <row r="474" spans="2:5" x14ac:dyDescent="0.25">
      <c r="B474" s="236">
        <v>471</v>
      </c>
      <c r="E474" s="41"/>
    </row>
    <row r="475" spans="2:5" x14ac:dyDescent="0.25">
      <c r="B475" s="236">
        <v>472</v>
      </c>
      <c r="E475" s="41"/>
    </row>
    <row r="476" spans="2:5" x14ac:dyDescent="0.25">
      <c r="B476" s="236">
        <v>473</v>
      </c>
      <c r="E476" s="41"/>
    </row>
    <row r="477" spans="2:5" x14ac:dyDescent="0.25">
      <c r="B477" s="236">
        <v>474</v>
      </c>
      <c r="E477" s="41"/>
    </row>
    <row r="478" spans="2:5" x14ac:dyDescent="0.25">
      <c r="B478" s="236">
        <v>475</v>
      </c>
      <c r="E478" s="41"/>
    </row>
    <row r="479" spans="2:5" x14ac:dyDescent="0.25">
      <c r="B479" s="236">
        <v>476</v>
      </c>
    </row>
    <row r="480" spans="2:5" x14ac:dyDescent="0.25">
      <c r="B480" s="236">
        <v>477</v>
      </c>
    </row>
    <row r="481" spans="2:2" x14ac:dyDescent="0.25">
      <c r="B481" s="236">
        <v>478</v>
      </c>
    </row>
    <row r="482" spans="2:2" x14ac:dyDescent="0.25">
      <c r="B482" s="236">
        <v>479</v>
      </c>
    </row>
    <row r="483" spans="2:2" x14ac:dyDescent="0.25">
      <c r="B483" s="236">
        <v>480</v>
      </c>
    </row>
    <row r="484" spans="2:2" x14ac:dyDescent="0.25">
      <c r="B484" s="236">
        <v>481</v>
      </c>
    </row>
    <row r="485" spans="2:2" x14ac:dyDescent="0.25">
      <c r="B485" s="236">
        <v>482</v>
      </c>
    </row>
    <row r="486" spans="2:2" x14ac:dyDescent="0.25">
      <c r="B486" s="236">
        <v>483</v>
      </c>
    </row>
    <row r="487" spans="2:2" x14ac:dyDescent="0.25">
      <c r="B487" s="236">
        <v>484</v>
      </c>
    </row>
    <row r="488" spans="2:2" x14ac:dyDescent="0.25">
      <c r="B488" s="236">
        <v>485</v>
      </c>
    </row>
    <row r="489" spans="2:2" x14ac:dyDescent="0.25">
      <c r="B489" s="236">
        <v>486</v>
      </c>
    </row>
    <row r="490" spans="2:2" x14ac:dyDescent="0.25">
      <c r="B490" s="236">
        <v>487</v>
      </c>
    </row>
    <row r="491" spans="2:2" x14ac:dyDescent="0.25">
      <c r="B491" s="236">
        <v>488</v>
      </c>
    </row>
    <row r="492" spans="2:2" x14ac:dyDescent="0.25">
      <c r="B492" s="236">
        <v>489</v>
      </c>
    </row>
    <row r="493" spans="2:2" x14ac:dyDescent="0.25">
      <c r="B493" s="236">
        <v>490</v>
      </c>
    </row>
    <row r="494" spans="2:2" x14ac:dyDescent="0.25">
      <c r="B494" s="236">
        <v>491</v>
      </c>
    </row>
    <row r="495" spans="2:2" x14ac:dyDescent="0.25">
      <c r="B495" s="236">
        <v>492</v>
      </c>
    </row>
    <row r="496" spans="2:2" x14ac:dyDescent="0.25">
      <c r="B496" s="236">
        <v>493</v>
      </c>
    </row>
    <row r="497" spans="2:2" x14ac:dyDescent="0.25">
      <c r="B497" s="236">
        <v>494</v>
      </c>
    </row>
    <row r="498" spans="2:2" x14ac:dyDescent="0.25">
      <c r="B498" s="236">
        <v>495</v>
      </c>
    </row>
    <row r="499" spans="2:2" x14ac:dyDescent="0.25">
      <c r="B499" s="236">
        <v>496</v>
      </c>
    </row>
    <row r="500" spans="2:2" x14ac:dyDescent="0.25">
      <c r="B500" s="236">
        <v>497</v>
      </c>
    </row>
    <row r="501" spans="2:2" x14ac:dyDescent="0.25">
      <c r="B501" s="236">
        <v>498</v>
      </c>
    </row>
    <row r="502" spans="2:2" x14ac:dyDescent="0.25">
      <c r="B502" s="236">
        <v>499</v>
      </c>
    </row>
    <row r="503" spans="2:2" x14ac:dyDescent="0.25">
      <c r="B503" s="236">
        <v>500</v>
      </c>
    </row>
    <row r="504" spans="2:2" x14ac:dyDescent="0.25">
      <c r="B504" s="236">
        <v>501</v>
      </c>
    </row>
    <row r="505" spans="2:2" x14ac:dyDescent="0.25">
      <c r="B505" s="236">
        <v>502</v>
      </c>
    </row>
    <row r="506" spans="2:2" x14ac:dyDescent="0.25">
      <c r="B506" s="236">
        <v>503</v>
      </c>
    </row>
    <row r="507" spans="2:2" x14ac:dyDescent="0.25">
      <c r="B507" s="236">
        <v>504</v>
      </c>
    </row>
    <row r="508" spans="2:2" x14ac:dyDescent="0.25">
      <c r="B508" s="236">
        <v>505</v>
      </c>
    </row>
    <row r="509" spans="2:2" x14ac:dyDescent="0.25">
      <c r="B509" s="236">
        <v>506</v>
      </c>
    </row>
    <row r="510" spans="2:2" x14ac:dyDescent="0.25">
      <c r="B510" s="236">
        <v>507</v>
      </c>
    </row>
    <row r="511" spans="2:2" x14ac:dyDescent="0.25">
      <c r="B511" s="236">
        <v>508</v>
      </c>
    </row>
    <row r="512" spans="2:2" x14ac:dyDescent="0.25">
      <c r="B512" s="236">
        <v>509</v>
      </c>
    </row>
    <row r="513" spans="2:2" x14ac:dyDescent="0.25">
      <c r="B513" s="236">
        <v>510</v>
      </c>
    </row>
    <row r="514" spans="2:2" x14ac:dyDescent="0.25">
      <c r="B514" s="236">
        <v>511</v>
      </c>
    </row>
    <row r="515" spans="2:2" x14ac:dyDescent="0.25">
      <c r="B515" s="236">
        <v>512</v>
      </c>
    </row>
    <row r="516" spans="2:2" x14ac:dyDescent="0.25">
      <c r="B516" s="236">
        <v>513</v>
      </c>
    </row>
    <row r="517" spans="2:2" x14ac:dyDescent="0.25">
      <c r="B517" s="236">
        <v>514</v>
      </c>
    </row>
    <row r="518" spans="2:2" x14ac:dyDescent="0.25">
      <c r="B518" s="236">
        <v>515</v>
      </c>
    </row>
    <row r="519" spans="2:2" x14ac:dyDescent="0.25">
      <c r="B519" s="236">
        <v>516</v>
      </c>
    </row>
    <row r="520" spans="2:2" x14ac:dyDescent="0.25">
      <c r="B520" s="236">
        <v>517</v>
      </c>
    </row>
    <row r="521" spans="2:2" x14ac:dyDescent="0.25">
      <c r="B521" s="236">
        <v>518</v>
      </c>
    </row>
    <row r="522" spans="2:2" x14ac:dyDescent="0.25">
      <c r="B522" s="236">
        <v>519</v>
      </c>
    </row>
    <row r="523" spans="2:2" x14ac:dyDescent="0.25">
      <c r="B523" s="236">
        <v>520</v>
      </c>
    </row>
    <row r="524" spans="2:2" x14ac:dyDescent="0.25">
      <c r="B524" s="236">
        <v>521</v>
      </c>
    </row>
    <row r="525" spans="2:2" x14ac:dyDescent="0.25">
      <c r="B525" s="236">
        <v>522</v>
      </c>
    </row>
    <row r="526" spans="2:2" x14ac:dyDescent="0.25">
      <c r="B526" s="236">
        <v>523</v>
      </c>
    </row>
    <row r="527" spans="2:2" x14ac:dyDescent="0.25">
      <c r="B527" s="236">
        <v>524</v>
      </c>
    </row>
    <row r="528" spans="2:2" x14ac:dyDescent="0.25">
      <c r="B528" s="236">
        <v>525</v>
      </c>
    </row>
    <row r="529" spans="2:2" x14ac:dyDescent="0.25">
      <c r="B529" s="236">
        <v>526</v>
      </c>
    </row>
    <row r="530" spans="2:2" x14ac:dyDescent="0.25">
      <c r="B530" s="236">
        <v>527</v>
      </c>
    </row>
    <row r="531" spans="2:2" x14ac:dyDescent="0.25">
      <c r="B531" s="236">
        <v>528</v>
      </c>
    </row>
    <row r="532" spans="2:2" x14ac:dyDescent="0.25">
      <c r="B532" s="236">
        <v>529</v>
      </c>
    </row>
    <row r="533" spans="2:2" x14ac:dyDescent="0.25">
      <c r="B533" s="236">
        <v>530</v>
      </c>
    </row>
    <row r="534" spans="2:2" x14ac:dyDescent="0.25">
      <c r="B534" s="236">
        <v>531</v>
      </c>
    </row>
    <row r="535" spans="2:2" x14ac:dyDescent="0.25">
      <c r="B535" s="236">
        <v>532</v>
      </c>
    </row>
    <row r="536" spans="2:2" x14ac:dyDescent="0.25">
      <c r="B536" s="236">
        <v>533</v>
      </c>
    </row>
    <row r="537" spans="2:2" x14ac:dyDescent="0.25">
      <c r="B537" s="236">
        <v>534</v>
      </c>
    </row>
    <row r="538" spans="2:2" x14ac:dyDescent="0.25">
      <c r="B538" s="236">
        <v>535</v>
      </c>
    </row>
    <row r="539" spans="2:2" x14ac:dyDescent="0.25">
      <c r="B539" s="236">
        <v>536</v>
      </c>
    </row>
    <row r="540" spans="2:2" x14ac:dyDescent="0.25">
      <c r="B540" s="236">
        <v>537</v>
      </c>
    </row>
    <row r="541" spans="2:2" x14ac:dyDescent="0.25">
      <c r="B541" s="236">
        <v>538</v>
      </c>
    </row>
    <row r="542" spans="2:2" x14ac:dyDescent="0.25">
      <c r="B542" s="236">
        <v>539</v>
      </c>
    </row>
    <row r="543" spans="2:2" x14ac:dyDescent="0.25">
      <c r="B543" s="236">
        <v>540</v>
      </c>
    </row>
    <row r="544" spans="2:2" x14ac:dyDescent="0.25">
      <c r="B544" s="236">
        <v>541</v>
      </c>
    </row>
    <row r="545" spans="2:2" x14ac:dyDescent="0.25">
      <c r="B545" s="236">
        <v>542</v>
      </c>
    </row>
    <row r="546" spans="2:2" x14ac:dyDescent="0.25">
      <c r="B546" s="236">
        <v>543</v>
      </c>
    </row>
    <row r="547" spans="2:2" x14ac:dyDescent="0.25">
      <c r="B547" s="236">
        <v>544</v>
      </c>
    </row>
    <row r="548" spans="2:2" x14ac:dyDescent="0.25">
      <c r="B548" s="236">
        <v>545</v>
      </c>
    </row>
    <row r="549" spans="2:2" x14ac:dyDescent="0.25">
      <c r="B549" s="236">
        <v>546</v>
      </c>
    </row>
    <row r="550" spans="2:2" x14ac:dyDescent="0.25">
      <c r="B550" s="236">
        <v>547</v>
      </c>
    </row>
    <row r="551" spans="2:2" x14ac:dyDescent="0.25">
      <c r="B551" s="236">
        <v>548</v>
      </c>
    </row>
    <row r="552" spans="2:2" x14ac:dyDescent="0.25">
      <c r="B552" s="236">
        <v>549</v>
      </c>
    </row>
    <row r="553" spans="2:2" x14ac:dyDescent="0.25">
      <c r="B553" s="236">
        <v>550</v>
      </c>
    </row>
    <row r="554" spans="2:2" x14ac:dyDescent="0.25">
      <c r="B554" s="236">
        <v>551</v>
      </c>
    </row>
    <row r="555" spans="2:2" x14ac:dyDescent="0.25">
      <c r="B555" s="236">
        <v>552</v>
      </c>
    </row>
    <row r="556" spans="2:2" x14ac:dyDescent="0.25">
      <c r="B556" s="236">
        <v>553</v>
      </c>
    </row>
    <row r="557" spans="2:2" x14ac:dyDescent="0.25">
      <c r="B557" s="236">
        <v>554</v>
      </c>
    </row>
    <row r="558" spans="2:2" x14ac:dyDescent="0.25">
      <c r="B558" s="236">
        <v>555</v>
      </c>
    </row>
    <row r="559" spans="2:2" x14ac:dyDescent="0.25">
      <c r="B559" s="236">
        <v>556</v>
      </c>
    </row>
    <row r="560" spans="2:2" x14ac:dyDescent="0.25">
      <c r="B560" s="236">
        <v>557</v>
      </c>
    </row>
    <row r="561" spans="2:2" x14ac:dyDescent="0.25">
      <c r="B561" s="236">
        <v>558</v>
      </c>
    </row>
    <row r="562" spans="2:2" x14ac:dyDescent="0.25">
      <c r="B562" s="236">
        <v>559</v>
      </c>
    </row>
    <row r="563" spans="2:2" x14ac:dyDescent="0.25">
      <c r="B563" s="236">
        <v>560</v>
      </c>
    </row>
    <row r="564" spans="2:2" x14ac:dyDescent="0.25">
      <c r="B564" s="236">
        <v>561</v>
      </c>
    </row>
    <row r="565" spans="2:2" x14ac:dyDescent="0.25">
      <c r="B565" s="236">
        <v>562</v>
      </c>
    </row>
    <row r="566" spans="2:2" x14ac:dyDescent="0.25">
      <c r="B566" s="236">
        <v>563</v>
      </c>
    </row>
    <row r="567" spans="2:2" x14ac:dyDescent="0.25">
      <c r="B567" s="236">
        <v>564</v>
      </c>
    </row>
    <row r="568" spans="2:2" x14ac:dyDescent="0.25">
      <c r="B568" s="236">
        <v>565</v>
      </c>
    </row>
    <row r="569" spans="2:2" x14ac:dyDescent="0.25">
      <c r="B569" s="236">
        <v>566</v>
      </c>
    </row>
    <row r="570" spans="2:2" x14ac:dyDescent="0.25">
      <c r="B570" s="236">
        <v>567</v>
      </c>
    </row>
    <row r="571" spans="2:2" x14ac:dyDescent="0.25">
      <c r="B571" s="236">
        <v>568</v>
      </c>
    </row>
    <row r="572" spans="2:2" x14ac:dyDescent="0.25">
      <c r="B572" s="236">
        <v>569</v>
      </c>
    </row>
    <row r="573" spans="2:2" x14ac:dyDescent="0.25">
      <c r="B573" s="236">
        <v>570</v>
      </c>
    </row>
    <row r="574" spans="2:2" x14ac:dyDescent="0.25">
      <c r="B574" s="236">
        <v>571</v>
      </c>
    </row>
    <row r="575" spans="2:2" x14ac:dyDescent="0.25">
      <c r="B575" s="236">
        <v>572</v>
      </c>
    </row>
    <row r="576" spans="2:2" x14ac:dyDescent="0.25">
      <c r="B576" s="236">
        <v>573</v>
      </c>
    </row>
    <row r="577" spans="2:2" x14ac:dyDescent="0.25">
      <c r="B577" s="236">
        <v>574</v>
      </c>
    </row>
    <row r="578" spans="2:2" x14ac:dyDescent="0.25">
      <c r="B578" s="236">
        <v>575</v>
      </c>
    </row>
    <row r="579" spans="2:2" x14ac:dyDescent="0.25">
      <c r="B579" s="236">
        <v>576</v>
      </c>
    </row>
    <row r="580" spans="2:2" x14ac:dyDescent="0.25">
      <c r="B580" s="236">
        <v>577</v>
      </c>
    </row>
    <row r="581" spans="2:2" x14ac:dyDescent="0.25">
      <c r="B581" s="236">
        <v>578</v>
      </c>
    </row>
    <row r="582" spans="2:2" x14ac:dyDescent="0.25">
      <c r="B582" s="236">
        <v>579</v>
      </c>
    </row>
    <row r="583" spans="2:2" x14ac:dyDescent="0.25">
      <c r="B583" s="236">
        <v>580</v>
      </c>
    </row>
    <row r="584" spans="2:2" x14ac:dyDescent="0.25">
      <c r="B584" s="236">
        <v>581</v>
      </c>
    </row>
    <row r="585" spans="2:2" x14ac:dyDescent="0.25">
      <c r="B585" s="236">
        <v>582</v>
      </c>
    </row>
    <row r="586" spans="2:2" x14ac:dyDescent="0.25">
      <c r="B586" s="236">
        <v>583</v>
      </c>
    </row>
    <row r="587" spans="2:2" x14ac:dyDescent="0.25">
      <c r="B587" s="236">
        <v>584</v>
      </c>
    </row>
    <row r="588" spans="2:2" x14ac:dyDescent="0.25">
      <c r="B588" s="236">
        <v>585</v>
      </c>
    </row>
    <row r="589" spans="2:2" x14ac:dyDescent="0.25">
      <c r="B589" s="236">
        <v>586</v>
      </c>
    </row>
    <row r="590" spans="2:2" x14ac:dyDescent="0.25">
      <c r="B590" s="236">
        <v>587</v>
      </c>
    </row>
    <row r="591" spans="2:2" x14ac:dyDescent="0.25">
      <c r="B591" s="236">
        <v>588</v>
      </c>
    </row>
    <row r="592" spans="2:2" x14ac:dyDescent="0.25">
      <c r="B592" s="236">
        <v>589</v>
      </c>
    </row>
    <row r="593" spans="2:2" x14ac:dyDescent="0.25">
      <c r="B593" s="236">
        <v>590</v>
      </c>
    </row>
    <row r="594" spans="2:2" x14ac:dyDescent="0.25">
      <c r="B594" s="236">
        <v>591</v>
      </c>
    </row>
    <row r="595" spans="2:2" x14ac:dyDescent="0.25">
      <c r="B595" s="236">
        <v>592</v>
      </c>
    </row>
    <row r="596" spans="2:2" x14ac:dyDescent="0.25">
      <c r="B596" s="236">
        <v>593</v>
      </c>
    </row>
    <row r="597" spans="2:2" x14ac:dyDescent="0.25">
      <c r="B597" s="236">
        <v>594</v>
      </c>
    </row>
    <row r="598" spans="2:2" x14ac:dyDescent="0.25">
      <c r="B598" s="236">
        <v>595</v>
      </c>
    </row>
    <row r="599" spans="2:2" x14ac:dyDescent="0.25">
      <c r="B599" s="236">
        <v>596</v>
      </c>
    </row>
    <row r="600" spans="2:2" x14ac:dyDescent="0.25">
      <c r="B600" s="236">
        <v>597</v>
      </c>
    </row>
    <row r="601" spans="2:2" x14ac:dyDescent="0.25">
      <c r="B601" s="236">
        <v>598</v>
      </c>
    </row>
    <row r="602" spans="2:2" x14ac:dyDescent="0.25">
      <c r="B602" s="236">
        <v>599</v>
      </c>
    </row>
    <row r="603" spans="2:2" x14ac:dyDescent="0.25">
      <c r="B603" s="236">
        <v>600</v>
      </c>
    </row>
    <row r="604" spans="2:2" x14ac:dyDescent="0.25">
      <c r="B604" s="236">
        <v>601</v>
      </c>
    </row>
    <row r="605" spans="2:2" x14ac:dyDescent="0.25">
      <c r="B605" s="236">
        <v>602</v>
      </c>
    </row>
    <row r="606" spans="2:2" x14ac:dyDescent="0.25">
      <c r="B606" s="236">
        <v>603</v>
      </c>
    </row>
    <row r="607" spans="2:2" x14ac:dyDescent="0.25">
      <c r="B607" s="236">
        <v>604</v>
      </c>
    </row>
    <row r="608" spans="2:2" x14ac:dyDescent="0.25">
      <c r="B608" s="236">
        <v>605</v>
      </c>
    </row>
    <row r="609" spans="2:2" x14ac:dyDescent="0.25">
      <c r="B609" s="236">
        <v>606</v>
      </c>
    </row>
    <row r="610" spans="2:2" x14ac:dyDescent="0.25">
      <c r="B610" s="236">
        <v>607</v>
      </c>
    </row>
    <row r="611" spans="2:2" x14ac:dyDescent="0.25">
      <c r="B611" s="236">
        <v>608</v>
      </c>
    </row>
    <row r="612" spans="2:2" x14ac:dyDescent="0.25">
      <c r="B612" s="236">
        <v>609</v>
      </c>
    </row>
    <row r="613" spans="2:2" x14ac:dyDescent="0.25">
      <c r="B613" s="236">
        <v>610</v>
      </c>
    </row>
    <row r="614" spans="2:2" x14ac:dyDescent="0.25">
      <c r="B614" s="236">
        <v>611</v>
      </c>
    </row>
    <row r="615" spans="2:2" x14ac:dyDescent="0.25">
      <c r="B615" s="236">
        <v>612</v>
      </c>
    </row>
    <row r="616" spans="2:2" x14ac:dyDescent="0.25">
      <c r="B616" s="236">
        <v>613</v>
      </c>
    </row>
    <row r="617" spans="2:2" x14ac:dyDescent="0.25">
      <c r="B617" s="236">
        <v>614</v>
      </c>
    </row>
    <row r="618" spans="2:2" x14ac:dyDescent="0.25">
      <c r="B618" s="236">
        <v>615</v>
      </c>
    </row>
    <row r="619" spans="2:2" x14ac:dyDescent="0.25">
      <c r="B619" s="236">
        <v>616</v>
      </c>
    </row>
    <row r="620" spans="2:2" x14ac:dyDescent="0.25">
      <c r="B620" s="236">
        <v>617</v>
      </c>
    </row>
    <row r="621" spans="2:2" x14ac:dyDescent="0.25">
      <c r="B621" s="236">
        <v>618</v>
      </c>
    </row>
    <row r="622" spans="2:2" x14ac:dyDescent="0.25">
      <c r="B622" s="236">
        <v>619</v>
      </c>
    </row>
    <row r="623" spans="2:2" x14ac:dyDescent="0.25">
      <c r="B623" s="236">
        <v>620</v>
      </c>
    </row>
    <row r="624" spans="2:2" x14ac:dyDescent="0.25">
      <c r="B624" s="236">
        <v>621</v>
      </c>
    </row>
    <row r="625" spans="2:2" x14ac:dyDescent="0.25">
      <c r="B625" s="236">
        <v>622</v>
      </c>
    </row>
    <row r="626" spans="2:2" x14ac:dyDescent="0.25">
      <c r="B626" s="236">
        <v>623</v>
      </c>
    </row>
    <row r="627" spans="2:2" x14ac:dyDescent="0.25">
      <c r="B627" s="236">
        <v>624</v>
      </c>
    </row>
    <row r="628" spans="2:2" x14ac:dyDescent="0.25">
      <c r="B628" s="236">
        <v>625</v>
      </c>
    </row>
  </sheetData>
  <autoFilter ref="T93:AB113" xr:uid="{6495B712-6F4B-4B85-AD62-2410F316ACF1}">
    <sortState xmlns:xlrd2="http://schemas.microsoft.com/office/spreadsheetml/2017/richdata2" ref="T94:AB113">
      <sortCondition descending="1" ref="W93:W113"/>
    </sortState>
  </autoFilter>
  <mergeCells count="14">
    <mergeCell ref="E230:E232"/>
    <mergeCell ref="N451:P451"/>
    <mergeCell ref="Q451:S451"/>
    <mergeCell ref="F135:G135"/>
    <mergeCell ref="H135:I135"/>
    <mergeCell ref="Y166:Z166"/>
    <mergeCell ref="W92:X92"/>
    <mergeCell ref="T119:V119"/>
    <mergeCell ref="AA166:AB166"/>
    <mergeCell ref="AC166:AD166"/>
    <mergeCell ref="AE166:AF166"/>
    <mergeCell ref="J166:K166"/>
    <mergeCell ref="F92:G92"/>
    <mergeCell ref="K62:K63"/>
  </mergeCells>
  <conditionalFormatting sqref="X94:X113">
    <cfRule type="colorScale" priority="2">
      <colorScale>
        <cfvo type="num" val="0.3"/>
        <cfvo type="num" val="0.7"/>
        <color rgb="FFFCFCFF"/>
        <color rgb="FF63BE7B"/>
      </colorScale>
    </cfRule>
  </conditionalFormatting>
  <conditionalFormatting sqref="W94:W113">
    <cfRule type="colorScale" priority="1">
      <colorScale>
        <cfvo type="num" val="0.3"/>
        <cfvo type="num" val="0.85"/>
        <color rgb="FFFCFCFF"/>
        <color rgb="FF63BE7B"/>
      </colorScale>
    </cfRule>
  </conditionalFormatting>
  <hyperlinks>
    <hyperlink ref="B3" location="All_Possible_Scenarios!A1" display="id Scenarios" xr:uid="{6EE6F414-89F2-4381-BA2B-84DCBD770FA2}"/>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A36DB4B017A841BC4B58681BE0F75C" ma:contentTypeVersion="15" ma:contentTypeDescription="Create a new document." ma:contentTypeScope="" ma:versionID="ce8c096bde9f470217decc0189766753">
  <xsd:schema xmlns:xsd="http://www.w3.org/2001/XMLSchema" xmlns:xs="http://www.w3.org/2001/XMLSchema" xmlns:p="http://schemas.microsoft.com/office/2006/metadata/properties" xmlns:ns2="d1bdbc6e-cf79-4955-88f3-3a4616847652" xmlns:ns3="ec71379a-8267-4626-a9df-4d80cda8fa54" targetNamespace="http://schemas.microsoft.com/office/2006/metadata/properties" ma:root="true" ma:fieldsID="52879870f8d33dba7f9185ea61d393b6" ns2:_="" ns3:_="">
    <xsd:import namespace="d1bdbc6e-cf79-4955-88f3-3a4616847652"/>
    <xsd:import namespace="ec71379a-8267-4626-a9df-4d80cda8fa5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bdbc6e-cf79-4955-88f3-3a46168476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c4b7b3c-7340-4df2-8265-f020f322548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71379a-8267-4626-a9df-4d80cda8fa5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5107fd7-f62a-4bfd-8bd2-69b0d03c1564}" ma:internalName="TaxCatchAll" ma:showField="CatchAllData" ma:web="ec71379a-8267-4626-a9df-4d80cda8fa5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c71379a-8267-4626-a9df-4d80cda8fa54" xsi:nil="true"/>
    <lcf76f155ced4ddcb4097134ff3c332f xmlns="d1bdbc6e-cf79-4955-88f3-3a461684765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10C773-A449-4419-8EF1-D272F63E19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bdbc6e-cf79-4955-88f3-3a4616847652"/>
    <ds:schemaRef ds:uri="ec71379a-8267-4626-a9df-4d80cda8fa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5BEE3E-5769-470F-889C-F2DA1A8BD962}">
  <ds:schemaRefs>
    <ds:schemaRef ds:uri="http://schemas.microsoft.com/sharepoint/v3/contenttype/forms"/>
  </ds:schemaRefs>
</ds:datastoreItem>
</file>

<file path=customXml/itemProps3.xml><?xml version="1.0" encoding="utf-8"?>
<ds:datastoreItem xmlns:ds="http://schemas.openxmlformats.org/officeDocument/2006/customXml" ds:itemID="{FC79D2C1-87D4-4BE4-A6E5-E419257BFFB2}">
  <ds:schemaRefs>
    <ds:schemaRef ds:uri="http://purl.org/dc/terms/"/>
    <ds:schemaRef ds:uri="http://schemas.microsoft.com/office/2006/documentManagement/types"/>
    <ds:schemaRef ds:uri="http://schemas.microsoft.com/office/2006/metadata/properties"/>
    <ds:schemaRef ds:uri="http://www.w3.org/XML/1998/namespace"/>
    <ds:schemaRef ds:uri="http://purl.org/dc/elements/1.1/"/>
    <ds:schemaRef ds:uri="http://schemas.microsoft.com/office/infopath/2007/PartnerControls"/>
    <ds:schemaRef ds:uri="http://schemas.openxmlformats.org/package/2006/metadata/core-properties"/>
    <ds:schemaRef ds:uri="e55f83e4-5ba7-4020-96e2-3eacbe76d474"/>
    <ds:schemaRef ds:uri="bf97cc07-665a-4179-a604-eeb002732112"/>
    <ds:schemaRef ds:uri="http://purl.org/dc/dcmitype/"/>
    <ds:schemaRef ds:uri="ec71379a-8267-4626-a9df-4d80cda8fa54"/>
    <ds:schemaRef ds:uri="d1bdbc6e-cf79-4955-88f3-3a461684765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Decision Tree</vt:lpstr>
      <vt:lpstr>All_Scenarios</vt:lpstr>
      <vt:lpstr>Frontier</vt:lpstr>
      <vt:lpstr>DRC Population</vt:lpstr>
      <vt:lpstr>Population in need_HKI</vt:lpstr>
      <vt:lpstr>DRC VAS Cost</vt:lpstr>
      <vt:lpstr>Decision Tree 1</vt:lpstr>
      <vt:lpstr>DRC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Balbo</dc:creator>
  <cp:lastModifiedBy>Lucia Corball</cp:lastModifiedBy>
  <dcterms:created xsi:type="dcterms:W3CDTF">2024-08-23T14:32:31Z</dcterms:created>
  <dcterms:modified xsi:type="dcterms:W3CDTF">2024-09-30T20:09:30Z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0x010100D3A36DB4B017A841BC4B58681BE0F75C</vt:lpwstr>
  </property>
  <property fmtid="{D5CDD505-2E9C-101B-9397-08002B2CF9AE}" pid="3" name="MediaServiceImageTags">
    <vt:lpwstr/>
  </property>
</Properties>
</file>