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ty\OneDrive\Documents\SolarCar\MATLAB\CruiseControl_V4\"/>
    </mc:Choice>
  </mc:AlternateContent>
  <bookViews>
    <workbookView xWindow="0" yWindow="0" windowWidth="23040" windowHeight="8808"/>
  </bookViews>
  <sheets>
    <sheet name="Sheet1" sheetId="1" r:id="rId1"/>
  </sheets>
  <definedNames>
    <definedName name="coef_friction">Sheet1!$V$9</definedName>
    <definedName name="Coef_k">Sheet1!$V$9</definedName>
    <definedName name="den_air">Sheet1!$V$8</definedName>
    <definedName name="drag_coef">Sheet1!$V$11</definedName>
    <definedName name="g">Sheet1!$V$4</definedName>
    <definedName name="mass">Sheet1!$V$10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1" l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O22" i="1"/>
  <c r="S22" i="1"/>
  <c r="L22" i="1"/>
  <c r="M22" i="1"/>
  <c r="P22" i="1"/>
  <c r="Q22" i="1"/>
  <c r="R22" i="1"/>
  <c r="O11" i="1"/>
  <c r="S11" i="1"/>
  <c r="L11" i="1"/>
  <c r="M11" i="1"/>
  <c r="P11" i="1"/>
  <c r="Q11" i="1"/>
  <c r="R11" i="1"/>
  <c r="O12" i="1"/>
  <c r="S12" i="1"/>
  <c r="L12" i="1"/>
  <c r="M12" i="1"/>
  <c r="P12" i="1"/>
  <c r="Q12" i="1"/>
  <c r="R12" i="1"/>
  <c r="O13" i="1"/>
  <c r="S13" i="1"/>
  <c r="L13" i="1"/>
  <c r="M13" i="1"/>
  <c r="P13" i="1"/>
  <c r="Q13" i="1"/>
  <c r="R13" i="1"/>
  <c r="O14" i="1"/>
  <c r="S14" i="1"/>
  <c r="L14" i="1"/>
  <c r="M14" i="1"/>
  <c r="P14" i="1"/>
  <c r="Q14" i="1"/>
  <c r="R14" i="1"/>
  <c r="O15" i="1"/>
  <c r="S15" i="1"/>
  <c r="L15" i="1"/>
  <c r="M15" i="1"/>
  <c r="P15" i="1"/>
  <c r="Q15" i="1"/>
  <c r="R15" i="1"/>
  <c r="O16" i="1"/>
  <c r="S16" i="1"/>
  <c r="L16" i="1"/>
  <c r="M16" i="1"/>
  <c r="P16" i="1"/>
  <c r="Q16" i="1"/>
  <c r="R16" i="1"/>
  <c r="O17" i="1"/>
  <c r="S17" i="1"/>
  <c r="L17" i="1"/>
  <c r="M17" i="1"/>
  <c r="P17" i="1"/>
  <c r="Q17" i="1"/>
  <c r="R17" i="1"/>
  <c r="O18" i="1"/>
  <c r="S18" i="1"/>
  <c r="L18" i="1"/>
  <c r="M18" i="1"/>
  <c r="P18" i="1"/>
  <c r="Q18" i="1"/>
  <c r="R18" i="1"/>
  <c r="O19" i="1"/>
  <c r="S19" i="1"/>
  <c r="L19" i="1"/>
  <c r="M19" i="1"/>
  <c r="P19" i="1"/>
  <c r="Q19" i="1"/>
  <c r="R19" i="1"/>
  <c r="O20" i="1"/>
  <c r="S20" i="1"/>
  <c r="L20" i="1"/>
  <c r="M20" i="1"/>
  <c r="P20" i="1"/>
  <c r="Q20" i="1"/>
  <c r="R20" i="1"/>
  <c r="O21" i="1"/>
  <c r="S21" i="1"/>
  <c r="L21" i="1"/>
  <c r="M21" i="1"/>
  <c r="P21" i="1"/>
  <c r="Q21" i="1"/>
  <c r="R21" i="1"/>
  <c r="O23" i="1"/>
  <c r="S23" i="1"/>
  <c r="L23" i="1"/>
  <c r="M23" i="1"/>
  <c r="P23" i="1"/>
  <c r="Q23" i="1"/>
  <c r="R23" i="1"/>
  <c r="O24" i="1"/>
  <c r="S24" i="1"/>
  <c r="L24" i="1"/>
  <c r="M24" i="1"/>
  <c r="P24" i="1"/>
  <c r="Q24" i="1"/>
  <c r="R24" i="1"/>
  <c r="O25" i="1"/>
  <c r="S25" i="1"/>
  <c r="L25" i="1"/>
  <c r="M25" i="1"/>
  <c r="P25" i="1"/>
  <c r="Q25" i="1"/>
  <c r="R25" i="1"/>
  <c r="O26" i="1"/>
  <c r="S26" i="1"/>
  <c r="L26" i="1"/>
  <c r="M26" i="1"/>
  <c r="P26" i="1"/>
  <c r="Q26" i="1"/>
  <c r="R26" i="1"/>
  <c r="O27" i="1"/>
  <c r="S27" i="1"/>
  <c r="L27" i="1"/>
  <c r="M27" i="1"/>
  <c r="P27" i="1"/>
  <c r="Q27" i="1"/>
  <c r="R27" i="1"/>
  <c r="O28" i="1"/>
  <c r="S28" i="1"/>
  <c r="L28" i="1"/>
  <c r="M28" i="1"/>
  <c r="P28" i="1"/>
  <c r="Q28" i="1"/>
  <c r="R28" i="1"/>
  <c r="O29" i="1"/>
  <c r="S29" i="1"/>
  <c r="L29" i="1"/>
  <c r="M29" i="1"/>
  <c r="P29" i="1"/>
  <c r="Q29" i="1"/>
  <c r="R29" i="1"/>
  <c r="O30" i="1"/>
  <c r="S30" i="1"/>
  <c r="L30" i="1"/>
  <c r="M30" i="1"/>
  <c r="P30" i="1"/>
  <c r="Q30" i="1"/>
  <c r="R30" i="1"/>
  <c r="O31" i="1"/>
  <c r="S31" i="1"/>
  <c r="L31" i="1"/>
  <c r="M31" i="1"/>
  <c r="P31" i="1"/>
  <c r="Q31" i="1"/>
  <c r="R31" i="1"/>
  <c r="O32" i="1"/>
  <c r="S32" i="1"/>
  <c r="L32" i="1"/>
  <c r="M32" i="1"/>
  <c r="P32" i="1"/>
  <c r="Q32" i="1"/>
  <c r="R32" i="1"/>
  <c r="O33" i="1"/>
  <c r="S33" i="1"/>
  <c r="L33" i="1"/>
  <c r="M33" i="1"/>
  <c r="P33" i="1"/>
  <c r="Q33" i="1"/>
  <c r="R33" i="1"/>
  <c r="O34" i="1"/>
  <c r="S34" i="1"/>
  <c r="L34" i="1"/>
  <c r="M34" i="1"/>
  <c r="P34" i="1"/>
  <c r="Q34" i="1"/>
  <c r="R34" i="1"/>
  <c r="O35" i="1"/>
  <c r="S35" i="1"/>
  <c r="L35" i="1"/>
  <c r="M35" i="1"/>
  <c r="P35" i="1"/>
  <c r="Q35" i="1"/>
  <c r="R35" i="1"/>
  <c r="O36" i="1"/>
  <c r="S36" i="1"/>
  <c r="L36" i="1"/>
  <c r="M36" i="1"/>
  <c r="P36" i="1"/>
  <c r="Q36" i="1"/>
  <c r="R36" i="1"/>
  <c r="O37" i="1"/>
  <c r="S37" i="1"/>
  <c r="L37" i="1"/>
  <c r="M37" i="1"/>
  <c r="P37" i="1"/>
  <c r="Q37" i="1"/>
  <c r="R37" i="1"/>
  <c r="O38" i="1"/>
  <c r="S38" i="1"/>
  <c r="L38" i="1"/>
  <c r="M38" i="1"/>
  <c r="P38" i="1"/>
  <c r="Q38" i="1"/>
  <c r="R38" i="1"/>
  <c r="O39" i="1"/>
  <c r="S39" i="1"/>
  <c r="L39" i="1"/>
  <c r="M39" i="1"/>
  <c r="P39" i="1"/>
  <c r="Q39" i="1"/>
  <c r="R39" i="1"/>
  <c r="O40" i="1"/>
  <c r="S40" i="1"/>
  <c r="L40" i="1"/>
  <c r="M40" i="1"/>
  <c r="P40" i="1"/>
  <c r="Q40" i="1"/>
  <c r="R40" i="1"/>
  <c r="O41" i="1"/>
  <c r="S41" i="1"/>
  <c r="L41" i="1"/>
  <c r="M41" i="1"/>
  <c r="P41" i="1"/>
  <c r="Q41" i="1"/>
  <c r="R41" i="1"/>
  <c r="O42" i="1"/>
  <c r="S42" i="1"/>
  <c r="L42" i="1"/>
  <c r="M42" i="1"/>
  <c r="P42" i="1"/>
  <c r="Q42" i="1"/>
  <c r="R42" i="1"/>
  <c r="R45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V13" i="1"/>
  <c r="V4" i="1"/>
  <c r="D3" i="1"/>
  <c r="H3" i="1"/>
  <c r="J3" i="1"/>
  <c r="D4" i="1"/>
  <c r="H4" i="1"/>
  <c r="J4" i="1"/>
  <c r="D5" i="1"/>
  <c r="H5" i="1"/>
  <c r="J5" i="1"/>
  <c r="D6" i="1"/>
  <c r="H6" i="1"/>
  <c r="J6" i="1"/>
  <c r="D7" i="1"/>
  <c r="H7" i="1"/>
  <c r="J7" i="1"/>
  <c r="D8" i="1"/>
  <c r="H8" i="1"/>
  <c r="J8" i="1"/>
  <c r="D9" i="1"/>
  <c r="H9" i="1"/>
  <c r="J9" i="1"/>
  <c r="D10" i="1"/>
  <c r="H10" i="1"/>
  <c r="J10" i="1"/>
  <c r="D11" i="1"/>
  <c r="H11" i="1"/>
  <c r="J11" i="1"/>
  <c r="D12" i="1"/>
  <c r="H12" i="1"/>
  <c r="J12" i="1"/>
  <c r="D13" i="1"/>
  <c r="H13" i="1"/>
  <c r="J13" i="1"/>
  <c r="D14" i="1"/>
  <c r="H14" i="1"/>
  <c r="J14" i="1"/>
  <c r="D15" i="1"/>
  <c r="H15" i="1"/>
  <c r="J15" i="1"/>
  <c r="D16" i="1"/>
  <c r="H16" i="1"/>
  <c r="J16" i="1"/>
  <c r="D17" i="1"/>
  <c r="H17" i="1"/>
  <c r="J17" i="1"/>
  <c r="D18" i="1"/>
  <c r="H18" i="1"/>
  <c r="J18" i="1"/>
  <c r="D19" i="1"/>
  <c r="H19" i="1"/>
  <c r="J19" i="1"/>
  <c r="D20" i="1"/>
  <c r="H20" i="1"/>
  <c r="J20" i="1"/>
  <c r="D21" i="1"/>
  <c r="H21" i="1"/>
  <c r="J21" i="1"/>
  <c r="D22" i="1"/>
  <c r="H22" i="1"/>
  <c r="J22" i="1"/>
  <c r="D23" i="1"/>
  <c r="H23" i="1"/>
  <c r="J23" i="1"/>
  <c r="D24" i="1"/>
  <c r="H24" i="1"/>
  <c r="J24" i="1"/>
  <c r="D25" i="1"/>
  <c r="H25" i="1"/>
  <c r="J25" i="1"/>
  <c r="D26" i="1"/>
  <c r="H26" i="1"/>
  <c r="J26" i="1"/>
  <c r="D27" i="1"/>
  <c r="H27" i="1"/>
  <c r="J27" i="1"/>
  <c r="D28" i="1"/>
  <c r="H28" i="1"/>
  <c r="J28" i="1"/>
  <c r="D29" i="1"/>
  <c r="H29" i="1"/>
  <c r="J29" i="1"/>
  <c r="D30" i="1"/>
  <c r="H30" i="1"/>
  <c r="J30" i="1"/>
  <c r="D31" i="1"/>
  <c r="H31" i="1"/>
  <c r="J31" i="1"/>
  <c r="D32" i="1"/>
  <c r="H32" i="1"/>
  <c r="J32" i="1"/>
  <c r="D33" i="1"/>
  <c r="H33" i="1"/>
  <c r="J33" i="1"/>
  <c r="D34" i="1"/>
  <c r="H34" i="1"/>
  <c r="J34" i="1"/>
  <c r="D35" i="1"/>
  <c r="H35" i="1"/>
  <c r="J35" i="1"/>
  <c r="D36" i="1"/>
  <c r="H36" i="1"/>
  <c r="J36" i="1"/>
  <c r="D37" i="1"/>
  <c r="H37" i="1"/>
  <c r="J37" i="1"/>
  <c r="D38" i="1"/>
  <c r="H38" i="1"/>
  <c r="J38" i="1"/>
  <c r="D39" i="1"/>
  <c r="H39" i="1"/>
  <c r="J39" i="1"/>
  <c r="D40" i="1"/>
  <c r="H40" i="1"/>
  <c r="J40" i="1"/>
  <c r="D41" i="1"/>
  <c r="H41" i="1"/>
  <c r="J41" i="1"/>
  <c r="D42" i="1"/>
  <c r="H42" i="1"/>
  <c r="J42" i="1"/>
  <c r="D2" i="1"/>
  <c r="H2" i="1"/>
  <c r="J2" i="1"/>
  <c r="F18" i="1"/>
  <c r="F19" i="1"/>
  <c r="F20" i="1"/>
  <c r="F21" i="1"/>
  <c r="F22" i="1"/>
  <c r="F23" i="1"/>
  <c r="F24" i="1"/>
  <c r="F25" i="1"/>
  <c r="F26" i="1"/>
  <c r="F27" i="1"/>
  <c r="F28" i="1"/>
  <c r="V29" i="1"/>
  <c r="F2" i="1"/>
  <c r="F3" i="1"/>
  <c r="F4" i="1"/>
  <c r="F5" i="1"/>
  <c r="F6" i="1"/>
  <c r="F7" i="1"/>
  <c r="F8" i="1"/>
  <c r="F9" i="1"/>
  <c r="F10" i="1"/>
  <c r="F11" i="1"/>
  <c r="F12" i="1"/>
  <c r="F13" i="1"/>
  <c r="O3" i="1"/>
  <c r="S3" i="1"/>
  <c r="O4" i="1"/>
  <c r="S4" i="1"/>
  <c r="O5" i="1"/>
  <c r="S5" i="1"/>
  <c r="O6" i="1"/>
  <c r="S6" i="1"/>
  <c r="O7" i="1"/>
  <c r="S7" i="1"/>
  <c r="O8" i="1"/>
  <c r="S8" i="1"/>
  <c r="O9" i="1"/>
  <c r="S9" i="1"/>
  <c r="O10" i="1"/>
  <c r="S10" i="1"/>
  <c r="F14" i="1"/>
  <c r="F15" i="1"/>
  <c r="F16" i="1"/>
  <c r="F17" i="1"/>
  <c r="V28" i="1"/>
  <c r="F38" i="1"/>
  <c r="F39" i="1"/>
  <c r="F40" i="1"/>
  <c r="F41" i="1"/>
  <c r="F42" i="1"/>
  <c r="V31" i="1"/>
  <c r="F29" i="1"/>
  <c r="F30" i="1"/>
  <c r="F31" i="1"/>
  <c r="F32" i="1"/>
  <c r="F33" i="1"/>
  <c r="F34" i="1"/>
  <c r="F35" i="1"/>
  <c r="F36" i="1"/>
  <c r="F37" i="1"/>
  <c r="V30" i="1"/>
  <c r="V26" i="1"/>
  <c r="V24" i="1"/>
  <c r="L4" i="1"/>
  <c r="L5" i="1"/>
  <c r="L6" i="1"/>
  <c r="L7" i="1"/>
  <c r="L8" i="1"/>
  <c r="L9" i="1"/>
  <c r="L10" i="1"/>
  <c r="V25" i="1"/>
  <c r="I3" i="1"/>
  <c r="K3" i="1"/>
  <c r="L3" i="1"/>
  <c r="M3" i="1"/>
  <c r="P3" i="1"/>
  <c r="Q3" i="1"/>
  <c r="R3" i="1"/>
  <c r="I4" i="1"/>
  <c r="K4" i="1"/>
  <c r="M4" i="1"/>
  <c r="P4" i="1"/>
  <c r="Q4" i="1"/>
  <c r="R4" i="1"/>
  <c r="I5" i="1"/>
  <c r="K5" i="1"/>
  <c r="M5" i="1"/>
  <c r="P5" i="1"/>
  <c r="Q5" i="1"/>
  <c r="R5" i="1"/>
  <c r="I6" i="1"/>
  <c r="K6" i="1"/>
  <c r="M6" i="1"/>
  <c r="P6" i="1"/>
  <c r="Q6" i="1"/>
  <c r="R6" i="1"/>
  <c r="I7" i="1"/>
  <c r="K7" i="1"/>
  <c r="M7" i="1"/>
  <c r="P7" i="1"/>
  <c r="Q7" i="1"/>
  <c r="R7" i="1"/>
  <c r="I8" i="1"/>
  <c r="K8" i="1"/>
  <c r="M8" i="1"/>
  <c r="P8" i="1"/>
  <c r="Q8" i="1"/>
  <c r="R8" i="1"/>
  <c r="I9" i="1"/>
  <c r="K9" i="1"/>
  <c r="M9" i="1"/>
  <c r="P9" i="1"/>
  <c r="Q9" i="1"/>
  <c r="R9" i="1"/>
  <c r="I10" i="1"/>
  <c r="K10" i="1"/>
  <c r="M10" i="1"/>
  <c r="P10" i="1"/>
  <c r="Q10" i="1"/>
  <c r="R10" i="1"/>
  <c r="I11" i="1"/>
  <c r="K11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I35" i="1"/>
  <c r="K35" i="1"/>
  <c r="I36" i="1"/>
  <c r="K36" i="1"/>
  <c r="I37" i="1"/>
  <c r="K37" i="1"/>
  <c r="I38" i="1"/>
  <c r="K38" i="1"/>
  <c r="I39" i="1"/>
  <c r="K39" i="1"/>
  <c r="I40" i="1"/>
  <c r="K40" i="1"/>
  <c r="I41" i="1"/>
  <c r="K41" i="1"/>
  <c r="I42" i="1"/>
  <c r="K42" i="1"/>
  <c r="O2" i="1"/>
  <c r="S2" i="1"/>
  <c r="I2" i="1"/>
  <c r="K2" i="1"/>
  <c r="L2" i="1"/>
  <c r="M2" i="1"/>
  <c r="P2" i="1"/>
  <c r="Q2" i="1"/>
  <c r="R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" i="1"/>
  <c r="E5" i="1"/>
  <c r="E6" i="1"/>
  <c r="E3" i="1"/>
</calcChain>
</file>

<file path=xl/comments1.xml><?xml version="1.0" encoding="utf-8"?>
<comments xmlns="http://schemas.openxmlformats.org/spreadsheetml/2006/main">
  <authors>
    <author>Martin Rupes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Martin Rupes:</t>
        </r>
        <r>
          <rPr>
            <sz val="9"/>
            <color indexed="81"/>
            <rFont val="Tahoma"/>
            <family val="2"/>
          </rPr>
          <t xml:space="preserve">
Net Distance to the start of the segment</t>
        </r>
      </text>
    </comment>
  </commentList>
</comments>
</file>

<file path=xl/sharedStrings.xml><?xml version="1.0" encoding="utf-8"?>
<sst xmlns="http://schemas.openxmlformats.org/spreadsheetml/2006/main" count="80" uniqueCount="63">
  <si>
    <t>SG1</t>
  </si>
  <si>
    <t>CP1</t>
  </si>
  <si>
    <t>SG2</t>
  </si>
  <si>
    <t>CP2</t>
  </si>
  <si>
    <t>SG3</t>
  </si>
  <si>
    <t>CP3</t>
  </si>
  <si>
    <t>SG4</t>
  </si>
  <si>
    <t>Nodes</t>
  </si>
  <si>
    <t>Δ altitude (m)</t>
  </si>
  <si>
    <t>Start Node</t>
  </si>
  <si>
    <t>Net Distance (miles)</t>
  </si>
  <si>
    <t>Distance (km)</t>
  </si>
  <si>
    <t>Finish</t>
  </si>
  <si>
    <t>N/A</t>
  </si>
  <si>
    <t>Distance (miles)</t>
  </si>
  <si>
    <t>Altitude at 
start of segment (m)</t>
  </si>
  <si>
    <t>KPH from MPH</t>
  </si>
  <si>
    <t>RPM from KPH</t>
  </si>
  <si>
    <t>Accel of Gravity</t>
  </si>
  <si>
    <t xml:space="preserve">Voltage </t>
  </si>
  <si>
    <t>V</t>
  </si>
  <si>
    <t>Density of Air</t>
  </si>
  <si>
    <t>kg/m^3</t>
  </si>
  <si>
    <t>Coefficient of Friction</t>
  </si>
  <si>
    <t>Mass of Car</t>
  </si>
  <si>
    <t>kg</t>
  </si>
  <si>
    <t>Coefficient of Drag</t>
  </si>
  <si>
    <t>Area of Car</t>
  </si>
  <si>
    <t>m^2</t>
  </si>
  <si>
    <t>Normal Force On Flat surface</t>
  </si>
  <si>
    <t>N</t>
  </si>
  <si>
    <t>Incline (rad)</t>
  </si>
  <si>
    <t>Normal Force (N)</t>
  </si>
  <si>
    <t>Horizontal Gravity (N)</t>
  </si>
  <si>
    <t>Force of Friction (N)</t>
  </si>
  <si>
    <t>Force of Drag (N)</t>
  </si>
  <si>
    <t>Total Horizontal Force(N)</t>
  </si>
  <si>
    <t>Speed (mph)</t>
  </si>
  <si>
    <t>Speed (kph)</t>
  </si>
  <si>
    <t>P Mech (W)</t>
  </si>
  <si>
    <t>P Elec (W)</t>
  </si>
  <si>
    <t>watt-hours</t>
  </si>
  <si>
    <t>Time to finish segment (h)</t>
  </si>
  <si>
    <t>Watts/Hour of Battery</t>
  </si>
  <si>
    <t>Operation with Just Battery</t>
  </si>
  <si>
    <t>Solar Panel Output</t>
  </si>
  <si>
    <t>Total Time - Stage 1</t>
  </si>
  <si>
    <t>Total Time - Stage 2</t>
  </si>
  <si>
    <t>Total Time - Stage 3</t>
  </si>
  <si>
    <t>Total Time - Stage 4</t>
  </si>
  <si>
    <t>Distance travelled day 1</t>
  </si>
  <si>
    <t>Distance travelled day 2 - end</t>
  </si>
  <si>
    <t>Distance travelled day 3</t>
  </si>
  <si>
    <t>Distance travelled day 4 - end</t>
  </si>
  <si>
    <t>Distance travelled day 5</t>
  </si>
  <si>
    <t>Distance travelled day 6</t>
  </si>
  <si>
    <t>Distance travelled day 7 - end</t>
  </si>
  <si>
    <t>Distance travelled day 8</t>
  </si>
  <si>
    <t>Winning times</t>
  </si>
  <si>
    <t>stage 1</t>
  </si>
  <si>
    <t>stage 2</t>
  </si>
  <si>
    <t>stage 3</t>
  </si>
  <si>
    <t>stage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</si>
</sst>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/>
    <xf numFmtId="16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6" fillId="2" borderId="1" xfId="1" applyFont="1" applyBorder="1"/>
    <xf numFmtId="0" fontId="0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45"/>
  <sheetViews>
    <sheetView tabSelected="1" topLeftCell="D1" workbookViewId="0">
      <pane ySplit="1" topLeftCell="A23" activePane="bottomLeft" state="frozen"/>
      <selection pane="bottomLeft" activeCell="N43" sqref="N43"/>
    </sheetView>
  </sheetViews>
  <sheetFormatPr defaultRowHeight="14.4" x14ac:dyDescent="0.3"/>
  <cols>
    <col min="1" max="1" width="10.44140625" bestFit="1" customWidth="1"/>
    <col min="2" max="2" width="7.5546875" customWidth="1"/>
    <col min="3" max="3" width="13.44140625" bestFit="1" customWidth="1"/>
    <col min="4" max="4" width="11.88671875" bestFit="1" customWidth="1"/>
    <col min="5" max="5" width="17.44140625" bestFit="1" customWidth="1"/>
    <col min="6" max="6" width="13.88671875" bestFit="1" customWidth="1"/>
    <col min="7" max="7" width="12" bestFit="1" customWidth="1"/>
    <col min="8" max="8" width="12.6640625" bestFit="1" customWidth="1"/>
    <col min="9" max="9" width="15.109375" bestFit="1" customWidth="1"/>
    <col min="10" max="10" width="18.77734375" bestFit="1" customWidth="1"/>
    <col min="11" max="11" width="17.44140625" bestFit="1" customWidth="1"/>
    <col min="12" max="12" width="15" bestFit="1" customWidth="1"/>
    <col min="13" max="13" width="12.44140625" customWidth="1"/>
    <col min="14" max="14" width="11" bestFit="1" customWidth="1"/>
    <col min="15" max="15" width="10.33203125" bestFit="1" customWidth="1"/>
    <col min="16" max="18" width="12" bestFit="1" customWidth="1"/>
    <col min="19" max="19" width="15.6640625" customWidth="1"/>
    <col min="20" max="20" width="25.109375" bestFit="1" customWidth="1"/>
    <col min="21" max="21" width="26.109375" bestFit="1" customWidth="1"/>
    <col min="22" max="22" width="12" bestFit="1" customWidth="1"/>
    <col min="25" max="25" width="11" bestFit="1" customWidth="1"/>
  </cols>
  <sheetData>
    <row r="1" spans="1:25" ht="43.8" customHeight="1" x14ac:dyDescent="0.3">
      <c r="B1" s="2" t="s">
        <v>7</v>
      </c>
      <c r="C1" s="7" t="s">
        <v>15</v>
      </c>
      <c r="D1" t="s">
        <v>8</v>
      </c>
      <c r="E1" t="s">
        <v>10</v>
      </c>
      <c r="F1" t="s">
        <v>14</v>
      </c>
      <c r="G1" s="2" t="s">
        <v>11</v>
      </c>
      <c r="H1" t="s">
        <v>31</v>
      </c>
      <c r="I1" t="s">
        <v>32</v>
      </c>
      <c r="J1" s="10" t="s">
        <v>33</v>
      </c>
      <c r="K1" s="10" t="s">
        <v>34</v>
      </c>
      <c r="L1" s="10" t="s">
        <v>35</v>
      </c>
      <c r="M1" s="7" t="s">
        <v>36</v>
      </c>
      <c r="N1" s="10" t="s">
        <v>37</v>
      </c>
      <c r="O1" s="10" t="s">
        <v>38</v>
      </c>
      <c r="P1" t="s">
        <v>39</v>
      </c>
      <c r="Q1" t="s">
        <v>40</v>
      </c>
      <c r="R1" t="s">
        <v>41</v>
      </c>
      <c r="S1" s="11" t="s">
        <v>42</v>
      </c>
      <c r="Y1" s="10" t="s">
        <v>37</v>
      </c>
    </row>
    <row r="2" spans="1:25" x14ac:dyDescent="0.3">
      <c r="A2" s="1" t="s">
        <v>9</v>
      </c>
      <c r="B2" s="2">
        <v>0</v>
      </c>
      <c r="C2" s="2">
        <v>159</v>
      </c>
      <c r="D2" s="4">
        <f>$C3-$C2</f>
        <v>0</v>
      </c>
      <c r="E2">
        <v>0</v>
      </c>
      <c r="F2">
        <f>$G2*0.621</f>
        <v>6.2100000000000002E-2</v>
      </c>
      <c r="G2" s="2">
        <v>0.1</v>
      </c>
      <c r="H2" s="6">
        <f>ASIN($D2/($G2*1000))</f>
        <v>0</v>
      </c>
      <c r="I2">
        <f t="shared" ref="I2:I42" si="0">mass*g*COS($H2)</f>
        <v>2450</v>
      </c>
      <c r="J2">
        <f t="shared" ref="J2:J42" si="1">mass*g*SIN($H2)</f>
        <v>0</v>
      </c>
      <c r="K2">
        <f t="shared" ref="K2:K42" si="2">coef_friction*$I2</f>
        <v>49</v>
      </c>
      <c r="L2">
        <f t="shared" ref="L2:L42" si="3">0.5*den_air*drag_coef*(O2/3.6)^2</f>
        <v>807.36385053088213</v>
      </c>
      <c r="M2" s="12">
        <f>SUM(J2:L2)</f>
        <v>856.36385053088213</v>
      </c>
      <c r="N2">
        <f t="shared" ref="N2:N42" si="4">($E$43-$E$11)/10</f>
        <v>186.29999999999995</v>
      </c>
      <c r="O2">
        <f>N2*1.60934</f>
        <v>299.82004199999994</v>
      </c>
      <c r="P2">
        <f>M2*O2/3.6</f>
        <v>71320.846009291883</v>
      </c>
      <c r="Q2">
        <f>P2/0.945</f>
        <v>75471.794718827397</v>
      </c>
      <c r="R2">
        <f t="shared" ref="R2:R42" si="5">S2*Q2</f>
        <v>25.172364801025346</v>
      </c>
      <c r="S2">
        <f t="shared" ref="S2:S42" si="6">G2/O2</f>
        <v>3.3353340668266607E-4</v>
      </c>
      <c r="U2" t="s">
        <v>16</v>
      </c>
      <c r="V2" s="8">
        <v>1.60934</v>
      </c>
      <c r="W2" s="9"/>
      <c r="Y2">
        <f>SUM($F$2:$F$13)/5.33</f>
        <v>40.498986866791746</v>
      </c>
    </row>
    <row r="3" spans="1:25" x14ac:dyDescent="0.3">
      <c r="A3" s="1" t="s">
        <v>0</v>
      </c>
      <c r="B3" s="2">
        <v>1</v>
      </c>
      <c r="C3" s="2">
        <v>159</v>
      </c>
      <c r="D3" s="4">
        <f>$C4-$C3</f>
        <v>200.2</v>
      </c>
      <c r="E3">
        <f>SUM($F$2:$F2)</f>
        <v>6.2100000000000002E-2</v>
      </c>
      <c r="F3">
        <f t="shared" ref="F3:F42" si="7">$G3*0.621</f>
        <v>9.6255000000000006</v>
      </c>
      <c r="G3" s="2">
        <v>15.5</v>
      </c>
      <c r="H3" s="6">
        <f t="shared" ref="H3:H42" si="8">ASIN($D3/($G3*1000))</f>
        <v>1.2916488184415712E-2</v>
      </c>
      <c r="I3">
        <f t="shared" si="0"/>
        <v>2449.7956291492887</v>
      </c>
      <c r="J3">
        <f t="shared" si="1"/>
        <v>31.644516129032258</v>
      </c>
      <c r="K3">
        <f t="shared" si="2"/>
        <v>48.995912582985774</v>
      </c>
      <c r="L3">
        <f t="shared" si="3"/>
        <v>807.36385053088213</v>
      </c>
      <c r="M3" s="12">
        <f t="shared" ref="M3:M42" si="9">SUM(J3:L3)</f>
        <v>888.00427924290011</v>
      </c>
      <c r="N3">
        <f t="shared" si="4"/>
        <v>186.29999999999995</v>
      </c>
      <c r="O3">
        <f t="shared" ref="O3:O42" si="10">N3*1.60934</f>
        <v>299.82004199999994</v>
      </c>
      <c r="P3">
        <f t="shared" ref="P3:P42" si="11">M3*O3/3.6</f>
        <v>73955.966749662781</v>
      </c>
      <c r="Q3">
        <f t="shared" ref="Q3:Q42" si="12">P3/0.945</f>
        <v>78260.28227477544</v>
      </c>
      <c r="R3">
        <f t="shared" si="5"/>
        <v>4045.8748760332023</v>
      </c>
      <c r="S3">
        <f t="shared" si="6"/>
        <v>5.1697678035813238E-2</v>
      </c>
      <c r="U3" t="s">
        <v>17</v>
      </c>
      <c r="V3" s="8">
        <v>5.2735155150077002</v>
      </c>
      <c r="W3" s="9"/>
      <c r="Y3">
        <f t="shared" ref="Y3:Y13" si="13">SUM($F$2:$F$13)/5.33</f>
        <v>40.498986866791746</v>
      </c>
    </row>
    <row r="4" spans="1:25" x14ac:dyDescent="0.3">
      <c r="B4" s="2">
        <v>2</v>
      </c>
      <c r="C4" s="2">
        <v>359.2</v>
      </c>
      <c r="D4" s="4">
        <f t="shared" ref="D4:D42" si="14">$C5-$C4</f>
        <v>-1</v>
      </c>
      <c r="E4" s="5">
        <f>SUM($F$2:$F3)</f>
        <v>9.6875999999999998</v>
      </c>
      <c r="F4">
        <f t="shared" si="7"/>
        <v>9.0665999999999993</v>
      </c>
      <c r="G4" s="2">
        <v>14.6</v>
      </c>
      <c r="H4" s="6">
        <f t="shared" si="8"/>
        <v>-6.8493150738485289E-5</v>
      </c>
      <c r="I4">
        <f t="shared" si="0"/>
        <v>2449.9999942531431</v>
      </c>
      <c r="J4">
        <f t="shared" si="1"/>
        <v>-0.16780821917808217</v>
      </c>
      <c r="K4">
        <f t="shared" si="2"/>
        <v>48.999999885062863</v>
      </c>
      <c r="L4">
        <f t="shared" si="3"/>
        <v>807.36385053088213</v>
      </c>
      <c r="M4" s="12">
        <f t="shared" si="9"/>
        <v>856.19604219676694</v>
      </c>
      <c r="N4">
        <f t="shared" si="4"/>
        <v>186.29999999999995</v>
      </c>
      <c r="O4">
        <f t="shared" si="10"/>
        <v>299.82004199999994</v>
      </c>
      <c r="P4">
        <f t="shared" si="11"/>
        <v>71306.870369907891</v>
      </c>
      <c r="Q4">
        <f t="shared" si="12"/>
        <v>75457.005682442221</v>
      </c>
      <c r="R4">
        <f t="shared" si="5"/>
        <v>3674.4450958473835</v>
      </c>
      <c r="S4">
        <f t="shared" si="6"/>
        <v>4.8695877375669244E-2</v>
      </c>
      <c r="U4" t="s">
        <v>18</v>
      </c>
      <c r="V4" s="8">
        <f>9.8</f>
        <v>9.8000000000000007</v>
      </c>
      <c r="W4" s="9"/>
      <c r="Y4">
        <f t="shared" si="13"/>
        <v>40.498986866791746</v>
      </c>
    </row>
    <row r="5" spans="1:25" x14ac:dyDescent="0.3">
      <c r="B5" s="2">
        <v>3</v>
      </c>
      <c r="C5" s="2">
        <v>358.2</v>
      </c>
      <c r="D5" s="4">
        <f t="shared" si="14"/>
        <v>-72.199999999999989</v>
      </c>
      <c r="E5">
        <f>SUM($F$2:$F4)</f>
        <v>18.754199999999997</v>
      </c>
      <c r="F5">
        <f t="shared" si="7"/>
        <v>20.306700000000003</v>
      </c>
      <c r="G5" s="2">
        <v>32.700000000000003</v>
      </c>
      <c r="H5" s="6">
        <f t="shared" si="8"/>
        <v>-2.2079528643182086E-3</v>
      </c>
      <c r="I5">
        <f t="shared" si="0"/>
        <v>2449.9940280590085</v>
      </c>
      <c r="J5">
        <f t="shared" si="1"/>
        <v>-5.4094801223241573</v>
      </c>
      <c r="K5">
        <f t="shared" si="2"/>
        <v>48.99988056118017</v>
      </c>
      <c r="L5">
        <f t="shared" si="3"/>
        <v>807.36385053088213</v>
      </c>
      <c r="M5" s="12">
        <f t="shared" si="9"/>
        <v>850.95425096973815</v>
      </c>
      <c r="N5">
        <f t="shared" si="4"/>
        <v>186.29999999999995</v>
      </c>
      <c r="O5">
        <f t="shared" si="10"/>
        <v>299.82004199999994</v>
      </c>
      <c r="P5">
        <f t="shared" si="11"/>
        <v>70870.316462729272</v>
      </c>
      <c r="Q5">
        <f t="shared" si="12"/>
        <v>74995.043875903997</v>
      </c>
      <c r="R5">
        <f t="shared" si="5"/>
        <v>8179.3662571165314</v>
      </c>
      <c r="S5">
        <f t="shared" si="6"/>
        <v>0.10906542398523181</v>
      </c>
      <c r="U5" t="s">
        <v>19</v>
      </c>
      <c r="V5" s="8">
        <v>96</v>
      </c>
      <c r="W5" s="9" t="s">
        <v>20</v>
      </c>
      <c r="Y5">
        <f t="shared" si="13"/>
        <v>40.498986866791746</v>
      </c>
    </row>
    <row r="6" spans="1:25" x14ac:dyDescent="0.3">
      <c r="B6" s="2">
        <v>4</v>
      </c>
      <c r="C6" s="2">
        <v>286</v>
      </c>
      <c r="D6" s="4">
        <f t="shared" si="14"/>
        <v>-0.89999999999997726</v>
      </c>
      <c r="E6">
        <f>SUM($F$2:$F5)</f>
        <v>39.060900000000004</v>
      </c>
      <c r="F6">
        <f t="shared" si="7"/>
        <v>32.850899999999996</v>
      </c>
      <c r="G6" s="2">
        <v>52.9</v>
      </c>
      <c r="H6" s="6">
        <f t="shared" si="8"/>
        <v>-1.7013232514998017E-5</v>
      </c>
      <c r="I6">
        <f t="shared" si="0"/>
        <v>2449.9999996454239</v>
      </c>
      <c r="J6">
        <f t="shared" si="1"/>
        <v>-4.1682419659734307E-2</v>
      </c>
      <c r="K6">
        <f t="shared" si="2"/>
        <v>48.999999992908478</v>
      </c>
      <c r="L6">
        <f t="shared" si="3"/>
        <v>807.36385053088213</v>
      </c>
      <c r="M6" s="12">
        <f t="shared" si="9"/>
        <v>856.32216810413092</v>
      </c>
      <c r="N6">
        <f t="shared" si="4"/>
        <v>186.29999999999995</v>
      </c>
      <c r="O6">
        <f t="shared" si="10"/>
        <v>299.82004199999994</v>
      </c>
      <c r="P6">
        <f t="shared" si="11"/>
        <v>71317.37455736431</v>
      </c>
      <c r="Q6">
        <f t="shared" si="12"/>
        <v>75468.121224724135</v>
      </c>
      <c r="R6">
        <f t="shared" si="5"/>
        <v>13315.532831483984</v>
      </c>
      <c r="S6">
        <f t="shared" si="6"/>
        <v>0.17643917213513033</v>
      </c>
      <c r="V6" s="8"/>
      <c r="W6" s="9"/>
      <c r="Y6">
        <f t="shared" si="13"/>
        <v>40.498986866791746</v>
      </c>
    </row>
    <row r="7" spans="1:25" x14ac:dyDescent="0.3">
      <c r="B7" s="2">
        <v>5</v>
      </c>
      <c r="C7" s="2">
        <v>285.10000000000002</v>
      </c>
      <c r="D7" s="4">
        <f t="shared" si="14"/>
        <v>12.199999999999989</v>
      </c>
      <c r="E7">
        <f>SUM($F$2:$F6)</f>
        <v>71.911799999999999</v>
      </c>
      <c r="F7">
        <f t="shared" si="7"/>
        <v>23.846399999999999</v>
      </c>
      <c r="G7" s="2">
        <v>38.4</v>
      </c>
      <c r="H7" s="6">
        <f t="shared" si="8"/>
        <v>3.177083386781716E-4</v>
      </c>
      <c r="I7">
        <f t="shared" si="0"/>
        <v>2449.9998763502299</v>
      </c>
      <c r="J7">
        <f t="shared" si="1"/>
        <v>0.77838541666666605</v>
      </c>
      <c r="K7">
        <f t="shared" si="2"/>
        <v>48.999997527004602</v>
      </c>
      <c r="L7">
        <f t="shared" si="3"/>
        <v>807.36385053088213</v>
      </c>
      <c r="M7" s="12">
        <f t="shared" si="9"/>
        <v>857.14223347455345</v>
      </c>
      <c r="N7">
        <f t="shared" si="4"/>
        <v>186.29999999999995</v>
      </c>
      <c r="O7">
        <f t="shared" si="10"/>
        <v>299.82004199999994</v>
      </c>
      <c r="P7">
        <f t="shared" si="11"/>
        <v>71385.672344531762</v>
      </c>
      <c r="Q7">
        <f t="shared" si="12"/>
        <v>75540.394015377533</v>
      </c>
      <c r="R7">
        <f t="shared" si="5"/>
        <v>9674.9740639103038</v>
      </c>
      <c r="S7">
        <f t="shared" si="6"/>
        <v>0.12807682816614377</v>
      </c>
      <c r="V7" s="8"/>
      <c r="W7" s="9"/>
      <c r="Y7">
        <f t="shared" si="13"/>
        <v>40.498986866791746</v>
      </c>
    </row>
    <row r="8" spans="1:25" x14ac:dyDescent="0.3">
      <c r="B8" s="2">
        <v>6</v>
      </c>
      <c r="C8" s="2">
        <v>297.3</v>
      </c>
      <c r="D8" s="4">
        <f t="shared" si="14"/>
        <v>-38</v>
      </c>
      <c r="E8">
        <f>SUM($F$2:$F7)</f>
        <v>95.758200000000002</v>
      </c>
      <c r="F8">
        <f t="shared" si="7"/>
        <v>16.8291</v>
      </c>
      <c r="G8" s="2">
        <v>27.1</v>
      </c>
      <c r="H8" s="6">
        <f t="shared" si="8"/>
        <v>-1.4022144816471362E-3</v>
      </c>
      <c r="I8">
        <f t="shared" si="0"/>
        <v>2449.997591398715</v>
      </c>
      <c r="J8">
        <f t="shared" si="1"/>
        <v>-3.4354243542435428</v>
      </c>
      <c r="K8">
        <f t="shared" si="2"/>
        <v>48.9999518279743</v>
      </c>
      <c r="L8">
        <f t="shared" si="3"/>
        <v>807.36385053088213</v>
      </c>
      <c r="M8" s="12">
        <f t="shared" si="9"/>
        <v>852.92837800461291</v>
      </c>
      <c r="N8">
        <f t="shared" si="4"/>
        <v>186.29999999999995</v>
      </c>
      <c r="O8">
        <f t="shared" si="10"/>
        <v>299.82004199999994</v>
      </c>
      <c r="P8">
        <f t="shared" si="11"/>
        <v>71034.728365648582</v>
      </c>
      <c r="Q8">
        <f t="shared" si="12"/>
        <v>75169.02472555406</v>
      </c>
      <c r="R8">
        <f t="shared" si="5"/>
        <v>6794.3442222001804</v>
      </c>
      <c r="S8">
        <f t="shared" si="6"/>
        <v>9.0387553211002503E-2</v>
      </c>
      <c r="U8" t="s">
        <v>21</v>
      </c>
      <c r="V8" s="8">
        <v>1.1639999999999999</v>
      </c>
      <c r="W8" s="9" t="s">
        <v>22</v>
      </c>
      <c r="Y8">
        <f t="shared" si="13"/>
        <v>40.498986866791746</v>
      </c>
    </row>
    <row r="9" spans="1:25" x14ac:dyDescent="0.3">
      <c r="B9" s="2">
        <v>7</v>
      </c>
      <c r="C9" s="2">
        <v>259.3</v>
      </c>
      <c r="D9" s="4">
        <f t="shared" si="14"/>
        <v>11.599999999999966</v>
      </c>
      <c r="E9">
        <f>SUM($F$2:$F8)</f>
        <v>112.5873</v>
      </c>
      <c r="F9">
        <f t="shared" si="7"/>
        <v>11.8611</v>
      </c>
      <c r="G9" s="2">
        <v>19.100000000000001</v>
      </c>
      <c r="H9" s="6">
        <f t="shared" si="8"/>
        <v>6.073298802674969E-4</v>
      </c>
      <c r="I9">
        <f t="shared" si="0"/>
        <v>2449.9995481592741</v>
      </c>
      <c r="J9">
        <f t="shared" si="1"/>
        <v>1.4879581151832417</v>
      </c>
      <c r="K9">
        <f t="shared" si="2"/>
        <v>48.999990963185482</v>
      </c>
      <c r="L9">
        <f t="shared" si="3"/>
        <v>807.36385053088213</v>
      </c>
      <c r="M9" s="12">
        <f t="shared" si="9"/>
        <v>857.85179960925086</v>
      </c>
      <c r="N9">
        <f t="shared" si="4"/>
        <v>186.29999999999995</v>
      </c>
      <c r="O9">
        <f t="shared" si="10"/>
        <v>299.82004199999994</v>
      </c>
      <c r="P9">
        <f t="shared" si="11"/>
        <v>71444.76738572809</v>
      </c>
      <c r="Q9">
        <f t="shared" si="12"/>
        <v>75602.928450505919</v>
      </c>
      <c r="R9">
        <f t="shared" si="5"/>
        <v>4816.2755357250717</v>
      </c>
      <c r="S9">
        <f t="shared" si="6"/>
        <v>6.3704880676389228E-2</v>
      </c>
      <c r="U9" t="s">
        <v>23</v>
      </c>
      <c r="V9" s="8">
        <v>0.02</v>
      </c>
      <c r="W9" s="9"/>
      <c r="Y9">
        <f t="shared" si="13"/>
        <v>40.498986866791746</v>
      </c>
    </row>
    <row r="10" spans="1:25" x14ac:dyDescent="0.3">
      <c r="B10" s="2">
        <v>8</v>
      </c>
      <c r="C10" s="2">
        <v>270.89999999999998</v>
      </c>
      <c r="D10" s="4">
        <f t="shared" si="14"/>
        <v>36.100000000000023</v>
      </c>
      <c r="E10">
        <f>SUM($F$2:$F9)</f>
        <v>124.44839999999999</v>
      </c>
      <c r="F10">
        <f t="shared" si="7"/>
        <v>12.0474</v>
      </c>
      <c r="G10" s="2">
        <v>19.399999999999999</v>
      </c>
      <c r="H10" s="6">
        <f t="shared" si="8"/>
        <v>1.8608258161729877E-3</v>
      </c>
      <c r="I10">
        <f t="shared" si="0"/>
        <v>2449.9957582271445</v>
      </c>
      <c r="J10">
        <f t="shared" si="1"/>
        <v>4.5590206185567039</v>
      </c>
      <c r="K10">
        <f t="shared" si="2"/>
        <v>48.999915164542891</v>
      </c>
      <c r="L10">
        <f t="shared" si="3"/>
        <v>807.36385053088213</v>
      </c>
      <c r="M10" s="12">
        <f t="shared" si="9"/>
        <v>860.92278631398176</v>
      </c>
      <c r="N10">
        <f t="shared" si="4"/>
        <v>186.29999999999995</v>
      </c>
      <c r="O10">
        <f t="shared" si="10"/>
        <v>299.82004199999994</v>
      </c>
      <c r="P10">
        <f t="shared" si="11"/>
        <v>71700.529430948605</v>
      </c>
      <c r="Q10">
        <f t="shared" si="12"/>
        <v>75873.57611740593</v>
      </c>
      <c r="R10">
        <f t="shared" si="5"/>
        <v>4909.4362300091843</v>
      </c>
      <c r="S10">
        <f t="shared" si="6"/>
        <v>6.4705480896437212E-2</v>
      </c>
      <c r="U10" t="s">
        <v>24</v>
      </c>
      <c r="V10" s="8">
        <v>250</v>
      </c>
      <c r="W10" s="9" t="s">
        <v>25</v>
      </c>
      <c r="Y10">
        <f t="shared" si="13"/>
        <v>40.498986866791746</v>
      </c>
    </row>
    <row r="11" spans="1:25" x14ac:dyDescent="0.3">
      <c r="B11" s="2">
        <v>9</v>
      </c>
      <c r="C11" s="2">
        <v>307</v>
      </c>
      <c r="D11" s="4">
        <f t="shared" si="14"/>
        <v>76.399999999999977</v>
      </c>
      <c r="E11">
        <f>SUM($F$2:$F10)</f>
        <v>136.4958</v>
      </c>
      <c r="F11">
        <f t="shared" si="7"/>
        <v>21.486599999999999</v>
      </c>
      <c r="G11" s="2">
        <v>34.6</v>
      </c>
      <c r="H11" s="6">
        <f t="shared" si="8"/>
        <v>2.2080942798756763E-3</v>
      </c>
      <c r="I11">
        <f t="shared" si="0"/>
        <v>2449.9940272939994</v>
      </c>
      <c r="J11">
        <f t="shared" si="1"/>
        <v>5.4098265895953741</v>
      </c>
      <c r="K11">
        <f t="shared" si="2"/>
        <v>48.999880545879989</v>
      </c>
      <c r="L11">
        <f t="shared" si="3"/>
        <v>807.36385053088213</v>
      </c>
      <c r="M11" s="12">
        <f t="shared" si="9"/>
        <v>861.77355766635753</v>
      </c>
      <c r="N11">
        <f t="shared" si="4"/>
        <v>186.29999999999995</v>
      </c>
      <c r="O11">
        <f t="shared" si="10"/>
        <v>299.82004199999994</v>
      </c>
      <c r="P11">
        <f t="shared" si="11"/>
        <v>71771.38451500464</v>
      </c>
      <c r="Q11">
        <f t="shared" si="12"/>
        <v>75948.555042332955</v>
      </c>
      <c r="R11">
        <f t="shared" si="5"/>
        <v>8764.6575823797702</v>
      </c>
      <c r="S11">
        <f t="shared" si="6"/>
        <v>0.11540255871220247</v>
      </c>
      <c r="U11" t="s">
        <v>26</v>
      </c>
      <c r="V11" s="8">
        <v>0.2</v>
      </c>
      <c r="W11" s="9"/>
      <c r="Y11">
        <f t="shared" si="13"/>
        <v>40.498986866791746</v>
      </c>
    </row>
    <row r="12" spans="1:25" x14ac:dyDescent="0.3">
      <c r="B12" s="2">
        <v>10</v>
      </c>
      <c r="C12" s="2">
        <v>383.4</v>
      </c>
      <c r="D12" s="4">
        <f t="shared" si="14"/>
        <v>-56.199999999999989</v>
      </c>
      <c r="E12">
        <f>SUM($F$2:$F11)</f>
        <v>157.98240000000001</v>
      </c>
      <c r="F12">
        <f t="shared" si="7"/>
        <v>8.1971999999999987</v>
      </c>
      <c r="G12" s="2">
        <v>13.2</v>
      </c>
      <c r="H12" s="6">
        <f t="shared" si="8"/>
        <v>-4.2575886204921061E-3</v>
      </c>
      <c r="I12">
        <f t="shared" si="0"/>
        <v>2449.9777943839881</v>
      </c>
      <c r="J12">
        <f t="shared" si="1"/>
        <v>-10.431060606060605</v>
      </c>
      <c r="K12">
        <f t="shared" si="2"/>
        <v>48.999555887679762</v>
      </c>
      <c r="L12">
        <f t="shared" si="3"/>
        <v>807.36385053088213</v>
      </c>
      <c r="M12" s="12">
        <f t="shared" si="9"/>
        <v>845.93234581250124</v>
      </c>
      <c r="N12">
        <f t="shared" si="4"/>
        <v>186.29999999999995</v>
      </c>
      <c r="O12">
        <f t="shared" si="10"/>
        <v>299.82004199999994</v>
      </c>
      <c r="P12">
        <f t="shared" si="11"/>
        <v>70452.075402961826</v>
      </c>
      <c r="Q12">
        <f t="shared" si="12"/>
        <v>74552.460743874952</v>
      </c>
      <c r="R12">
        <f t="shared" si="5"/>
        <v>3282.2771795194049</v>
      </c>
      <c r="S12">
        <f t="shared" si="6"/>
        <v>4.4026409682111918E-2</v>
      </c>
      <c r="U12" t="s">
        <v>27</v>
      </c>
      <c r="V12" s="8">
        <v>1</v>
      </c>
      <c r="W12" s="9" t="s">
        <v>28</v>
      </c>
      <c r="Y12">
        <f t="shared" si="13"/>
        <v>40.498986866791746</v>
      </c>
    </row>
    <row r="13" spans="1:25" x14ac:dyDescent="0.3">
      <c r="B13" s="2">
        <v>11</v>
      </c>
      <c r="C13" s="2">
        <v>327.2</v>
      </c>
      <c r="D13" s="4">
        <f t="shared" si="14"/>
        <v>-86.399999999999977</v>
      </c>
      <c r="E13">
        <f>SUM($F$2:$F12)</f>
        <v>166.17960000000002</v>
      </c>
      <c r="F13">
        <f t="shared" si="7"/>
        <v>49.68</v>
      </c>
      <c r="G13" s="2">
        <v>80</v>
      </c>
      <c r="H13" s="6">
        <f t="shared" si="8"/>
        <v>-1.08000020995211E-3</v>
      </c>
      <c r="I13">
        <f t="shared" si="0"/>
        <v>2449.9985711595832</v>
      </c>
      <c r="J13">
        <f t="shared" si="1"/>
        <v>-2.6459999999999995</v>
      </c>
      <c r="K13">
        <f t="shared" si="2"/>
        <v>48.999971423191667</v>
      </c>
      <c r="L13">
        <f t="shared" si="3"/>
        <v>807.36385053088213</v>
      </c>
      <c r="M13" s="12">
        <f t="shared" si="9"/>
        <v>853.71782195407377</v>
      </c>
      <c r="N13">
        <f t="shared" si="4"/>
        <v>186.29999999999995</v>
      </c>
      <c r="O13">
        <f t="shared" si="10"/>
        <v>299.82004199999994</v>
      </c>
      <c r="P13">
        <f t="shared" si="11"/>
        <v>71100.475898449688</v>
      </c>
      <c r="Q13">
        <f t="shared" si="12"/>
        <v>75238.598834338292</v>
      </c>
      <c r="R13">
        <f t="shared" si="5"/>
        <v>20075.668946597852</v>
      </c>
      <c r="S13">
        <f t="shared" si="6"/>
        <v>0.26682672534613283</v>
      </c>
      <c r="U13" t="s">
        <v>29</v>
      </c>
      <c r="V13" s="8">
        <f>mass*g</f>
        <v>2450</v>
      </c>
      <c r="W13" s="9" t="s">
        <v>30</v>
      </c>
      <c r="Y13">
        <f t="shared" si="13"/>
        <v>40.498986866791746</v>
      </c>
    </row>
    <row r="14" spans="1:25" x14ac:dyDescent="0.3">
      <c r="A14" t="s">
        <v>1</v>
      </c>
      <c r="B14" s="2">
        <v>12</v>
      </c>
      <c r="C14" s="2">
        <v>240.8</v>
      </c>
      <c r="D14" s="4">
        <f t="shared" si="14"/>
        <v>-60.5</v>
      </c>
      <c r="E14">
        <f>SUM($F$2:$F13)</f>
        <v>215.85960000000003</v>
      </c>
      <c r="F14">
        <f>$G14*0.621</f>
        <v>37.756799999999998</v>
      </c>
      <c r="G14" s="2">
        <v>60.8</v>
      </c>
      <c r="H14" s="6">
        <f t="shared" si="8"/>
        <v>-9.9506595368547201E-4</v>
      </c>
      <c r="I14">
        <f t="shared" si="0"/>
        <v>2449.9987870586911</v>
      </c>
      <c r="J14">
        <f t="shared" si="1"/>
        <v>-2.4379111842105261</v>
      </c>
      <c r="K14">
        <f t="shared" si="2"/>
        <v>48.99997574117382</v>
      </c>
      <c r="L14">
        <f t="shared" si="3"/>
        <v>807.36385053088213</v>
      </c>
      <c r="M14" s="12">
        <f t="shared" si="9"/>
        <v>853.9259150878454</v>
      </c>
      <c r="N14">
        <f t="shared" si="4"/>
        <v>186.29999999999995</v>
      </c>
      <c r="O14">
        <f t="shared" si="10"/>
        <v>299.82004199999994</v>
      </c>
      <c r="P14">
        <f t="shared" si="11"/>
        <v>71117.806590701715</v>
      </c>
      <c r="Q14">
        <f t="shared" si="12"/>
        <v>75256.938191218753</v>
      </c>
      <c r="R14">
        <f t="shared" si="5"/>
        <v>15261.227406625809</v>
      </c>
      <c r="S14">
        <f t="shared" si="6"/>
        <v>0.20278831126306096</v>
      </c>
      <c r="Y14">
        <f>SUM($F$14:$F$17)/5.45</f>
        <v>52.084238532110092</v>
      </c>
    </row>
    <row r="15" spans="1:25" x14ac:dyDescent="0.3">
      <c r="B15" s="2">
        <v>13</v>
      </c>
      <c r="C15" s="2">
        <v>180.3</v>
      </c>
      <c r="D15" s="4">
        <f t="shared" si="14"/>
        <v>-12.700000000000017</v>
      </c>
      <c r="E15">
        <f>SUM($F$2:$F14)</f>
        <v>253.61640000000003</v>
      </c>
      <c r="F15">
        <f t="shared" si="7"/>
        <v>14.5314</v>
      </c>
      <c r="G15" s="2">
        <v>23.4</v>
      </c>
      <c r="H15" s="6">
        <f t="shared" si="8"/>
        <v>-5.4273506937983947E-4</v>
      </c>
      <c r="I15">
        <f t="shared" si="0"/>
        <v>2449.9996391623486</v>
      </c>
      <c r="J15">
        <f t="shared" si="1"/>
        <v>-1.3297008547008569</v>
      </c>
      <c r="K15">
        <f t="shared" si="2"/>
        <v>48.999992783246974</v>
      </c>
      <c r="L15">
        <f t="shared" si="3"/>
        <v>807.36385053088213</v>
      </c>
      <c r="M15" s="12">
        <f t="shared" si="9"/>
        <v>855.03414245942827</v>
      </c>
      <c r="N15">
        <f t="shared" si="4"/>
        <v>186.29999999999995</v>
      </c>
      <c r="O15">
        <f t="shared" si="10"/>
        <v>299.82004199999994</v>
      </c>
      <c r="P15">
        <f t="shared" si="11"/>
        <v>71210.103473227704</v>
      </c>
      <c r="Q15">
        <f t="shared" si="12"/>
        <v>75354.606849976408</v>
      </c>
      <c r="R15">
        <f t="shared" si="5"/>
        <v>5881.1872232659089</v>
      </c>
      <c r="S15">
        <f t="shared" si="6"/>
        <v>7.8046817163743856E-2</v>
      </c>
      <c r="U15" s="1" t="s">
        <v>58</v>
      </c>
      <c r="V15" s="8"/>
      <c r="W15" s="9"/>
      <c r="Y15">
        <f t="shared" ref="Y15:Y16" si="15">SUM($F$14:$F$17)/5.45</f>
        <v>52.084238532110092</v>
      </c>
    </row>
    <row r="16" spans="1:25" x14ac:dyDescent="0.3">
      <c r="B16" s="2">
        <v>14</v>
      </c>
      <c r="C16" s="2">
        <v>167.6</v>
      </c>
      <c r="D16" s="4">
        <f t="shared" si="14"/>
        <v>-14.900000000000006</v>
      </c>
      <c r="E16">
        <f>SUM($F$2:$F15)</f>
        <v>268.14780000000002</v>
      </c>
      <c r="F16">
        <f t="shared" si="7"/>
        <v>8.0108999999999995</v>
      </c>
      <c r="G16" s="2">
        <v>12.9</v>
      </c>
      <c r="H16" s="6">
        <f t="shared" si="8"/>
        <v>-1.1550390165157435E-3</v>
      </c>
      <c r="I16">
        <f t="shared" si="0"/>
        <v>2449.9983657091479</v>
      </c>
      <c r="J16">
        <f t="shared" si="1"/>
        <v>-2.8298449612403105</v>
      </c>
      <c r="K16">
        <f t="shared" si="2"/>
        <v>48.99996731418296</v>
      </c>
      <c r="L16">
        <f t="shared" si="3"/>
        <v>807.36385053088213</v>
      </c>
      <c r="M16" s="12">
        <f t="shared" si="9"/>
        <v>853.53397288382473</v>
      </c>
      <c r="N16">
        <f t="shared" si="4"/>
        <v>186.29999999999995</v>
      </c>
      <c r="O16">
        <f t="shared" si="10"/>
        <v>299.82004199999994</v>
      </c>
      <c r="P16">
        <f t="shared" si="11"/>
        <v>71085.164332904213</v>
      </c>
      <c r="Q16">
        <f t="shared" si="12"/>
        <v>75222.396119475365</v>
      </c>
      <c r="R16">
        <f t="shared" si="5"/>
        <v>3236.5044827164434</v>
      </c>
      <c r="S16">
        <f t="shared" si="6"/>
        <v>4.302580946206392E-2</v>
      </c>
      <c r="U16" t="s">
        <v>59</v>
      </c>
      <c r="V16" s="9">
        <v>10.9833</v>
      </c>
      <c r="W16" s="9"/>
      <c r="Y16">
        <f t="shared" si="15"/>
        <v>52.084238532110092</v>
      </c>
    </row>
    <row r="17" spans="1:25" x14ac:dyDescent="0.3">
      <c r="B17" s="2">
        <v>15</v>
      </c>
      <c r="C17" s="2">
        <v>152.69999999999999</v>
      </c>
      <c r="D17" s="4">
        <f t="shared" si="14"/>
        <v>-23.299999999999983</v>
      </c>
      <c r="E17">
        <f>SUM($F$2:$F16)</f>
        <v>276.15870000000001</v>
      </c>
      <c r="F17">
        <f t="shared" si="7"/>
        <v>223.56</v>
      </c>
      <c r="G17" s="2">
        <v>360</v>
      </c>
      <c r="H17" s="6">
        <f t="shared" si="8"/>
        <v>-6.472222226740871E-5</v>
      </c>
      <c r="I17">
        <f t="shared" si="0"/>
        <v>2449.9999948685168</v>
      </c>
      <c r="J17">
        <f t="shared" si="1"/>
        <v>-0.15856944444444432</v>
      </c>
      <c r="K17">
        <f t="shared" si="2"/>
        <v>48.999999897370337</v>
      </c>
      <c r="L17">
        <f t="shared" si="3"/>
        <v>807.36385053088213</v>
      </c>
      <c r="M17" s="12">
        <f t="shared" si="9"/>
        <v>856.20528098380805</v>
      </c>
      <c r="N17">
        <f t="shared" si="4"/>
        <v>186.29999999999995</v>
      </c>
      <c r="O17">
        <f t="shared" si="10"/>
        <v>299.82004199999994</v>
      </c>
      <c r="P17">
        <f t="shared" si="11"/>
        <v>71307.639806996405</v>
      </c>
      <c r="Q17">
        <f t="shared" si="12"/>
        <v>75457.819901583498</v>
      </c>
      <c r="R17">
        <f t="shared" si="5"/>
        <v>90603.733437439994</v>
      </c>
      <c r="S17">
        <f t="shared" si="6"/>
        <v>1.2007202640575978</v>
      </c>
      <c r="U17" t="s">
        <v>60</v>
      </c>
      <c r="V17" s="9">
        <v>11.683299999999999</v>
      </c>
      <c r="W17" s="9"/>
      <c r="Y17">
        <f>SUM($F$14:$F$17)/5.45</f>
        <v>52.084238532110092</v>
      </c>
    </row>
    <row r="18" spans="1:25" x14ac:dyDescent="0.3">
      <c r="A18" s="1" t="s">
        <v>2</v>
      </c>
      <c r="B18" s="2">
        <v>16</v>
      </c>
      <c r="C18" s="2">
        <v>129.4</v>
      </c>
      <c r="D18" s="4">
        <f t="shared" si="14"/>
        <v>21.299999999999983</v>
      </c>
      <c r="E18">
        <f>SUM($F$2:$F17)</f>
        <v>499.71870000000001</v>
      </c>
      <c r="F18">
        <f t="shared" si="7"/>
        <v>128.547</v>
      </c>
      <c r="G18" s="2">
        <v>207</v>
      </c>
      <c r="H18" s="6">
        <f t="shared" si="8"/>
        <v>1.0289855090622116E-4</v>
      </c>
      <c r="I18">
        <f t="shared" si="0"/>
        <v>2449.9999870295633</v>
      </c>
      <c r="J18">
        <f t="shared" si="1"/>
        <v>0.2521014492753621</v>
      </c>
      <c r="K18">
        <f t="shared" si="2"/>
        <v>48.999999740591264</v>
      </c>
      <c r="L18">
        <f t="shared" si="3"/>
        <v>807.36385053088213</v>
      </c>
      <c r="M18" s="12">
        <f t="shared" si="9"/>
        <v>856.61595172074874</v>
      </c>
      <c r="N18">
        <f t="shared" si="4"/>
        <v>186.29999999999995</v>
      </c>
      <c r="O18">
        <f t="shared" si="10"/>
        <v>299.82004199999994</v>
      </c>
      <c r="P18">
        <f t="shared" si="11"/>
        <v>71341.841839662447</v>
      </c>
      <c r="Q18">
        <f t="shared" si="12"/>
        <v>75494.012528743333</v>
      </c>
      <c r="R18">
        <f t="shared" si="5"/>
        <v>52122.134628511165</v>
      </c>
      <c r="S18">
        <f t="shared" si="6"/>
        <v>0.69041415183311872</v>
      </c>
      <c r="U18" t="s">
        <v>61</v>
      </c>
      <c r="V18" s="9">
        <v>19.149999999999999</v>
      </c>
      <c r="W18" s="9"/>
      <c r="Y18">
        <f>SUM($F$18:$F$20)/4.35</f>
        <v>41.385724137931035</v>
      </c>
    </row>
    <row r="19" spans="1:25" x14ac:dyDescent="0.3">
      <c r="B19" s="2">
        <v>17</v>
      </c>
      <c r="C19" s="2">
        <v>150.69999999999999</v>
      </c>
      <c r="D19" s="4">
        <f t="shared" si="14"/>
        <v>-23.299999999999983</v>
      </c>
      <c r="E19">
        <f>SUM($F$2:$F18)</f>
        <v>628.26570000000004</v>
      </c>
      <c r="F19">
        <f t="shared" si="7"/>
        <v>16.3323</v>
      </c>
      <c r="G19" s="2">
        <v>26.3</v>
      </c>
      <c r="H19" s="6">
        <f t="shared" si="8"/>
        <v>-8.8593167482628324E-4</v>
      </c>
      <c r="I19">
        <f t="shared" si="0"/>
        <v>2449.9990385282708</v>
      </c>
      <c r="J19">
        <f t="shared" si="1"/>
        <v>-2.1705323193916333</v>
      </c>
      <c r="K19">
        <f t="shared" si="2"/>
        <v>48.999980770565415</v>
      </c>
      <c r="L19">
        <f t="shared" si="3"/>
        <v>807.36385053088213</v>
      </c>
      <c r="M19" s="12">
        <f t="shared" si="9"/>
        <v>854.19329898205592</v>
      </c>
      <c r="N19">
        <f t="shared" si="4"/>
        <v>186.29999999999995</v>
      </c>
      <c r="O19">
        <f t="shared" si="10"/>
        <v>299.82004199999994</v>
      </c>
      <c r="P19">
        <f t="shared" si="11"/>
        <v>71140.075215810692</v>
      </c>
      <c r="Q19">
        <f t="shared" si="12"/>
        <v>75280.502873873746</v>
      </c>
      <c r="R19">
        <f t="shared" si="5"/>
        <v>6603.551958620832</v>
      </c>
      <c r="S19">
        <f t="shared" si="6"/>
        <v>8.7719285957541179E-2</v>
      </c>
      <c r="U19" t="s">
        <v>62</v>
      </c>
      <c r="V19" s="9">
        <v>6.5833300000000001</v>
      </c>
      <c r="W19" s="9"/>
      <c r="Y19">
        <f t="shared" ref="Y19:Y20" si="16">SUM($F$18:$F$20)/4.35</f>
        <v>41.385724137931035</v>
      </c>
    </row>
    <row r="20" spans="1:25" x14ac:dyDescent="0.3">
      <c r="B20" s="2">
        <v>18</v>
      </c>
      <c r="C20" s="2">
        <v>127.4</v>
      </c>
      <c r="D20" s="4">
        <f t="shared" si="14"/>
        <v>45.900000000000006</v>
      </c>
      <c r="E20">
        <f>SUM($F$2:$F19)</f>
        <v>644.59800000000007</v>
      </c>
      <c r="F20">
        <f t="shared" si="7"/>
        <v>35.148600000000002</v>
      </c>
      <c r="G20" s="2">
        <v>56.6</v>
      </c>
      <c r="H20" s="6">
        <f t="shared" si="8"/>
        <v>8.10954152491116E-4</v>
      </c>
      <c r="I20">
        <f t="shared" si="0"/>
        <v>2449.9991943829132</v>
      </c>
      <c r="J20">
        <f t="shared" si="1"/>
        <v>1.986837455830389</v>
      </c>
      <c r="K20">
        <f t="shared" si="2"/>
        <v>48.999983887658267</v>
      </c>
      <c r="L20">
        <f t="shared" si="3"/>
        <v>807.36385053088213</v>
      </c>
      <c r="M20" s="12">
        <f t="shared" si="9"/>
        <v>858.35067187437085</v>
      </c>
      <c r="N20">
        <f t="shared" si="4"/>
        <v>186.29999999999995</v>
      </c>
      <c r="O20">
        <f t="shared" si="10"/>
        <v>299.82004199999994</v>
      </c>
      <c r="P20">
        <f t="shared" si="11"/>
        <v>71486.315136695004</v>
      </c>
      <c r="Q20">
        <f t="shared" si="12"/>
        <v>75646.894324544977</v>
      </c>
      <c r="R20">
        <f t="shared" si="5"/>
        <v>14280.613764870484</v>
      </c>
      <c r="S20">
        <f t="shared" si="6"/>
        <v>0.18877990818238899</v>
      </c>
      <c r="W20" s="9"/>
      <c r="Y20">
        <f t="shared" si="16"/>
        <v>41.385724137931035</v>
      </c>
    </row>
    <row r="21" spans="1:25" x14ac:dyDescent="0.3">
      <c r="A21" t="s">
        <v>3</v>
      </c>
      <c r="B21" s="2">
        <v>19</v>
      </c>
      <c r="C21" s="2">
        <v>173.3</v>
      </c>
      <c r="D21" s="4">
        <f t="shared" si="14"/>
        <v>41.699999999999989</v>
      </c>
      <c r="E21">
        <f>SUM($F$2:$F20)</f>
        <v>679.74660000000006</v>
      </c>
      <c r="F21">
        <f t="shared" si="7"/>
        <v>25.460999999999999</v>
      </c>
      <c r="G21" s="2">
        <v>41</v>
      </c>
      <c r="H21" s="6">
        <f t="shared" si="8"/>
        <v>1.0170733460816166E-3</v>
      </c>
      <c r="I21">
        <f t="shared" si="0"/>
        <v>2449.9987328133248</v>
      </c>
      <c r="J21">
        <f t="shared" si="1"/>
        <v>2.4918292682926819</v>
      </c>
      <c r="K21">
        <f t="shared" si="2"/>
        <v>48.999974656266495</v>
      </c>
      <c r="L21">
        <f t="shared" si="3"/>
        <v>807.36385053088213</v>
      </c>
      <c r="M21" s="12">
        <f t="shared" si="9"/>
        <v>858.85565445544125</v>
      </c>
      <c r="N21">
        <f t="shared" si="4"/>
        <v>186.29999999999995</v>
      </c>
      <c r="O21">
        <f t="shared" si="10"/>
        <v>299.82004199999994</v>
      </c>
      <c r="P21">
        <f t="shared" si="11"/>
        <v>71528.37177521328</v>
      </c>
      <c r="Q21">
        <f t="shared" si="12"/>
        <v>75691.398703929401</v>
      </c>
      <c r="R21">
        <f t="shared" si="5"/>
        <v>10350.700127181979</v>
      </c>
      <c r="S21">
        <f t="shared" si="6"/>
        <v>0.13674869673989309</v>
      </c>
      <c r="V21" s="8"/>
      <c r="W21" s="9"/>
      <c r="Y21">
        <f>SUM($F$21:$F$24)/7.13</f>
        <v>44.306129032258063</v>
      </c>
    </row>
    <row r="22" spans="1:25" x14ac:dyDescent="0.3">
      <c r="B22" s="2">
        <v>20</v>
      </c>
      <c r="C22" s="2">
        <v>215</v>
      </c>
      <c r="D22" s="4">
        <f t="shared" si="14"/>
        <v>-55.199999999999989</v>
      </c>
      <c r="E22">
        <f>SUM($F$2:$F21)</f>
        <v>705.20760000000007</v>
      </c>
      <c r="F22">
        <f t="shared" si="7"/>
        <v>103.086</v>
      </c>
      <c r="G22" s="2">
        <v>166</v>
      </c>
      <c r="H22" s="6">
        <f t="shared" si="8"/>
        <v>-3.3253012661025195E-4</v>
      </c>
      <c r="I22">
        <f t="shared" si="0"/>
        <v>2449.9998645440519</v>
      </c>
      <c r="J22">
        <f t="shared" si="1"/>
        <v>-0.81469879518072275</v>
      </c>
      <c r="K22">
        <f t="shared" si="2"/>
        <v>48.999997290881041</v>
      </c>
      <c r="L22">
        <f t="shared" si="3"/>
        <v>807.36385053088213</v>
      </c>
      <c r="M22" s="12">
        <f t="shared" si="9"/>
        <v>855.54914902658243</v>
      </c>
      <c r="N22">
        <f>($E$43-$E$11)/10</f>
        <v>186.29999999999995</v>
      </c>
      <c r="O22">
        <f t="shared" si="10"/>
        <v>299.82004199999994</v>
      </c>
      <c r="P22">
        <f t="shared" si="11"/>
        <v>71252.994942837264</v>
      </c>
      <c r="Q22">
        <f t="shared" si="12"/>
        <v>75399.994648505046</v>
      </c>
      <c r="R22">
        <f t="shared" si="5"/>
        <v>41746.372351091326</v>
      </c>
      <c r="S22">
        <f t="shared" si="6"/>
        <v>0.55366545509322562</v>
      </c>
      <c r="V22" s="8"/>
      <c r="W22" s="9"/>
      <c r="Y22">
        <f t="shared" ref="Y22:Y24" si="17">SUM($F$21:$F$24)/7.13</f>
        <v>44.306129032258063</v>
      </c>
    </row>
    <row r="23" spans="1:25" x14ac:dyDescent="0.3">
      <c r="B23" s="2">
        <v>21</v>
      </c>
      <c r="C23" s="2">
        <v>159.80000000000001</v>
      </c>
      <c r="D23" s="4">
        <f t="shared" si="14"/>
        <v>43.099999999999994</v>
      </c>
      <c r="E23">
        <f>SUM($F$2:$F22)</f>
        <v>808.29360000000008</v>
      </c>
      <c r="F23">
        <f t="shared" si="7"/>
        <v>30.242700000000003</v>
      </c>
      <c r="G23" s="2">
        <v>48.7</v>
      </c>
      <c r="H23" s="6">
        <f t="shared" si="8"/>
        <v>8.8501038247020046E-4</v>
      </c>
      <c r="I23">
        <f t="shared" si="0"/>
        <v>2449.9990405269255</v>
      </c>
      <c r="J23">
        <f t="shared" si="1"/>
        <v>2.1682751540041063</v>
      </c>
      <c r="K23">
        <f t="shared" si="2"/>
        <v>48.99998081053851</v>
      </c>
      <c r="L23">
        <f t="shared" si="3"/>
        <v>807.36385053088213</v>
      </c>
      <c r="M23" s="12">
        <f t="shared" si="9"/>
        <v>858.53210649542473</v>
      </c>
      <c r="N23">
        <f t="shared" si="4"/>
        <v>186.29999999999995</v>
      </c>
      <c r="O23">
        <f t="shared" si="10"/>
        <v>299.82004199999994</v>
      </c>
      <c r="P23">
        <f t="shared" si="11"/>
        <v>71501.425618835186</v>
      </c>
      <c r="Q23">
        <f t="shared" si="12"/>
        <v>75662.884252735646</v>
      </c>
      <c r="R23">
        <f t="shared" si="5"/>
        <v>12289.98047805032</v>
      </c>
      <c r="S23">
        <f t="shared" si="6"/>
        <v>0.16243076905445838</v>
      </c>
      <c r="V23" s="8"/>
      <c r="W23" s="9"/>
      <c r="Y23">
        <f t="shared" si="17"/>
        <v>44.306129032258063</v>
      </c>
    </row>
    <row r="24" spans="1:25" x14ac:dyDescent="0.3">
      <c r="B24" s="2">
        <v>22</v>
      </c>
      <c r="C24" s="2">
        <v>202.9</v>
      </c>
      <c r="D24" s="4">
        <f t="shared" si="14"/>
        <v>203.6</v>
      </c>
      <c r="E24">
        <f>SUM($F$2:$F23)</f>
        <v>838.5363000000001</v>
      </c>
      <c r="F24">
        <f t="shared" si="7"/>
        <v>157.113</v>
      </c>
      <c r="G24" s="2">
        <v>253</v>
      </c>
      <c r="H24" s="6">
        <f t="shared" si="8"/>
        <v>8.0474316986411422E-4</v>
      </c>
      <c r="I24">
        <f t="shared" si="0"/>
        <v>2449.9992066758705</v>
      </c>
      <c r="J24">
        <f t="shared" si="1"/>
        <v>1.9716205533596836</v>
      </c>
      <c r="K24">
        <f t="shared" si="2"/>
        <v>48.999984133517408</v>
      </c>
      <c r="L24">
        <f t="shared" si="3"/>
        <v>807.36385053088213</v>
      </c>
      <c r="M24" s="12">
        <f t="shared" si="9"/>
        <v>858.3354552177592</v>
      </c>
      <c r="N24">
        <f t="shared" si="4"/>
        <v>186.29999999999995</v>
      </c>
      <c r="O24">
        <f t="shared" si="10"/>
        <v>299.82004199999994</v>
      </c>
      <c r="P24">
        <f t="shared" si="11"/>
        <v>71485.047842632674</v>
      </c>
      <c r="Q24">
        <f t="shared" si="12"/>
        <v>75645.553272627178</v>
      </c>
      <c r="R24">
        <f t="shared" si="5"/>
        <v>63832.707281038536</v>
      </c>
      <c r="S24">
        <f t="shared" si="6"/>
        <v>0.84383951890714515</v>
      </c>
      <c r="U24" t="s">
        <v>43</v>
      </c>
      <c r="V24" s="8">
        <f>96*5.3*8</f>
        <v>4070.3999999999996</v>
      </c>
      <c r="W24" s="9"/>
      <c r="Y24">
        <f t="shared" si="17"/>
        <v>44.306129032258063</v>
      </c>
    </row>
    <row r="25" spans="1:25" x14ac:dyDescent="0.3">
      <c r="A25" s="1" t="s">
        <v>4</v>
      </c>
      <c r="B25" s="2">
        <v>23</v>
      </c>
      <c r="C25" s="2">
        <v>406.5</v>
      </c>
      <c r="D25" s="4">
        <f t="shared" si="14"/>
        <v>-19</v>
      </c>
      <c r="E25">
        <f>SUM($F$2:$F24)</f>
        <v>995.64930000000004</v>
      </c>
      <c r="F25">
        <f t="shared" si="7"/>
        <v>12.171600000000002</v>
      </c>
      <c r="G25" s="2">
        <v>19.600000000000001</v>
      </c>
      <c r="H25" s="6">
        <f t="shared" si="8"/>
        <v>-9.6938790692642279E-4</v>
      </c>
      <c r="I25">
        <f t="shared" si="0"/>
        <v>2449.9988488517706</v>
      </c>
      <c r="J25">
        <f t="shared" si="1"/>
        <v>-2.375</v>
      </c>
      <c r="K25">
        <f t="shared" si="2"/>
        <v>48.999976977035416</v>
      </c>
      <c r="L25">
        <f t="shared" si="3"/>
        <v>807.36385053088213</v>
      </c>
      <c r="M25" s="12">
        <f t="shared" si="9"/>
        <v>853.98882750791756</v>
      </c>
      <c r="N25">
        <f t="shared" si="4"/>
        <v>186.29999999999995</v>
      </c>
      <c r="O25">
        <f t="shared" si="10"/>
        <v>299.82004199999994</v>
      </c>
      <c r="P25">
        <f t="shared" si="11"/>
        <v>71123.046147487374</v>
      </c>
      <c r="Q25">
        <f t="shared" si="12"/>
        <v>75262.482695753832</v>
      </c>
      <c r="R25">
        <f t="shared" si="5"/>
        <v>4920.1002407863562</v>
      </c>
      <c r="S25">
        <f t="shared" si="6"/>
        <v>6.5372547709802553E-2</v>
      </c>
      <c r="U25" t="s">
        <v>44</v>
      </c>
      <c r="V25" s="8">
        <f>V24/AVERAGE(L4:L28)</f>
        <v>5.0415930776731068</v>
      </c>
      <c r="Y25">
        <f>SUM($F$25:$F$28)/5.5</f>
        <v>39.800454545454549</v>
      </c>
    </row>
    <row r="26" spans="1:25" x14ac:dyDescent="0.3">
      <c r="B26" s="2">
        <v>24</v>
      </c>
      <c r="C26" s="2">
        <v>387.5</v>
      </c>
      <c r="D26" s="4">
        <f t="shared" si="14"/>
        <v>-142.30000000000001</v>
      </c>
      <c r="E26">
        <f>SUM($F$2:$F25)</f>
        <v>1007.8209000000001</v>
      </c>
      <c r="F26">
        <f t="shared" si="7"/>
        <v>88.182000000000002</v>
      </c>
      <c r="G26" s="2">
        <v>142</v>
      </c>
      <c r="H26" s="6">
        <f t="shared" si="8"/>
        <v>-1.0021128437816519E-3</v>
      </c>
      <c r="I26">
        <f t="shared" si="0"/>
        <v>2449.9987698181671</v>
      </c>
      <c r="J26">
        <f t="shared" si="1"/>
        <v>-2.4551760563380287</v>
      </c>
      <c r="K26">
        <f t="shared" si="2"/>
        <v>48.999975396363347</v>
      </c>
      <c r="L26">
        <f t="shared" si="3"/>
        <v>807.36385053088213</v>
      </c>
      <c r="M26" s="12">
        <f t="shared" si="9"/>
        <v>853.90864987090742</v>
      </c>
      <c r="N26">
        <f t="shared" si="4"/>
        <v>186.29999999999995</v>
      </c>
      <c r="O26">
        <f t="shared" si="10"/>
        <v>299.82004199999994</v>
      </c>
      <c r="P26">
        <f t="shared" si="11"/>
        <v>71116.368685682974</v>
      </c>
      <c r="Q26">
        <f t="shared" si="12"/>
        <v>75255.416598606331</v>
      </c>
      <c r="R26">
        <f t="shared" si="5"/>
        <v>35642.277566628116</v>
      </c>
      <c r="S26">
        <f t="shared" si="6"/>
        <v>0.47361743748938578</v>
      </c>
      <c r="U26" t="s">
        <v>45</v>
      </c>
      <c r="V26" s="8">
        <f>4/0.01533*3.63</f>
        <v>947.16242661448132</v>
      </c>
      <c r="Y26">
        <f t="shared" ref="Y26:Y28" si="18">SUM($F$25:$F$28)/5.5</f>
        <v>39.800454545454549</v>
      </c>
    </row>
    <row r="27" spans="1:25" x14ac:dyDescent="0.3">
      <c r="B27" s="2">
        <v>25</v>
      </c>
      <c r="C27" s="2">
        <v>245.2</v>
      </c>
      <c r="D27" s="4">
        <f t="shared" si="14"/>
        <v>46.199999999999989</v>
      </c>
      <c r="E27">
        <f>SUM($F$2:$F26)</f>
        <v>1096.0029</v>
      </c>
      <c r="F27">
        <f t="shared" si="7"/>
        <v>39.681899999999999</v>
      </c>
      <c r="G27" s="2">
        <v>63.9</v>
      </c>
      <c r="H27" s="6">
        <f t="shared" si="8"/>
        <v>7.2300475782576695E-4</v>
      </c>
      <c r="I27">
        <f t="shared" si="0"/>
        <v>2449.9993596485751</v>
      </c>
      <c r="J27">
        <f t="shared" si="1"/>
        <v>1.7713615023474174</v>
      </c>
      <c r="K27">
        <f t="shared" si="2"/>
        <v>48.999987192971503</v>
      </c>
      <c r="L27">
        <f t="shared" si="3"/>
        <v>807.36385053088213</v>
      </c>
      <c r="M27" s="12">
        <f t="shared" si="9"/>
        <v>858.13519922620105</v>
      </c>
      <c r="N27">
        <f t="shared" si="4"/>
        <v>186.29999999999995</v>
      </c>
      <c r="O27">
        <f t="shared" si="10"/>
        <v>299.82004199999994</v>
      </c>
      <c r="P27">
        <f t="shared" si="11"/>
        <v>71468.369853799421</v>
      </c>
      <c r="Q27">
        <f t="shared" si="12"/>
        <v>75627.90460719516</v>
      </c>
      <c r="R27">
        <f t="shared" si="5"/>
        <v>16118.412472238168</v>
      </c>
      <c r="S27">
        <f t="shared" si="6"/>
        <v>0.2131278468702236</v>
      </c>
      <c r="V27" s="8"/>
      <c r="Y27">
        <f t="shared" si="18"/>
        <v>39.800454545454549</v>
      </c>
    </row>
    <row r="28" spans="1:25" x14ac:dyDescent="0.3">
      <c r="B28" s="2">
        <v>26</v>
      </c>
      <c r="C28" s="2">
        <v>291.39999999999998</v>
      </c>
      <c r="D28" s="4">
        <f t="shared" si="14"/>
        <v>-64.599999999999966</v>
      </c>
      <c r="E28">
        <f>SUM($F$2:$F27)</f>
        <v>1135.6848</v>
      </c>
      <c r="F28">
        <f t="shared" si="7"/>
        <v>78.867000000000004</v>
      </c>
      <c r="G28" s="2">
        <v>127</v>
      </c>
      <c r="H28" s="6">
        <f t="shared" si="8"/>
        <v>-5.0866143925771081E-4</v>
      </c>
      <c r="I28">
        <f t="shared" si="0"/>
        <v>2449.9996830478435</v>
      </c>
      <c r="J28">
        <f t="shared" si="1"/>
        <v>-1.2462204724409445</v>
      </c>
      <c r="K28">
        <f t="shared" si="2"/>
        <v>48.999993660956875</v>
      </c>
      <c r="L28">
        <f t="shared" si="3"/>
        <v>807.36385053088213</v>
      </c>
      <c r="M28" s="12">
        <f t="shared" si="9"/>
        <v>855.11762371939801</v>
      </c>
      <c r="N28">
        <f t="shared" si="4"/>
        <v>186.29999999999995</v>
      </c>
      <c r="O28">
        <f t="shared" si="10"/>
        <v>299.82004199999994</v>
      </c>
      <c r="P28">
        <f t="shared" si="11"/>
        <v>71217.056071802785</v>
      </c>
      <c r="Q28">
        <f t="shared" si="12"/>
        <v>75361.964097145814</v>
      </c>
      <c r="R28">
        <f t="shared" si="5"/>
        <v>31922.38042691462</v>
      </c>
      <c r="S28">
        <f t="shared" si="6"/>
        <v>0.42358742648698589</v>
      </c>
      <c r="U28" t="s">
        <v>46</v>
      </c>
      <c r="V28" s="8">
        <f>SUM(S3:S18)</f>
        <v>3.3740239420018496</v>
      </c>
      <c r="Y28">
        <f t="shared" si="18"/>
        <v>39.800454545454549</v>
      </c>
    </row>
    <row r="29" spans="1:25" x14ac:dyDescent="0.3">
      <c r="A29" t="s">
        <v>5</v>
      </c>
      <c r="B29" s="2">
        <v>27</v>
      </c>
      <c r="C29" s="2">
        <v>226.8</v>
      </c>
      <c r="D29" s="4">
        <f t="shared" si="14"/>
        <v>95.899999999999977</v>
      </c>
      <c r="E29">
        <f>SUM($F$2:$F28)</f>
        <v>1214.5518</v>
      </c>
      <c r="F29">
        <f t="shared" si="7"/>
        <v>114.88500000000001</v>
      </c>
      <c r="G29" s="2">
        <v>185</v>
      </c>
      <c r="H29" s="6">
        <f t="shared" si="8"/>
        <v>5.1837840159448749E-4</v>
      </c>
      <c r="I29">
        <f t="shared" si="0"/>
        <v>2449.9996708227022</v>
      </c>
      <c r="J29">
        <f t="shared" si="1"/>
        <v>1.2700270270270266</v>
      </c>
      <c r="K29">
        <f t="shared" si="2"/>
        <v>48.999993416454046</v>
      </c>
      <c r="L29">
        <f t="shared" si="3"/>
        <v>807.36385053088213</v>
      </c>
      <c r="M29" s="12">
        <f t="shared" si="9"/>
        <v>857.63387097436316</v>
      </c>
      <c r="N29">
        <f t="shared" si="4"/>
        <v>186.29999999999995</v>
      </c>
      <c r="O29">
        <f t="shared" si="10"/>
        <v>299.82004199999994</v>
      </c>
      <c r="P29">
        <f t="shared" si="11"/>
        <v>71426.617560043363</v>
      </c>
      <c r="Q29">
        <f t="shared" si="12"/>
        <v>75583.722285760174</v>
      </c>
      <c r="R29">
        <f t="shared" si="5"/>
        <v>46637.938309893354</v>
      </c>
      <c r="S29">
        <f t="shared" si="6"/>
        <v>0.61703680236293224</v>
      </c>
      <c r="U29" t="s">
        <v>47</v>
      </c>
      <c r="V29" s="8">
        <f>SUM(S19:S25)</f>
        <v>2.0385561816444548</v>
      </c>
      <c r="Y29">
        <f>SUM($F$29:$F$30)/3</f>
        <v>71.622</v>
      </c>
    </row>
    <row r="30" spans="1:25" x14ac:dyDescent="0.3">
      <c r="B30" s="2">
        <v>28</v>
      </c>
      <c r="C30" s="3">
        <v>322.7</v>
      </c>
      <c r="D30" s="4">
        <f t="shared" si="14"/>
        <v>160.5</v>
      </c>
      <c r="E30">
        <f>SUM($F$2:$F29)</f>
        <v>1329.4367999999999</v>
      </c>
      <c r="F30">
        <f t="shared" si="7"/>
        <v>99.980999999999995</v>
      </c>
      <c r="G30" s="2">
        <v>161</v>
      </c>
      <c r="H30" s="6">
        <f t="shared" si="8"/>
        <v>9.9689457505665107E-4</v>
      </c>
      <c r="I30">
        <f t="shared" si="0"/>
        <v>2449.9987825965782</v>
      </c>
      <c r="J30">
        <f t="shared" si="1"/>
        <v>2.4423913043478263</v>
      </c>
      <c r="K30">
        <f t="shared" si="2"/>
        <v>48.999975651931564</v>
      </c>
      <c r="L30">
        <f t="shared" si="3"/>
        <v>807.36385053088213</v>
      </c>
      <c r="M30" s="12">
        <f t="shared" si="9"/>
        <v>858.80621748716158</v>
      </c>
      <c r="N30">
        <f t="shared" si="4"/>
        <v>186.29999999999995</v>
      </c>
      <c r="O30">
        <f t="shared" si="10"/>
        <v>299.82004199999994</v>
      </c>
      <c r="P30">
        <f t="shared" si="11"/>
        <v>71524.254499128292</v>
      </c>
      <c r="Q30">
        <f t="shared" si="12"/>
        <v>75687.04179801936</v>
      </c>
      <c r="R30">
        <f t="shared" si="5"/>
        <v>40643.092597129049</v>
      </c>
      <c r="S30">
        <f t="shared" si="6"/>
        <v>0.5369887847590924</v>
      </c>
      <c r="U30" t="s">
        <v>48</v>
      </c>
      <c r="V30" s="8">
        <f>SUM(S26:S38)</f>
        <v>4.6754712948776138</v>
      </c>
      <c r="Y30">
        <f>SUM($F$29:$F$30)/3</f>
        <v>71.622</v>
      </c>
    </row>
    <row r="31" spans="1:25" x14ac:dyDescent="0.3">
      <c r="A31" t="s">
        <v>5</v>
      </c>
      <c r="B31" s="2">
        <v>29</v>
      </c>
      <c r="C31" s="3">
        <v>483.2</v>
      </c>
      <c r="D31" s="4">
        <f t="shared" si="14"/>
        <v>5.8000000000000114</v>
      </c>
      <c r="E31">
        <f>SUM($F$2:$F30)</f>
        <v>1429.4177999999999</v>
      </c>
      <c r="F31">
        <f t="shared" si="7"/>
        <v>39.619799999999998</v>
      </c>
      <c r="G31" s="2">
        <v>63.8</v>
      </c>
      <c r="H31" s="6">
        <f t="shared" si="8"/>
        <v>9.0909091034310224E-5</v>
      </c>
      <c r="I31">
        <f t="shared" si="0"/>
        <v>2449.9999898760329</v>
      </c>
      <c r="J31">
        <f t="shared" si="1"/>
        <v>0.22272727272727319</v>
      </c>
      <c r="K31">
        <f t="shared" si="2"/>
        <v>48.999999797520658</v>
      </c>
      <c r="L31">
        <f t="shared" si="3"/>
        <v>807.36385053088213</v>
      </c>
      <c r="M31" s="12">
        <f t="shared" si="9"/>
        <v>856.5865776011301</v>
      </c>
      <c r="N31">
        <f t="shared" si="4"/>
        <v>186.29999999999995</v>
      </c>
      <c r="O31">
        <f t="shared" si="10"/>
        <v>299.82004199999994</v>
      </c>
      <c r="P31">
        <f t="shared" si="11"/>
        <v>71339.395464724177</v>
      </c>
      <c r="Q31">
        <f t="shared" si="12"/>
        <v>75491.423772194903</v>
      </c>
      <c r="R31">
        <f t="shared" si="5"/>
        <v>16064.145693989449</v>
      </c>
      <c r="S31">
        <f t="shared" si="6"/>
        <v>0.21279431346354094</v>
      </c>
      <c r="U31" s="13" t="s">
        <v>49</v>
      </c>
      <c r="V31">
        <f>SUM(S39:S42)</f>
        <v>1.0574436514821115</v>
      </c>
      <c r="Y31">
        <f>SUM($F$31:$F$37)/10.35</f>
        <v>40.566000000000003</v>
      </c>
    </row>
    <row r="32" spans="1:25" x14ac:dyDescent="0.3">
      <c r="B32" s="2">
        <v>30</v>
      </c>
      <c r="C32" s="3">
        <v>489</v>
      </c>
      <c r="D32" s="4">
        <f t="shared" si="14"/>
        <v>80.299999999999955</v>
      </c>
      <c r="E32">
        <f>SUM($F$2:$F31)</f>
        <v>1469.0375999999999</v>
      </c>
      <c r="F32">
        <f t="shared" si="7"/>
        <v>41.855400000000003</v>
      </c>
      <c r="G32" s="2">
        <v>67.400000000000006</v>
      </c>
      <c r="H32" s="6">
        <f t="shared" si="8"/>
        <v>1.1913949406023678E-3</v>
      </c>
      <c r="I32">
        <f t="shared" si="0"/>
        <v>2449.9982612083727</v>
      </c>
      <c r="J32">
        <f t="shared" si="1"/>
        <v>2.9189169139465863</v>
      </c>
      <c r="K32">
        <f t="shared" si="2"/>
        <v>48.999965224167454</v>
      </c>
      <c r="L32">
        <f t="shared" si="3"/>
        <v>807.36385053088213</v>
      </c>
      <c r="M32" s="12">
        <f t="shared" si="9"/>
        <v>859.28273266899623</v>
      </c>
      <c r="N32">
        <f t="shared" si="4"/>
        <v>186.29999999999995</v>
      </c>
      <c r="O32">
        <f t="shared" si="10"/>
        <v>299.82004199999994</v>
      </c>
      <c r="P32">
        <f t="shared" si="11"/>
        <v>71563.940277414775</v>
      </c>
      <c r="Q32">
        <f t="shared" si="12"/>
        <v>75729.037330597654</v>
      </c>
      <c r="R32">
        <f t="shared" si="5"/>
        <v>17024.002405023621</v>
      </c>
      <c r="S32">
        <f t="shared" si="6"/>
        <v>0.22480151610411694</v>
      </c>
      <c r="V32" s="8"/>
      <c r="Y32">
        <f t="shared" ref="Y32:Y37" si="19">SUM($F$31:$F$37)/10.35</f>
        <v>40.566000000000003</v>
      </c>
    </row>
    <row r="33" spans="1:25" x14ac:dyDescent="0.3">
      <c r="B33" s="2">
        <v>31</v>
      </c>
      <c r="C33" s="3">
        <v>569.29999999999995</v>
      </c>
      <c r="D33" s="4">
        <f t="shared" si="14"/>
        <v>1.5</v>
      </c>
      <c r="E33">
        <f>SUM($F$2:$F32)</f>
        <v>1510.8929999999998</v>
      </c>
      <c r="F33">
        <f t="shared" si="7"/>
        <v>5.1543000000000001</v>
      </c>
      <c r="G33" s="2">
        <v>8.3000000000000007</v>
      </c>
      <c r="H33" s="6">
        <f t="shared" si="8"/>
        <v>1.8072289255002301E-4</v>
      </c>
      <c r="I33">
        <f t="shared" si="0"/>
        <v>2449.9999599905641</v>
      </c>
      <c r="J33">
        <f t="shared" si="1"/>
        <v>0.44277108433734941</v>
      </c>
      <c r="K33">
        <f t="shared" si="2"/>
        <v>48.999999199811285</v>
      </c>
      <c r="L33">
        <f t="shared" si="3"/>
        <v>807.36385053088213</v>
      </c>
      <c r="M33" s="12">
        <f t="shared" si="9"/>
        <v>856.80662081503078</v>
      </c>
      <c r="N33">
        <f t="shared" si="4"/>
        <v>186.29999999999995</v>
      </c>
      <c r="O33">
        <f t="shared" si="10"/>
        <v>299.82004199999994</v>
      </c>
      <c r="P33">
        <f t="shared" si="11"/>
        <v>71357.721399622373</v>
      </c>
      <c r="Q33">
        <f t="shared" si="12"/>
        <v>75510.8162958967</v>
      </c>
      <c r="R33">
        <f t="shared" si="5"/>
        <v>2090.3865234464306</v>
      </c>
      <c r="S33">
        <f t="shared" si="6"/>
        <v>2.7683272754661287E-2</v>
      </c>
      <c r="U33" s="1" t="s">
        <v>50</v>
      </c>
      <c r="V33">
        <v>343.31153331040832</v>
      </c>
      <c r="Y33">
        <f t="shared" si="19"/>
        <v>40.566000000000003</v>
      </c>
    </row>
    <row r="34" spans="1:25" x14ac:dyDescent="0.3">
      <c r="B34" s="2">
        <v>32</v>
      </c>
      <c r="C34" s="3">
        <v>570.79999999999995</v>
      </c>
      <c r="D34" s="4">
        <f t="shared" si="14"/>
        <v>636.29999999999995</v>
      </c>
      <c r="E34">
        <f>SUM($F$2:$F33)</f>
        <v>1516.0472999999997</v>
      </c>
      <c r="F34">
        <f t="shared" si="7"/>
        <v>266.40899999999999</v>
      </c>
      <c r="G34" s="2">
        <v>429</v>
      </c>
      <c r="H34" s="6">
        <f t="shared" si="8"/>
        <v>1.4832173270466723E-3</v>
      </c>
      <c r="I34">
        <f t="shared" si="0"/>
        <v>2449.9973050817857</v>
      </c>
      <c r="J34">
        <f t="shared" si="1"/>
        <v>3.6338811188811193</v>
      </c>
      <c r="K34">
        <f t="shared" si="2"/>
        <v>48.999946101635715</v>
      </c>
      <c r="L34">
        <f t="shared" si="3"/>
        <v>807.36385053088213</v>
      </c>
      <c r="M34" s="12">
        <f t="shared" si="9"/>
        <v>859.99767775139901</v>
      </c>
      <c r="N34">
        <f t="shared" si="4"/>
        <v>186.29999999999995</v>
      </c>
      <c r="O34">
        <f t="shared" si="10"/>
        <v>299.82004199999994</v>
      </c>
      <c r="P34">
        <f t="shared" si="11"/>
        <v>71623.483295368569</v>
      </c>
      <c r="Q34">
        <f t="shared" si="12"/>
        <v>75792.045815204838</v>
      </c>
      <c r="R34">
        <f t="shared" si="5"/>
        <v>108447.67894043215</v>
      </c>
      <c r="S34">
        <f t="shared" si="6"/>
        <v>1.4308583146686373</v>
      </c>
      <c r="U34" s="1" t="s">
        <v>51</v>
      </c>
      <c r="V34">
        <v>156.70710787169122</v>
      </c>
      <c r="Y34">
        <f t="shared" si="19"/>
        <v>40.566000000000003</v>
      </c>
    </row>
    <row r="35" spans="1:25" x14ac:dyDescent="0.3">
      <c r="B35" s="2">
        <v>33</v>
      </c>
      <c r="C35" s="3">
        <v>1207.0999999999999</v>
      </c>
      <c r="D35" s="4">
        <f t="shared" si="14"/>
        <v>83.300000000000182</v>
      </c>
      <c r="E35">
        <f>SUM($F$2:$F34)</f>
        <v>1782.4562999999998</v>
      </c>
      <c r="F35">
        <f t="shared" si="7"/>
        <v>26.392499999999998</v>
      </c>
      <c r="G35" s="2">
        <v>42.5</v>
      </c>
      <c r="H35" s="6">
        <f t="shared" si="8"/>
        <v>1.9600012549248406E-3</v>
      </c>
      <c r="I35">
        <f t="shared" si="0"/>
        <v>2449.9952940354806</v>
      </c>
      <c r="J35">
        <f t="shared" si="1"/>
        <v>4.8020000000000111</v>
      </c>
      <c r="K35">
        <f t="shared" si="2"/>
        <v>48.999905880709612</v>
      </c>
      <c r="L35">
        <f t="shared" si="3"/>
        <v>807.36385053088213</v>
      </c>
      <c r="M35" s="12">
        <f t="shared" si="9"/>
        <v>861.1657564115917</v>
      </c>
      <c r="N35">
        <f t="shared" si="4"/>
        <v>186.29999999999995</v>
      </c>
      <c r="O35">
        <f t="shared" si="10"/>
        <v>299.82004199999994</v>
      </c>
      <c r="P35">
        <f t="shared" si="11"/>
        <v>71720.764793412542</v>
      </c>
      <c r="Q35">
        <f t="shared" si="12"/>
        <v>75894.989199378353</v>
      </c>
      <c r="R35">
        <f t="shared" si="5"/>
        <v>10758.243576570445</v>
      </c>
      <c r="S35">
        <f t="shared" si="6"/>
        <v>0.14175169784013308</v>
      </c>
      <c r="U35" s="1" t="s">
        <v>52</v>
      </c>
      <c r="V35">
        <v>363.40867055177938</v>
      </c>
      <c r="Y35">
        <f t="shared" si="19"/>
        <v>40.566000000000003</v>
      </c>
    </row>
    <row r="36" spans="1:25" x14ac:dyDescent="0.3">
      <c r="B36" s="2">
        <v>34</v>
      </c>
      <c r="C36" s="3">
        <v>1290.4000000000001</v>
      </c>
      <c r="D36" s="4">
        <f t="shared" si="14"/>
        <v>-106.80000000000018</v>
      </c>
      <c r="E36">
        <f>SUM($F$2:$F35)</f>
        <v>1808.8487999999998</v>
      </c>
      <c r="F36">
        <f t="shared" si="7"/>
        <v>24.715799999999998</v>
      </c>
      <c r="G36" s="2">
        <v>39.799999999999997</v>
      </c>
      <c r="H36" s="6">
        <f t="shared" si="8"/>
        <v>-2.6834203058633327E-3</v>
      </c>
      <c r="I36">
        <f t="shared" si="0"/>
        <v>2449.9911790932342</v>
      </c>
      <c r="J36">
        <f t="shared" si="1"/>
        <v>-6.5743718592964937</v>
      </c>
      <c r="K36">
        <f t="shared" si="2"/>
        <v>48.999823581864689</v>
      </c>
      <c r="L36">
        <f t="shared" si="3"/>
        <v>807.36385053088213</v>
      </c>
      <c r="M36" s="12">
        <f t="shared" si="9"/>
        <v>849.78930225345039</v>
      </c>
      <c r="N36">
        <f t="shared" si="4"/>
        <v>186.29999999999995</v>
      </c>
      <c r="O36">
        <f t="shared" si="10"/>
        <v>299.82004199999994</v>
      </c>
      <c r="P36">
        <f t="shared" si="11"/>
        <v>70773.295636883369</v>
      </c>
      <c r="Q36">
        <f t="shared" si="12"/>
        <v>74892.37633532632</v>
      </c>
      <c r="R36">
        <f t="shared" si="5"/>
        <v>9941.6855466453035</v>
      </c>
      <c r="S36">
        <f t="shared" si="6"/>
        <v>0.13274629585970107</v>
      </c>
      <c r="U36" s="1" t="s">
        <v>53</v>
      </c>
      <c r="V36">
        <v>132.8195969367562</v>
      </c>
      <c r="Y36">
        <f t="shared" si="19"/>
        <v>40.566000000000003</v>
      </c>
    </row>
    <row r="37" spans="1:25" x14ac:dyDescent="0.3">
      <c r="B37" s="2">
        <v>35</v>
      </c>
      <c r="C37" s="3">
        <v>1183.5999999999999</v>
      </c>
      <c r="D37" s="4">
        <f t="shared" si="14"/>
        <v>1.4000000000000909</v>
      </c>
      <c r="E37">
        <f>SUM($F$2:$F36)</f>
        <v>1833.5645999999997</v>
      </c>
      <c r="F37">
        <f t="shared" si="7"/>
        <v>15.7113</v>
      </c>
      <c r="G37" s="2">
        <v>25.3</v>
      </c>
      <c r="H37" s="6">
        <f t="shared" si="8"/>
        <v>5.5335968407690665E-5</v>
      </c>
      <c r="I37">
        <f t="shared" si="0"/>
        <v>2449.9999962489651</v>
      </c>
      <c r="J37">
        <f t="shared" si="1"/>
        <v>0.13557312252965306</v>
      </c>
      <c r="K37">
        <f t="shared" si="2"/>
        <v>48.999999924979306</v>
      </c>
      <c r="L37">
        <f t="shared" si="3"/>
        <v>807.36385053088213</v>
      </c>
      <c r="M37" s="12">
        <f t="shared" si="9"/>
        <v>856.49942357839109</v>
      </c>
      <c r="N37">
        <f t="shared" si="4"/>
        <v>186.29999999999995</v>
      </c>
      <c r="O37">
        <f t="shared" si="10"/>
        <v>299.82004199999994</v>
      </c>
      <c r="P37">
        <f t="shared" si="11"/>
        <v>71332.136986180267</v>
      </c>
      <c r="Q37">
        <f t="shared" si="12"/>
        <v>75483.742842518812</v>
      </c>
      <c r="R37">
        <f t="shared" si="5"/>
        <v>6369.6165245541733</v>
      </c>
      <c r="S37">
        <f t="shared" si="6"/>
        <v>8.4383951890714515E-2</v>
      </c>
      <c r="U37" s="1" t="s">
        <v>54</v>
      </c>
      <c r="V37">
        <v>384.44584768167852</v>
      </c>
      <c r="Y37">
        <f t="shared" si="19"/>
        <v>40.566000000000003</v>
      </c>
    </row>
    <row r="38" spans="1:25" x14ac:dyDescent="0.3">
      <c r="A38" s="1" t="s">
        <v>6</v>
      </c>
      <c r="B38" s="2">
        <v>36</v>
      </c>
      <c r="C38" s="3">
        <v>1185</v>
      </c>
      <c r="D38" s="4">
        <f t="shared" si="14"/>
        <v>245.79999999999995</v>
      </c>
      <c r="E38">
        <f>SUM($F$2:$F37)</f>
        <v>1849.2758999999996</v>
      </c>
      <c r="F38">
        <f t="shared" si="7"/>
        <v>29.062799999999999</v>
      </c>
      <c r="G38" s="2">
        <v>46.8</v>
      </c>
      <c r="H38" s="6">
        <f t="shared" si="8"/>
        <v>5.2521608990830967E-3</v>
      </c>
      <c r="I38">
        <f t="shared" si="0"/>
        <v>2449.9662082148952</v>
      </c>
      <c r="J38">
        <f t="shared" si="1"/>
        <v>12.867735042735044</v>
      </c>
      <c r="K38">
        <f t="shared" si="2"/>
        <v>48.999324164297903</v>
      </c>
      <c r="L38">
        <f t="shared" si="3"/>
        <v>807.36385053088213</v>
      </c>
      <c r="M38" s="12">
        <f t="shared" si="9"/>
        <v>869.23090973791511</v>
      </c>
      <c r="N38">
        <f t="shared" si="4"/>
        <v>186.29999999999995</v>
      </c>
      <c r="O38">
        <f t="shared" si="10"/>
        <v>299.82004199999994</v>
      </c>
      <c r="P38">
        <f t="shared" si="11"/>
        <v>72392.457740366634</v>
      </c>
      <c r="Q38">
        <f t="shared" si="12"/>
        <v>76605.775386631358</v>
      </c>
      <c r="R38">
        <f t="shared" si="5"/>
        <v>11957.673890574493</v>
      </c>
      <c r="S38">
        <f t="shared" si="6"/>
        <v>0.15609363432748771</v>
      </c>
      <c r="U38" s="1" t="s">
        <v>55</v>
      </c>
      <c r="V38">
        <v>365.26562898151064</v>
      </c>
      <c r="Y38">
        <f>SUM($F$38:$F$42)/5.5</f>
        <v>27.312709090909085</v>
      </c>
    </row>
    <row r="39" spans="1:25" x14ac:dyDescent="0.3">
      <c r="B39" s="2">
        <v>37</v>
      </c>
      <c r="C39" s="3">
        <v>1430.8</v>
      </c>
      <c r="D39" s="4">
        <f t="shared" si="14"/>
        <v>-66.099999999999909</v>
      </c>
      <c r="E39">
        <f>SUM($F$2:$F38)</f>
        <v>1878.3386999999996</v>
      </c>
      <c r="F39">
        <f t="shared" si="7"/>
        <v>19.499399999999998</v>
      </c>
      <c r="G39" s="2">
        <v>31.4</v>
      </c>
      <c r="H39" s="6">
        <f t="shared" si="8"/>
        <v>-2.1050970961673248E-3</v>
      </c>
      <c r="I39">
        <f t="shared" si="0"/>
        <v>2449.9945714956189</v>
      </c>
      <c r="J39">
        <f t="shared" si="1"/>
        <v>-5.1574840764331125</v>
      </c>
      <c r="K39">
        <f t="shared" si="2"/>
        <v>48.999891429912381</v>
      </c>
      <c r="L39">
        <f t="shared" si="3"/>
        <v>807.36385053088213</v>
      </c>
      <c r="M39" s="12">
        <f t="shared" si="9"/>
        <v>851.20625788436143</v>
      </c>
      <c r="N39">
        <f t="shared" si="4"/>
        <v>186.29999999999995</v>
      </c>
      <c r="O39">
        <f t="shared" si="10"/>
        <v>299.82004199999994</v>
      </c>
      <c r="P39">
        <f t="shared" si="11"/>
        <v>70891.304441542234</v>
      </c>
      <c r="Q39">
        <f t="shared" si="12"/>
        <v>75017.253377293368</v>
      </c>
      <c r="R39">
        <f t="shared" si="5"/>
        <v>7856.5186647762921</v>
      </c>
      <c r="S39">
        <f t="shared" si="6"/>
        <v>0.10472948969835713</v>
      </c>
      <c r="U39" s="1" t="s">
        <v>56</v>
      </c>
      <c r="V39">
        <v>104.42748713563526</v>
      </c>
      <c r="Y39">
        <f t="shared" ref="Y39:Y42" si="20">SUM($F$38:$F$42)/5.5</f>
        <v>27.312709090909085</v>
      </c>
    </row>
    <row r="40" spans="1:25" x14ac:dyDescent="0.3">
      <c r="B40" s="2">
        <v>38</v>
      </c>
      <c r="C40" s="3">
        <v>1364.7</v>
      </c>
      <c r="D40" s="4">
        <f t="shared" si="14"/>
        <v>-277.10000000000014</v>
      </c>
      <c r="E40">
        <f>SUM($F$2:$F39)</f>
        <v>1897.8380999999995</v>
      </c>
      <c r="F40">
        <f t="shared" si="7"/>
        <v>54.647999999999996</v>
      </c>
      <c r="G40" s="2">
        <v>88</v>
      </c>
      <c r="H40" s="6">
        <f t="shared" si="8"/>
        <v>-3.1488688400636059E-3</v>
      </c>
      <c r="I40">
        <f t="shared" si="0"/>
        <v>2449.987853675696</v>
      </c>
      <c r="J40">
        <f t="shared" si="1"/>
        <v>-7.7147159090909128</v>
      </c>
      <c r="K40">
        <f t="shared" si="2"/>
        <v>48.999757073513919</v>
      </c>
      <c r="L40">
        <f t="shared" si="3"/>
        <v>807.36385053088213</v>
      </c>
      <c r="M40" s="12">
        <f t="shared" si="9"/>
        <v>848.64889169530511</v>
      </c>
      <c r="N40">
        <f t="shared" si="4"/>
        <v>186.29999999999995</v>
      </c>
      <c r="O40">
        <f t="shared" si="10"/>
        <v>299.82004199999994</v>
      </c>
      <c r="P40">
        <f t="shared" si="11"/>
        <v>70678.318430927713</v>
      </c>
      <c r="Q40">
        <f t="shared" si="12"/>
        <v>74791.871355479059</v>
      </c>
      <c r="R40">
        <f t="shared" si="5"/>
        <v>21952.117127920883</v>
      </c>
      <c r="S40">
        <f t="shared" si="6"/>
        <v>0.29350939788074615</v>
      </c>
      <c r="U40" s="1" t="s">
        <v>57</v>
      </c>
      <c r="V40">
        <v>149.10992753053984</v>
      </c>
      <c r="Y40">
        <f t="shared" si="20"/>
        <v>27.312709090909085</v>
      </c>
    </row>
    <row r="41" spans="1:25" x14ac:dyDescent="0.3">
      <c r="B41" s="2">
        <v>39</v>
      </c>
      <c r="C41" s="3">
        <v>1087.5999999999999</v>
      </c>
      <c r="D41" s="4">
        <f t="shared" si="14"/>
        <v>-50.5</v>
      </c>
      <c r="E41">
        <f>SUM($F$2:$F40)</f>
        <v>1952.4860999999994</v>
      </c>
      <c r="F41">
        <f t="shared" si="7"/>
        <v>35.272799999999997</v>
      </c>
      <c r="G41" s="2">
        <v>56.8</v>
      </c>
      <c r="H41" s="6">
        <f t="shared" si="8"/>
        <v>-8.8908462417492035E-4</v>
      </c>
      <c r="I41">
        <f t="shared" si="0"/>
        <v>2449.9990316725143</v>
      </c>
      <c r="J41">
        <f t="shared" si="1"/>
        <v>-2.178257042253521</v>
      </c>
      <c r="K41">
        <f t="shared" si="2"/>
        <v>48.999980633450285</v>
      </c>
      <c r="L41">
        <f t="shared" si="3"/>
        <v>807.36385053088213</v>
      </c>
      <c r="M41" s="12">
        <f t="shared" si="9"/>
        <v>854.18557412207895</v>
      </c>
      <c r="N41">
        <f t="shared" si="4"/>
        <v>186.29999999999995</v>
      </c>
      <c r="O41">
        <f t="shared" si="10"/>
        <v>299.82004199999994</v>
      </c>
      <c r="P41">
        <f t="shared" si="11"/>
        <v>71139.431863632155</v>
      </c>
      <c r="Q41">
        <f t="shared" si="12"/>
        <v>75279.822077917634</v>
      </c>
      <c r="R41">
        <f t="shared" si="5"/>
        <v>14261.534570880094</v>
      </c>
      <c r="S41">
        <f t="shared" si="6"/>
        <v>0.1894469749957543</v>
      </c>
      <c r="Y41">
        <f t="shared" si="20"/>
        <v>27.312709090909085</v>
      </c>
    </row>
    <row r="42" spans="1:25" x14ac:dyDescent="0.3">
      <c r="B42" s="2">
        <v>40</v>
      </c>
      <c r="C42" s="3">
        <v>1037.0999999999999</v>
      </c>
      <c r="D42" s="4">
        <f t="shared" si="14"/>
        <v>192.30000000000018</v>
      </c>
      <c r="E42">
        <f>SUM($F$2:$F41)</f>
        <v>1987.7588999999994</v>
      </c>
      <c r="F42">
        <f t="shared" si="7"/>
        <v>11.736899999999999</v>
      </c>
      <c r="G42" s="2">
        <v>18.899999999999999</v>
      </c>
      <c r="H42" s="6">
        <f t="shared" si="8"/>
        <v>1.0174778732925624E-2</v>
      </c>
      <c r="I42">
        <f t="shared" si="0"/>
        <v>2449.873181594317</v>
      </c>
      <c r="J42">
        <f t="shared" si="1"/>
        <v>24.927777777777798</v>
      </c>
      <c r="K42">
        <f t="shared" si="2"/>
        <v>48.99746363188634</v>
      </c>
      <c r="L42">
        <f t="shared" si="3"/>
        <v>14.53863413502315</v>
      </c>
      <c r="M42" s="12">
        <f t="shared" si="9"/>
        <v>88.463875544687284</v>
      </c>
      <c r="N42">
        <v>25</v>
      </c>
      <c r="O42">
        <f t="shared" si="10"/>
        <v>40.233499999999999</v>
      </c>
      <c r="P42">
        <f t="shared" si="11"/>
        <v>988.6698157575488</v>
      </c>
      <c r="Q42">
        <f t="shared" si="12"/>
        <v>1046.2114452460835</v>
      </c>
      <c r="R42">
        <f t="shared" si="5"/>
        <v>491.46597524826268</v>
      </c>
      <c r="S42">
        <f t="shared" si="6"/>
        <v>0.46975778890725389</v>
      </c>
      <c r="Y42">
        <f t="shared" si="20"/>
        <v>27.312709090909085</v>
      </c>
    </row>
    <row r="43" spans="1:25" x14ac:dyDescent="0.3">
      <c r="A43" s="1" t="s">
        <v>12</v>
      </c>
      <c r="B43" s="2">
        <v>41</v>
      </c>
      <c r="C43" s="3">
        <v>1229.4000000000001</v>
      </c>
      <c r="D43" s="2" t="s">
        <v>13</v>
      </c>
      <c r="E43">
        <f>SUM($F$2:$F42)</f>
        <v>1999.4957999999995</v>
      </c>
      <c r="F43" s="2" t="s">
        <v>13</v>
      </c>
      <c r="G43" s="2" t="s">
        <v>13</v>
      </c>
      <c r="H43" s="6" t="s">
        <v>13</v>
      </c>
      <c r="I43" s="6" t="s">
        <v>13</v>
      </c>
      <c r="J43" s="6" t="s">
        <v>13</v>
      </c>
      <c r="K43" s="6" t="s">
        <v>13</v>
      </c>
      <c r="L43" s="6" t="s">
        <v>13</v>
      </c>
      <c r="M43" s="6" t="s">
        <v>13</v>
      </c>
      <c r="N43" s="6" t="s">
        <v>13</v>
      </c>
      <c r="O43" s="6" t="s">
        <v>13</v>
      </c>
      <c r="P43" s="6" t="s">
        <v>13</v>
      </c>
      <c r="Q43" s="6" t="s">
        <v>13</v>
      </c>
      <c r="R43" s="6" t="s">
        <v>13</v>
      </c>
      <c r="S43" s="6" t="s">
        <v>13</v>
      </c>
      <c r="Y43" s="6" t="s">
        <v>13</v>
      </c>
    </row>
    <row r="44" spans="1:25" x14ac:dyDescent="0.3">
      <c r="F44" s="2"/>
    </row>
    <row r="45" spans="1:25" x14ac:dyDescent="0.3">
      <c r="R45">
        <f>SUM(R11:R42)</f>
        <v>751430.58790156117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coef_friction</vt:lpstr>
      <vt:lpstr>Coef_k</vt:lpstr>
      <vt:lpstr>den_air</vt:lpstr>
      <vt:lpstr>drag_coef</vt:lpstr>
      <vt:lpstr>g</vt:lpstr>
      <vt:lpstr>mass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Rupes</dc:creator>
  <cp:lastModifiedBy>Martin Rupes</cp:lastModifiedBy>
  <dcterms:created xsi:type="dcterms:W3CDTF">2017-12-31T20:11:50Z</dcterms:created>
  <dcterms:modified xsi:type="dcterms:W3CDTF">2018-01-31T15:25:12Z</dcterms:modified>
</cp:coreProperties>
</file>