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Reine\Downloads\imt semester-20240401T071229Z-001\imt semester\CFD\Day 1 - Lecture Notes + Gaussian project-20240513\Assignment\"/>
    </mc:Choice>
  </mc:AlternateContent>
  <xr:revisionPtr revIDLastSave="0" documentId="13_ncr:1_{FC587604-4A98-4E77-8467-2F36B36BF1F9}" xr6:coauthVersionLast="47" xr6:coauthVersionMax="47" xr10:uidLastSave="{00000000-0000-0000-0000-000000000000}"/>
  <bookViews>
    <workbookView xWindow="-108" yWindow="-108" windowWidth="23256" windowHeight="12456" firstSheet="2" activeTab="8" xr2:uid="{00000000-000D-0000-FFFF-FFFF00000000}"/>
  </bookViews>
  <sheets>
    <sheet name="Stability" sheetId="2" r:id="rId1"/>
    <sheet name="Wind speed graph" sheetId="3" r:id="rId2"/>
    <sheet name="simulations" sheetId="4" r:id="rId3"/>
    <sheet name="Arc 50" sheetId="7" r:id="rId4"/>
    <sheet name="Arc 100" sheetId="8" r:id="rId5"/>
    <sheet name="Arc 200" sheetId="9" r:id="rId6"/>
    <sheet name="Arc 400" sheetId="10" r:id="rId7"/>
    <sheet name="Arc 800" sheetId="11" r:id="rId8"/>
    <sheet name="Performance" sheetId="12" r:id="rId9"/>
  </sheets>
  <definedNames>
    <definedName name="_xlnm._FilterDatabase" localSheetId="1" hidden="1">'Wind speed graph'!$G$3:$G$9</definedName>
    <definedName name="_xlnm.Print_Area" localSheetId="0">Stability!$A$1:$E$9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" i="12" l="1"/>
  <c r="L71" i="12"/>
  <c r="L84" i="12"/>
  <c r="L70" i="12"/>
  <c r="L83" i="12"/>
  <c r="L69" i="12"/>
  <c r="L82" i="12"/>
  <c r="L68" i="12"/>
  <c r="L81" i="12"/>
  <c r="C95" i="12"/>
  <c r="D95" i="12"/>
  <c r="E95" i="12"/>
  <c r="F95" i="12"/>
  <c r="G95" i="12"/>
  <c r="B95" i="12"/>
  <c r="L67" i="12"/>
  <c r="C76" i="12"/>
  <c r="D76" i="12"/>
  <c r="E76" i="12"/>
  <c r="F76" i="12"/>
  <c r="G76" i="12"/>
  <c r="B76" i="12"/>
  <c r="L49" i="12"/>
  <c r="L50" i="12"/>
  <c r="L51" i="12"/>
  <c r="L52" i="12"/>
  <c r="C61" i="12"/>
  <c r="D61" i="12"/>
  <c r="E61" i="12"/>
  <c r="F61" i="12"/>
  <c r="G61" i="12"/>
  <c r="B61" i="12"/>
  <c r="L53" i="12"/>
  <c r="L33" i="12"/>
  <c r="L32" i="12"/>
  <c r="L31" i="12"/>
  <c r="L30" i="12"/>
  <c r="L29" i="12"/>
  <c r="C45" i="12"/>
  <c r="D45" i="12"/>
  <c r="E45" i="12"/>
  <c r="F45" i="12"/>
  <c r="G45" i="12"/>
  <c r="B45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6" i="12"/>
  <c r="I67" i="12"/>
  <c r="I68" i="12"/>
  <c r="I69" i="12"/>
  <c r="I70" i="12"/>
  <c r="I71" i="12"/>
  <c r="I72" i="12"/>
  <c r="I73" i="12"/>
  <c r="I74" i="12"/>
  <c r="I75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6" i="12"/>
  <c r="H67" i="12"/>
  <c r="H68" i="12"/>
  <c r="H69" i="12"/>
  <c r="H70" i="12"/>
  <c r="H71" i="12"/>
  <c r="H72" i="12"/>
  <c r="H73" i="12"/>
  <c r="H74" i="12"/>
  <c r="H75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6" i="12"/>
  <c r="G67" i="12"/>
  <c r="G68" i="12"/>
  <c r="G69" i="12"/>
  <c r="G70" i="12"/>
  <c r="G71" i="12"/>
  <c r="G72" i="12"/>
  <c r="G73" i="12"/>
  <c r="G74" i="12"/>
  <c r="G75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6" i="12"/>
  <c r="F67" i="12"/>
  <c r="F68" i="12"/>
  <c r="F69" i="12"/>
  <c r="F70" i="12"/>
  <c r="F71" i="12"/>
  <c r="F72" i="12"/>
  <c r="F73" i="12"/>
  <c r="F74" i="12"/>
  <c r="F75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6" i="12"/>
  <c r="E67" i="12"/>
  <c r="E68" i="12"/>
  <c r="E69" i="12"/>
  <c r="E70" i="12"/>
  <c r="E71" i="12"/>
  <c r="E72" i="12"/>
  <c r="E73" i="12"/>
  <c r="E74" i="12"/>
  <c r="E75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6" i="12"/>
  <c r="D67" i="12"/>
  <c r="D68" i="12"/>
  <c r="D69" i="12"/>
  <c r="D70" i="12"/>
  <c r="D71" i="12"/>
  <c r="D72" i="12"/>
  <c r="D73" i="12"/>
  <c r="D74" i="12"/>
  <c r="D75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29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3" i="12"/>
  <c r="L7" i="12" s="1"/>
  <c r="F3" i="12"/>
  <c r="F4" i="12"/>
  <c r="F5" i="12"/>
  <c r="F6" i="12"/>
  <c r="F25" i="12" s="1"/>
  <c r="L5" i="12" s="1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B25" i="12"/>
  <c r="C25" i="12"/>
  <c r="E3" i="12"/>
  <c r="E25" i="12" s="1"/>
  <c r="D3" i="12"/>
  <c r="E4" i="12"/>
  <c r="D4" i="12"/>
  <c r="G4" i="12" s="1"/>
  <c r="E5" i="12"/>
  <c r="G5" i="12" s="1"/>
  <c r="D5" i="12"/>
  <c r="E6" i="12"/>
  <c r="G6" i="12" s="1"/>
  <c r="D6" i="12"/>
  <c r="E7" i="12"/>
  <c r="G7" i="12" s="1"/>
  <c r="D7" i="12"/>
  <c r="E8" i="12"/>
  <c r="D8" i="12"/>
  <c r="G8" i="12" s="1"/>
  <c r="E9" i="12"/>
  <c r="G9" i="12" s="1"/>
  <c r="D9" i="12"/>
  <c r="E10" i="12"/>
  <c r="G10" i="12" s="1"/>
  <c r="D10" i="12"/>
  <c r="E11" i="12"/>
  <c r="D11" i="12"/>
  <c r="G11" i="12"/>
  <c r="E12" i="12"/>
  <c r="D12" i="12"/>
  <c r="G12" i="12" s="1"/>
  <c r="E13" i="12"/>
  <c r="G13" i="12" s="1"/>
  <c r="D13" i="12"/>
  <c r="E14" i="12"/>
  <c r="G14" i="12" s="1"/>
  <c r="D14" i="12"/>
  <c r="E15" i="12"/>
  <c r="D15" i="12"/>
  <c r="G15" i="12"/>
  <c r="E16" i="12"/>
  <c r="D16" i="12"/>
  <c r="G16" i="12" s="1"/>
  <c r="E17" i="12"/>
  <c r="G17" i="12" s="1"/>
  <c r="D17" i="12"/>
  <c r="E18" i="12"/>
  <c r="G18" i="12" s="1"/>
  <c r="D18" i="12"/>
  <c r="E19" i="12"/>
  <c r="D19" i="12"/>
  <c r="G19" i="12"/>
  <c r="E20" i="12"/>
  <c r="D20" i="12"/>
  <c r="G20" i="12" s="1"/>
  <c r="E21" i="12"/>
  <c r="G21" i="12" s="1"/>
  <c r="D21" i="12"/>
  <c r="E22" i="12"/>
  <c r="G22" i="12" s="1"/>
  <c r="D22" i="12"/>
  <c r="E23" i="12"/>
  <c r="D23" i="12"/>
  <c r="G23" i="12"/>
  <c r="L3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N102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88" i="4"/>
  <c r="B8" i="4"/>
  <c r="E75" i="4"/>
  <c r="F75" i="4"/>
  <c r="H75" i="4"/>
  <c r="I75" i="4"/>
  <c r="J75" i="4"/>
  <c r="G75" i="4"/>
  <c r="K75" i="4"/>
  <c r="B9" i="4"/>
  <c r="L75" i="4"/>
  <c r="B10" i="4"/>
  <c r="M75" i="4"/>
  <c r="N75" i="4"/>
  <c r="E76" i="4"/>
  <c r="F76" i="4"/>
  <c r="H76" i="4"/>
  <c r="I76" i="4"/>
  <c r="J76" i="4"/>
  <c r="G76" i="4"/>
  <c r="K76" i="4"/>
  <c r="L76" i="4"/>
  <c r="M76" i="4"/>
  <c r="N76" i="4"/>
  <c r="E77" i="4"/>
  <c r="F77" i="4"/>
  <c r="H77" i="4"/>
  <c r="I77" i="4"/>
  <c r="J77" i="4"/>
  <c r="G77" i="4"/>
  <c r="K77" i="4"/>
  <c r="L77" i="4"/>
  <c r="M77" i="4"/>
  <c r="N77" i="4"/>
  <c r="E78" i="4"/>
  <c r="F78" i="4"/>
  <c r="H78" i="4"/>
  <c r="I78" i="4"/>
  <c r="J78" i="4"/>
  <c r="G78" i="4"/>
  <c r="K78" i="4"/>
  <c r="L78" i="4"/>
  <c r="M78" i="4"/>
  <c r="N78" i="4"/>
  <c r="E79" i="4"/>
  <c r="F79" i="4"/>
  <c r="H79" i="4"/>
  <c r="I79" i="4"/>
  <c r="J79" i="4"/>
  <c r="G79" i="4"/>
  <c r="K79" i="4"/>
  <c r="L79" i="4"/>
  <c r="M79" i="4"/>
  <c r="N79" i="4"/>
  <c r="E80" i="4"/>
  <c r="F80" i="4"/>
  <c r="H80" i="4"/>
  <c r="I80" i="4"/>
  <c r="J80" i="4"/>
  <c r="G80" i="4"/>
  <c r="K80" i="4"/>
  <c r="L80" i="4"/>
  <c r="M80" i="4"/>
  <c r="N80" i="4"/>
  <c r="E81" i="4"/>
  <c r="F81" i="4"/>
  <c r="H81" i="4"/>
  <c r="I81" i="4"/>
  <c r="J81" i="4"/>
  <c r="G81" i="4"/>
  <c r="K81" i="4"/>
  <c r="L81" i="4"/>
  <c r="M81" i="4"/>
  <c r="N81" i="4"/>
  <c r="E82" i="4"/>
  <c r="F82" i="4"/>
  <c r="H82" i="4"/>
  <c r="I82" i="4"/>
  <c r="J82" i="4"/>
  <c r="G82" i="4"/>
  <c r="K82" i="4"/>
  <c r="L82" i="4"/>
  <c r="M82" i="4"/>
  <c r="N82" i="4"/>
  <c r="E83" i="4"/>
  <c r="F83" i="4"/>
  <c r="H83" i="4"/>
  <c r="I83" i="4"/>
  <c r="J83" i="4"/>
  <c r="G83" i="4"/>
  <c r="K83" i="4"/>
  <c r="L83" i="4"/>
  <c r="M83" i="4"/>
  <c r="N83" i="4"/>
  <c r="E84" i="4"/>
  <c r="F84" i="4"/>
  <c r="H84" i="4"/>
  <c r="I84" i="4"/>
  <c r="J84" i="4"/>
  <c r="G84" i="4"/>
  <c r="K84" i="4"/>
  <c r="L84" i="4"/>
  <c r="M84" i="4"/>
  <c r="N84" i="4"/>
  <c r="D76" i="4"/>
  <c r="D77" i="4"/>
  <c r="D78" i="4"/>
  <c r="D79" i="4"/>
  <c r="D80" i="4"/>
  <c r="D81" i="4"/>
  <c r="D82" i="4"/>
  <c r="D83" i="4"/>
  <c r="D84" i="4"/>
  <c r="D75" i="4"/>
  <c r="E39" i="4"/>
  <c r="G39" i="4"/>
  <c r="F39" i="4"/>
  <c r="H39" i="4"/>
  <c r="K39" i="4"/>
  <c r="E59" i="4"/>
  <c r="F59" i="4"/>
  <c r="H59" i="4"/>
  <c r="I59" i="4"/>
  <c r="J59" i="4"/>
  <c r="G59" i="4"/>
  <c r="K59" i="4"/>
  <c r="L59" i="4"/>
  <c r="M59" i="4"/>
  <c r="N59" i="4"/>
  <c r="E60" i="4"/>
  <c r="F60" i="4"/>
  <c r="H60" i="4"/>
  <c r="I60" i="4"/>
  <c r="J60" i="4"/>
  <c r="G60" i="4"/>
  <c r="K60" i="4"/>
  <c r="L60" i="4"/>
  <c r="M60" i="4"/>
  <c r="N60" i="4"/>
  <c r="E61" i="4"/>
  <c r="F61" i="4"/>
  <c r="H61" i="4"/>
  <c r="I61" i="4"/>
  <c r="J61" i="4"/>
  <c r="G61" i="4"/>
  <c r="K61" i="4"/>
  <c r="L61" i="4"/>
  <c r="M61" i="4"/>
  <c r="N61" i="4"/>
  <c r="E62" i="4"/>
  <c r="F62" i="4"/>
  <c r="H62" i="4"/>
  <c r="I62" i="4"/>
  <c r="J62" i="4"/>
  <c r="G62" i="4"/>
  <c r="K62" i="4"/>
  <c r="L62" i="4"/>
  <c r="M62" i="4"/>
  <c r="N62" i="4"/>
  <c r="E63" i="4"/>
  <c r="F63" i="4"/>
  <c r="H63" i="4"/>
  <c r="I63" i="4"/>
  <c r="J63" i="4"/>
  <c r="G63" i="4"/>
  <c r="K63" i="4"/>
  <c r="L63" i="4"/>
  <c r="M63" i="4"/>
  <c r="N63" i="4"/>
  <c r="E64" i="4"/>
  <c r="F64" i="4"/>
  <c r="H64" i="4"/>
  <c r="I64" i="4"/>
  <c r="J64" i="4"/>
  <c r="G64" i="4"/>
  <c r="K64" i="4"/>
  <c r="L64" i="4"/>
  <c r="M64" i="4"/>
  <c r="N64" i="4"/>
  <c r="E65" i="4"/>
  <c r="F65" i="4"/>
  <c r="H65" i="4"/>
  <c r="I65" i="4"/>
  <c r="J65" i="4"/>
  <c r="G65" i="4"/>
  <c r="K65" i="4"/>
  <c r="L65" i="4"/>
  <c r="M65" i="4"/>
  <c r="N65" i="4"/>
  <c r="E66" i="4"/>
  <c r="F66" i="4"/>
  <c r="H66" i="4"/>
  <c r="I66" i="4"/>
  <c r="J66" i="4"/>
  <c r="G66" i="4"/>
  <c r="K66" i="4"/>
  <c r="L66" i="4"/>
  <c r="M66" i="4"/>
  <c r="N66" i="4"/>
  <c r="E67" i="4"/>
  <c r="F67" i="4"/>
  <c r="H67" i="4"/>
  <c r="I67" i="4"/>
  <c r="J67" i="4"/>
  <c r="G67" i="4"/>
  <c r="K67" i="4"/>
  <c r="L67" i="4"/>
  <c r="M67" i="4"/>
  <c r="N67" i="4"/>
  <c r="E68" i="4"/>
  <c r="F68" i="4"/>
  <c r="H68" i="4"/>
  <c r="I68" i="4"/>
  <c r="J68" i="4"/>
  <c r="G68" i="4"/>
  <c r="K68" i="4"/>
  <c r="L68" i="4"/>
  <c r="M68" i="4"/>
  <c r="N68" i="4"/>
  <c r="E69" i="4"/>
  <c r="F69" i="4"/>
  <c r="H69" i="4"/>
  <c r="I69" i="4"/>
  <c r="J69" i="4"/>
  <c r="G69" i="4"/>
  <c r="K69" i="4"/>
  <c r="L69" i="4"/>
  <c r="M69" i="4"/>
  <c r="N69" i="4"/>
  <c r="E70" i="4"/>
  <c r="F70" i="4"/>
  <c r="H70" i="4"/>
  <c r="I70" i="4"/>
  <c r="J70" i="4"/>
  <c r="G70" i="4"/>
  <c r="K70" i="4"/>
  <c r="L70" i="4"/>
  <c r="M70" i="4"/>
  <c r="N70" i="4"/>
  <c r="D60" i="4"/>
  <c r="D61" i="4"/>
  <c r="D62" i="4"/>
  <c r="D63" i="4"/>
  <c r="D64" i="4"/>
  <c r="D65" i="4"/>
  <c r="D66" i="4"/>
  <c r="D67" i="4"/>
  <c r="D68" i="4"/>
  <c r="D69" i="4"/>
  <c r="D70" i="4"/>
  <c r="D59" i="4"/>
  <c r="I39" i="4"/>
  <c r="J39" i="4"/>
  <c r="L39" i="4"/>
  <c r="M39" i="4"/>
  <c r="N39" i="4"/>
  <c r="E40" i="4"/>
  <c r="F40" i="4"/>
  <c r="H40" i="4"/>
  <c r="I40" i="4"/>
  <c r="J40" i="4"/>
  <c r="G40" i="4"/>
  <c r="K40" i="4"/>
  <c r="L40" i="4"/>
  <c r="M40" i="4"/>
  <c r="N40" i="4"/>
  <c r="E41" i="4"/>
  <c r="F41" i="4"/>
  <c r="H41" i="4"/>
  <c r="I41" i="4"/>
  <c r="J41" i="4"/>
  <c r="G41" i="4"/>
  <c r="K41" i="4"/>
  <c r="L41" i="4"/>
  <c r="M41" i="4"/>
  <c r="N41" i="4"/>
  <c r="E42" i="4"/>
  <c r="F42" i="4"/>
  <c r="H42" i="4"/>
  <c r="I42" i="4"/>
  <c r="J42" i="4"/>
  <c r="G42" i="4"/>
  <c r="K42" i="4"/>
  <c r="L42" i="4"/>
  <c r="M42" i="4"/>
  <c r="N42" i="4"/>
  <c r="E43" i="4"/>
  <c r="F43" i="4"/>
  <c r="H43" i="4"/>
  <c r="I43" i="4"/>
  <c r="J43" i="4"/>
  <c r="G43" i="4"/>
  <c r="K43" i="4"/>
  <c r="L43" i="4"/>
  <c r="M43" i="4"/>
  <c r="N43" i="4"/>
  <c r="E44" i="4"/>
  <c r="F44" i="4"/>
  <c r="H44" i="4"/>
  <c r="I44" i="4"/>
  <c r="J44" i="4"/>
  <c r="G44" i="4"/>
  <c r="K44" i="4"/>
  <c r="L44" i="4"/>
  <c r="M44" i="4"/>
  <c r="N44" i="4"/>
  <c r="E45" i="4"/>
  <c r="F45" i="4"/>
  <c r="H45" i="4"/>
  <c r="I45" i="4"/>
  <c r="J45" i="4"/>
  <c r="G45" i="4"/>
  <c r="K45" i="4"/>
  <c r="L45" i="4"/>
  <c r="M45" i="4"/>
  <c r="N45" i="4"/>
  <c r="E46" i="4"/>
  <c r="F46" i="4"/>
  <c r="H46" i="4"/>
  <c r="I46" i="4"/>
  <c r="J46" i="4"/>
  <c r="G46" i="4"/>
  <c r="K46" i="4"/>
  <c r="L46" i="4"/>
  <c r="M46" i="4"/>
  <c r="N46" i="4"/>
  <c r="E47" i="4"/>
  <c r="F47" i="4"/>
  <c r="H47" i="4"/>
  <c r="I47" i="4"/>
  <c r="J47" i="4"/>
  <c r="G47" i="4"/>
  <c r="K47" i="4"/>
  <c r="L47" i="4"/>
  <c r="M47" i="4"/>
  <c r="N47" i="4"/>
  <c r="E48" i="4"/>
  <c r="F48" i="4"/>
  <c r="H48" i="4"/>
  <c r="I48" i="4"/>
  <c r="J48" i="4"/>
  <c r="G48" i="4"/>
  <c r="K48" i="4"/>
  <c r="L48" i="4"/>
  <c r="M48" i="4"/>
  <c r="N48" i="4"/>
  <c r="E49" i="4"/>
  <c r="F49" i="4"/>
  <c r="H49" i="4"/>
  <c r="I49" i="4"/>
  <c r="J49" i="4"/>
  <c r="G49" i="4"/>
  <c r="K49" i="4"/>
  <c r="L49" i="4"/>
  <c r="M49" i="4"/>
  <c r="N49" i="4"/>
  <c r="E50" i="4"/>
  <c r="F50" i="4"/>
  <c r="H50" i="4"/>
  <c r="I50" i="4"/>
  <c r="J50" i="4"/>
  <c r="G50" i="4"/>
  <c r="K50" i="4"/>
  <c r="L50" i="4"/>
  <c r="M50" i="4"/>
  <c r="N50" i="4"/>
  <c r="E51" i="4"/>
  <c r="F51" i="4"/>
  <c r="H51" i="4"/>
  <c r="I51" i="4"/>
  <c r="J51" i="4"/>
  <c r="G51" i="4"/>
  <c r="K51" i="4"/>
  <c r="L51" i="4"/>
  <c r="M51" i="4"/>
  <c r="N51" i="4"/>
  <c r="E52" i="4"/>
  <c r="F52" i="4"/>
  <c r="H52" i="4"/>
  <c r="I52" i="4"/>
  <c r="J52" i="4"/>
  <c r="G52" i="4"/>
  <c r="K52" i="4"/>
  <c r="L52" i="4"/>
  <c r="M52" i="4"/>
  <c r="N52" i="4"/>
  <c r="E53" i="4"/>
  <c r="F53" i="4"/>
  <c r="H53" i="4"/>
  <c r="I53" i="4"/>
  <c r="J53" i="4"/>
  <c r="G53" i="4"/>
  <c r="K53" i="4"/>
  <c r="L53" i="4"/>
  <c r="M53" i="4"/>
  <c r="N53" i="4"/>
  <c r="E54" i="4"/>
  <c r="F54" i="4"/>
  <c r="H54" i="4"/>
  <c r="I54" i="4"/>
  <c r="J54" i="4"/>
  <c r="G54" i="4"/>
  <c r="K54" i="4"/>
  <c r="L54" i="4"/>
  <c r="M54" i="4"/>
  <c r="N54" i="4"/>
  <c r="E15" i="4"/>
  <c r="G15" i="4"/>
  <c r="F15" i="4"/>
  <c r="H15" i="4"/>
  <c r="K15" i="4"/>
  <c r="E16" i="4"/>
  <c r="G16" i="4"/>
  <c r="F16" i="4"/>
  <c r="H16" i="4"/>
  <c r="K16" i="4"/>
  <c r="E17" i="4"/>
  <c r="G17" i="4"/>
  <c r="F17" i="4"/>
  <c r="H17" i="4"/>
  <c r="K17" i="4"/>
  <c r="E18" i="4"/>
  <c r="G18" i="4"/>
  <c r="F18" i="4"/>
  <c r="H18" i="4"/>
  <c r="K18" i="4"/>
  <c r="E19" i="4"/>
  <c r="G19" i="4"/>
  <c r="F19" i="4"/>
  <c r="H19" i="4"/>
  <c r="K19" i="4"/>
  <c r="E20" i="4"/>
  <c r="G20" i="4"/>
  <c r="F20" i="4"/>
  <c r="H20" i="4"/>
  <c r="K20" i="4"/>
  <c r="E21" i="4"/>
  <c r="G21" i="4"/>
  <c r="F21" i="4"/>
  <c r="H21" i="4"/>
  <c r="K21" i="4"/>
  <c r="E22" i="4"/>
  <c r="G22" i="4"/>
  <c r="F22" i="4"/>
  <c r="H22" i="4"/>
  <c r="K22" i="4"/>
  <c r="E23" i="4"/>
  <c r="G23" i="4"/>
  <c r="F23" i="4"/>
  <c r="H23" i="4"/>
  <c r="K23" i="4"/>
  <c r="E24" i="4"/>
  <c r="G24" i="4"/>
  <c r="F24" i="4"/>
  <c r="H24" i="4"/>
  <c r="K24" i="4"/>
  <c r="E25" i="4"/>
  <c r="G25" i="4"/>
  <c r="F25" i="4"/>
  <c r="H25" i="4"/>
  <c r="K25" i="4"/>
  <c r="E26" i="4"/>
  <c r="G26" i="4"/>
  <c r="F26" i="4"/>
  <c r="H26" i="4"/>
  <c r="K26" i="4"/>
  <c r="E27" i="4"/>
  <c r="G27" i="4"/>
  <c r="F27" i="4"/>
  <c r="H27" i="4"/>
  <c r="K27" i="4"/>
  <c r="E28" i="4"/>
  <c r="G28" i="4"/>
  <c r="F28" i="4"/>
  <c r="H28" i="4"/>
  <c r="K28" i="4"/>
  <c r="E29" i="4"/>
  <c r="G29" i="4"/>
  <c r="F29" i="4"/>
  <c r="H29" i="4"/>
  <c r="K29" i="4"/>
  <c r="E30" i="4"/>
  <c r="G30" i="4"/>
  <c r="F30" i="4"/>
  <c r="H30" i="4"/>
  <c r="K30" i="4"/>
  <c r="E31" i="4"/>
  <c r="G31" i="4"/>
  <c r="F31" i="4"/>
  <c r="H31" i="4"/>
  <c r="K31" i="4"/>
  <c r="E32" i="4"/>
  <c r="G32" i="4"/>
  <c r="F32" i="4"/>
  <c r="H32" i="4"/>
  <c r="K32" i="4"/>
  <c r="E33" i="4"/>
  <c r="G33" i="4"/>
  <c r="F33" i="4"/>
  <c r="H33" i="4"/>
  <c r="K33" i="4"/>
  <c r="E34" i="4"/>
  <c r="G34" i="4"/>
  <c r="F34" i="4"/>
  <c r="H34" i="4"/>
  <c r="K34" i="4"/>
  <c r="I15" i="4"/>
  <c r="J15" i="4"/>
  <c r="L15" i="4"/>
  <c r="M15" i="4"/>
  <c r="N15" i="4"/>
  <c r="I16" i="4"/>
  <c r="J16" i="4"/>
  <c r="L16" i="4"/>
  <c r="M16" i="4"/>
  <c r="N16" i="4"/>
  <c r="I17" i="4"/>
  <c r="J17" i="4"/>
  <c r="L17" i="4"/>
  <c r="M17" i="4"/>
  <c r="N17" i="4"/>
  <c r="I18" i="4"/>
  <c r="J18" i="4"/>
  <c r="L18" i="4"/>
  <c r="M18" i="4"/>
  <c r="N18" i="4"/>
  <c r="I19" i="4"/>
  <c r="J19" i="4"/>
  <c r="L19" i="4"/>
  <c r="M19" i="4"/>
  <c r="N19" i="4"/>
  <c r="I20" i="4"/>
  <c r="J20" i="4"/>
  <c r="L20" i="4"/>
  <c r="M20" i="4"/>
  <c r="N20" i="4"/>
  <c r="I21" i="4"/>
  <c r="J21" i="4"/>
  <c r="L21" i="4"/>
  <c r="M21" i="4"/>
  <c r="N21" i="4"/>
  <c r="I22" i="4"/>
  <c r="J22" i="4"/>
  <c r="L22" i="4"/>
  <c r="M22" i="4"/>
  <c r="N22" i="4"/>
  <c r="I23" i="4"/>
  <c r="J23" i="4"/>
  <c r="L23" i="4"/>
  <c r="M23" i="4"/>
  <c r="N23" i="4"/>
  <c r="I24" i="4"/>
  <c r="J24" i="4"/>
  <c r="L24" i="4"/>
  <c r="M24" i="4"/>
  <c r="N24" i="4"/>
  <c r="I25" i="4"/>
  <c r="J25" i="4"/>
  <c r="L25" i="4"/>
  <c r="M25" i="4"/>
  <c r="N25" i="4"/>
  <c r="I26" i="4"/>
  <c r="J26" i="4"/>
  <c r="L26" i="4"/>
  <c r="M26" i="4"/>
  <c r="N26" i="4"/>
  <c r="I27" i="4"/>
  <c r="J27" i="4"/>
  <c r="L27" i="4"/>
  <c r="M27" i="4"/>
  <c r="N27" i="4"/>
  <c r="I28" i="4"/>
  <c r="J28" i="4"/>
  <c r="L28" i="4"/>
  <c r="M28" i="4"/>
  <c r="N28" i="4"/>
  <c r="I29" i="4"/>
  <c r="J29" i="4"/>
  <c r="L29" i="4"/>
  <c r="M29" i="4"/>
  <c r="N29" i="4"/>
  <c r="I30" i="4"/>
  <c r="J30" i="4"/>
  <c r="L30" i="4"/>
  <c r="M30" i="4"/>
  <c r="N30" i="4"/>
  <c r="I31" i="4"/>
  <c r="J31" i="4"/>
  <c r="L31" i="4"/>
  <c r="M31" i="4"/>
  <c r="N31" i="4"/>
  <c r="I32" i="4"/>
  <c r="J32" i="4"/>
  <c r="L32" i="4"/>
  <c r="M32" i="4"/>
  <c r="N32" i="4"/>
  <c r="I33" i="4"/>
  <c r="J33" i="4"/>
  <c r="L33" i="4"/>
  <c r="M33" i="4"/>
  <c r="N33" i="4"/>
  <c r="I34" i="4"/>
  <c r="J34" i="4"/>
  <c r="L34" i="4"/>
  <c r="M34" i="4"/>
  <c r="N34" i="4"/>
  <c r="E14" i="4"/>
  <c r="F14" i="4"/>
  <c r="H14" i="4"/>
  <c r="I14" i="4"/>
  <c r="J14" i="4"/>
  <c r="G14" i="4"/>
  <c r="K14" i="4"/>
  <c r="L14" i="4"/>
  <c r="M14" i="4"/>
  <c r="N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14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J14" i="2"/>
  <c r="J15" i="2"/>
  <c r="J16" i="2"/>
  <c r="J17" i="2"/>
  <c r="J18" i="2"/>
  <c r="J13" i="2"/>
  <c r="B22" i="3"/>
  <c r="C17" i="3"/>
  <c r="C16" i="3"/>
  <c r="E3" i="3"/>
  <c r="E6" i="3"/>
  <c r="C3" i="2"/>
  <c r="C4" i="2"/>
  <c r="C5" i="2"/>
  <c r="C6" i="2"/>
  <c r="C7" i="2"/>
  <c r="C8" i="2"/>
  <c r="C9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C3" i="3"/>
  <c r="C4" i="3"/>
  <c r="E4" i="3"/>
  <c r="C5" i="3"/>
  <c r="E5" i="3"/>
  <c r="C6" i="3"/>
  <c r="C7" i="3"/>
  <c r="E7" i="3"/>
  <c r="C8" i="3"/>
  <c r="E8" i="3"/>
  <c r="C9" i="3"/>
  <c r="E9" i="3"/>
  <c r="D25" i="12" l="1"/>
  <c r="L4" i="12" s="1"/>
  <c r="G3" i="12"/>
  <c r="G25" i="12" s="1"/>
  <c r="L6" i="12" s="1"/>
</calcChain>
</file>

<file path=xl/sharedStrings.xml><?xml version="1.0" encoding="utf-8"?>
<sst xmlns="http://schemas.openxmlformats.org/spreadsheetml/2006/main" count="242" uniqueCount="105">
  <si>
    <t>Experiment 21 : Temperature and wind speed</t>
  </si>
  <si>
    <t>Height (m)</t>
  </si>
  <si>
    <t>Temperature (°C)</t>
  </si>
  <si>
    <t>Temperature (K)</t>
  </si>
  <si>
    <t>Wind Speed (m/s)</t>
  </si>
  <si>
    <t>0.25</t>
  </si>
  <si>
    <t>28.32</t>
  </si>
  <si>
    <t>3.76</t>
  </si>
  <si>
    <t>0.5</t>
  </si>
  <si>
    <t>28.42</t>
  </si>
  <si>
    <t>4.62</t>
  </si>
  <si>
    <t>28.5</t>
  </si>
  <si>
    <t>5.31</t>
  </si>
  <si>
    <t>6.11</t>
  </si>
  <si>
    <t>28.74</t>
  </si>
  <si>
    <t>6.75</t>
  </si>
  <si>
    <t>28.84</t>
  </si>
  <si>
    <t>7.72</t>
  </si>
  <si>
    <t>28.91</t>
  </si>
  <si>
    <t>8.59</t>
  </si>
  <si>
    <t>Bulk Richardson number</t>
  </si>
  <si>
    <t>g</t>
  </si>
  <si>
    <t>Rinumb</t>
  </si>
  <si>
    <t>dz</t>
  </si>
  <si>
    <t>dT</t>
  </si>
  <si>
    <t>Tv</t>
  </si>
  <si>
    <t>du</t>
  </si>
  <si>
    <t>dT/dz</t>
  </si>
  <si>
    <t>du/dz</t>
  </si>
  <si>
    <t>g/Tv</t>
  </si>
  <si>
    <t>Ri</t>
  </si>
  <si>
    <t>Stability</t>
  </si>
  <si>
    <t>Ri(16-0.25)</t>
  </si>
  <si>
    <t>Ri(16-0.5)</t>
  </si>
  <si>
    <t>Ri(8-1)</t>
  </si>
  <si>
    <t>Ri(0.5-0.25)</t>
  </si>
  <si>
    <t>Ri(2-1)</t>
  </si>
  <si>
    <t>Ri(8-4)</t>
  </si>
  <si>
    <t>ln(z)</t>
  </si>
  <si>
    <t>k=0.4</t>
  </si>
  <si>
    <t>u*</t>
  </si>
  <si>
    <t>z0</t>
  </si>
  <si>
    <t>Wind speed at source height</t>
  </si>
  <si>
    <t>Zs</t>
  </si>
  <si>
    <t>u(Zs)</t>
  </si>
  <si>
    <t>Emission rate</t>
  </si>
  <si>
    <t>S(g/s)</t>
  </si>
  <si>
    <t xml:space="preserve">Release height </t>
  </si>
  <si>
    <t>Weakly stable (neutral)</t>
  </si>
  <si>
    <t>D</t>
  </si>
  <si>
    <t>Neutral</t>
  </si>
  <si>
    <t>Arc 2=100 m</t>
  </si>
  <si>
    <t>Receptors</t>
  </si>
  <si>
    <t>Angle (degrees)</t>
  </si>
  <si>
    <t>Concentration (g/m3)</t>
  </si>
  <si>
    <t>Concentration (mg/m3)</t>
  </si>
  <si>
    <t>y</t>
  </si>
  <si>
    <t>x</t>
  </si>
  <si>
    <t>Arc distance = 50 m</t>
  </si>
  <si>
    <t>Angles</t>
  </si>
  <si>
    <t>Receptor Number</t>
  </si>
  <si>
    <t>x, downwind distance</t>
  </si>
  <si>
    <t>y, crosswind distance</t>
  </si>
  <si>
    <t>Delta Angle (365 degrees)</t>
  </si>
  <si>
    <t>Delta Angle</t>
  </si>
  <si>
    <t>Sigma y</t>
  </si>
  <si>
    <t>Sigma z</t>
  </si>
  <si>
    <t>z, receptor height</t>
  </si>
  <si>
    <t>Pre-exponential factor</t>
  </si>
  <si>
    <t>(z-zsf)^2</t>
  </si>
  <si>
    <t>(z+zsf)^2</t>
  </si>
  <si>
    <t>Preexpo</t>
  </si>
  <si>
    <t>exp(-y^2/2sgy</t>
  </si>
  <si>
    <t>exp(-Z-zsf)</t>
  </si>
  <si>
    <t>exp(z+zsf)</t>
  </si>
  <si>
    <t>c(50,y,z,t)</t>
  </si>
  <si>
    <t>c(100,y,z,t)</t>
  </si>
  <si>
    <t>Arc distance = 200 m</t>
  </si>
  <si>
    <t>Receptor number</t>
  </si>
  <si>
    <t>c(200,y,z,t)</t>
  </si>
  <si>
    <t>Arc distance = 400 m</t>
  </si>
  <si>
    <t>c(400,y,z,t)</t>
  </si>
  <si>
    <t>Arc distance = 800 m</t>
  </si>
  <si>
    <t>c(800,y,z,t)</t>
  </si>
  <si>
    <t>Co</t>
  </si>
  <si>
    <t>Cp</t>
  </si>
  <si>
    <t>ln(Co)</t>
  </si>
  <si>
    <t>ln(Cp)</t>
  </si>
  <si>
    <t>(Cp-Co)^2</t>
  </si>
  <si>
    <t>(ln(Cp)-ln(Co))^2</t>
  </si>
  <si>
    <t>FAC2</t>
  </si>
  <si>
    <t>Arc =50 m</t>
  </si>
  <si>
    <t>Mean Co</t>
  </si>
  <si>
    <t>Mean Cp</t>
  </si>
  <si>
    <t>Mean ln(Co)</t>
  </si>
  <si>
    <t>Mean ln(Cp)</t>
  </si>
  <si>
    <t>FB</t>
  </si>
  <si>
    <t>MG</t>
  </si>
  <si>
    <t>NMSE</t>
  </si>
  <si>
    <t>VG</t>
  </si>
  <si>
    <t>Helper</t>
  </si>
  <si>
    <t>Arc 100</t>
  </si>
  <si>
    <t>Arc 200</t>
  </si>
  <si>
    <t>Arc 400</t>
  </si>
  <si>
    <t>Arc 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</si>
</sst>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0_);[Red]\(0.00\)"/>
    <numFmt numFmtId="166" formatCode="_-* #,##0.00\ _€_-;\-* #,##0.00\ _€_-;_-* &quot;-&quot;??.0\ _€_-;_-@_-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11" fontId="0" fillId="0" borderId="0"/>
    <xf numFmtId="164" fontId="2" fillId="0" borderId="0" applyFont="0" applyFill="0" applyBorder="0" applyAlignment="0" applyProtection="0"/>
  </cellStyleXfs>
  <cellXfs count="17">
    <xf numFmtId="11" fontId="0" fillId="0" borderId="0" xfId="0"/>
    <xf numFmtId="165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distributed"/>
    </xf>
    <xf numFmtId="49" fontId="0" fillId="0" borderId="0" xfId="0" applyNumberFormat="1"/>
    <xf numFmtId="49" fontId="0" fillId="0" borderId="0" xfId="0" applyNumberFormat="1" applyAlignment="1">
      <alignment horizontal="center"/>
    </xf>
    <xf numFmtId="11" fontId="1" fillId="0" borderId="0" xfId="0" applyFont="1"/>
    <xf numFmtId="11" fontId="1" fillId="0" borderId="0" xfId="0" applyFont="1" applyAlignment="1">
      <alignment horizontal="center"/>
    </xf>
    <xf numFmtId="11" fontId="0" fillId="0" borderId="0" xfId="0" applyAlignment="1">
      <alignment horizontal="center"/>
    </xf>
    <xf numFmtId="0" fontId="0" fillId="0" borderId="0" xfId="0" applyNumberFormat="1"/>
    <xf numFmtId="0" fontId="0" fillId="0" borderId="0" xfId="1" applyNumberFormat="1" applyFont="1" applyAlignment="1">
      <alignment horizontal="distributed"/>
    </xf>
    <xf numFmtId="0" fontId="0" fillId="0" borderId="0" xfId="0" quotePrefix="1" applyNumberForma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11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ln(z)</a:t>
            </a:r>
            <a:r>
              <a:rPr lang="en-US" baseline="0"/>
              <a:t> versus Wind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 speed graph'!$F$3:$F$9</c:f>
              <c:numCache>
                <c:formatCode>General</c:formatCode>
                <c:ptCount val="7"/>
                <c:pt idx="0">
                  <c:v>-1.3862943611198906</c:v>
                </c:pt>
                <c:pt idx="1">
                  <c:v>-0.69314718055994529</c:v>
                </c:pt>
                <c:pt idx="2">
                  <c:v>0</c:v>
                </c:pt>
                <c:pt idx="3">
                  <c:v>0.69314718055994529</c:v>
                </c:pt>
                <c:pt idx="4">
                  <c:v>1.3862943611198906</c:v>
                </c:pt>
                <c:pt idx="5">
                  <c:v>2.0794415416798357</c:v>
                </c:pt>
                <c:pt idx="6">
                  <c:v>2.7725887222397811</c:v>
                </c:pt>
              </c:numCache>
            </c:numRef>
          </c:xVal>
          <c:yVal>
            <c:numRef>
              <c:f>'Wind speed graph'!$G$3:$G$9</c:f>
              <c:numCache>
                <c:formatCode>General</c:formatCode>
                <c:ptCount val="7"/>
                <c:pt idx="0">
                  <c:v>3.76</c:v>
                </c:pt>
                <c:pt idx="1">
                  <c:v>4.62</c:v>
                </c:pt>
                <c:pt idx="2">
                  <c:v>5.31</c:v>
                </c:pt>
                <c:pt idx="3">
                  <c:v>6.11</c:v>
                </c:pt>
                <c:pt idx="4">
                  <c:v>6.75</c:v>
                </c:pt>
                <c:pt idx="5">
                  <c:v>7.72</c:v>
                </c:pt>
                <c:pt idx="6">
                  <c:v>8.59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28-45B8-8CD3-C20ED6820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331440"/>
        <c:axId val="1"/>
      </c:scatterChart>
      <c:valAx>
        <c:axId val="143633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314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Comparison of</a:t>
            </a:r>
            <a:r>
              <a:rPr lang="en-US" sz="1200" baseline="0"/>
              <a:t> the Model and the Measured Concentration at 50 m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'Arc 50'!$A$2:$A$22</c:f>
              <c:numCache>
                <c:formatCode>General</c:formatCode>
                <c:ptCount val="21"/>
                <c:pt idx="0">
                  <c:v>-17.101007166283434</c:v>
                </c:pt>
                <c:pt idx="1">
                  <c:v>-15.450849718747369</c:v>
                </c:pt>
                <c:pt idx="2">
                  <c:v>-13.781867790849958</c:v>
                </c:pt>
                <c:pt idx="3">
                  <c:v>-12.096094779983387</c:v>
                </c:pt>
                <c:pt idx="4">
                  <c:v>-10.395584540887967</c:v>
                </c:pt>
                <c:pt idx="5">
                  <c:v>-8.6824088833465165</c:v>
                </c:pt>
                <c:pt idx="6">
                  <c:v>-6.9586550480032718</c:v>
                </c:pt>
                <c:pt idx="7">
                  <c:v>-5.2264231633826732</c:v>
                </c:pt>
                <c:pt idx="8">
                  <c:v>-3.4878236872062649</c:v>
                </c:pt>
                <c:pt idx="9">
                  <c:v>-1.7449748351250485</c:v>
                </c:pt>
                <c:pt idx="10">
                  <c:v>0</c:v>
                </c:pt>
                <c:pt idx="11">
                  <c:v>1.7449748351250485</c:v>
                </c:pt>
                <c:pt idx="12">
                  <c:v>3.4878236872062649</c:v>
                </c:pt>
                <c:pt idx="13">
                  <c:v>5.2264231633826705</c:v>
                </c:pt>
                <c:pt idx="14">
                  <c:v>6.958655048003294</c:v>
                </c:pt>
                <c:pt idx="15">
                  <c:v>8.6824088833465201</c:v>
                </c:pt>
                <c:pt idx="16">
                  <c:v>10.395584540887993</c:v>
                </c:pt>
                <c:pt idx="17">
                  <c:v>12.096094779983394</c:v>
                </c:pt>
                <c:pt idx="18">
                  <c:v>13.781867790849947</c:v>
                </c:pt>
                <c:pt idx="19">
                  <c:v>15.450849718747381</c:v>
                </c:pt>
                <c:pt idx="20">
                  <c:v>17.101007166283431</c:v>
                </c:pt>
              </c:numCache>
            </c:numRef>
          </c:xVal>
          <c:yVal>
            <c:numRef>
              <c:f>'Arc 50'!$B$2:$B$22</c:f>
              <c:numCache>
                <c:formatCode>General</c:formatCode>
                <c:ptCount val="21"/>
                <c:pt idx="0">
                  <c:v>2.3000000000000001E-4</c:v>
                </c:pt>
                <c:pt idx="1">
                  <c:v>9.2500000000000004E-4</c:v>
                </c:pt>
                <c:pt idx="2">
                  <c:v>2.5499999999999997E-3</c:v>
                </c:pt>
                <c:pt idx="3">
                  <c:v>6.6299999999999996E-3</c:v>
                </c:pt>
                <c:pt idx="4">
                  <c:v>1.5599999999999999E-2</c:v>
                </c:pt>
                <c:pt idx="5">
                  <c:v>3.9299999999999995E-2</c:v>
                </c:pt>
                <c:pt idx="6">
                  <c:v>6.6500000000000004E-2</c:v>
                </c:pt>
                <c:pt idx="7">
                  <c:v>0.13100000000000001</c:v>
                </c:pt>
                <c:pt idx="8">
                  <c:v>0.31</c:v>
                </c:pt>
                <c:pt idx="9">
                  <c:v>0.26700000000000002</c:v>
                </c:pt>
                <c:pt idx="10">
                  <c:v>0.27500000000000002</c:v>
                </c:pt>
                <c:pt idx="11">
                  <c:v>0.255</c:v>
                </c:pt>
                <c:pt idx="12">
                  <c:v>0.20100000000000001</c:v>
                </c:pt>
                <c:pt idx="13">
                  <c:v>0.129</c:v>
                </c:pt>
                <c:pt idx="14">
                  <c:v>7.6200000000000004E-2</c:v>
                </c:pt>
                <c:pt idx="15">
                  <c:v>3.56E-2</c:v>
                </c:pt>
                <c:pt idx="16">
                  <c:v>1.06E-2</c:v>
                </c:pt>
                <c:pt idx="17">
                  <c:v>1.3600000000000001E-3</c:v>
                </c:pt>
                <c:pt idx="18">
                  <c:v>1.1E-4</c:v>
                </c:pt>
                <c:pt idx="19">
                  <c:v>2.5000000000000001E-5</c:v>
                </c:pt>
                <c:pt idx="20">
                  <c:v>4.4999999999999996E-5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4-4B16-A04C-BAF884DB17FF}"/>
            </c:ext>
          </c:extLst>
        </c:ser>
        <c:ser>
          <c:idx val="1"/>
          <c:order val="1"/>
          <c:tx>
            <c:v>Simulated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'Arc 50'!$A$2:$A$22</c:f>
              <c:numCache>
                <c:formatCode>General</c:formatCode>
                <c:ptCount val="21"/>
                <c:pt idx="0">
                  <c:v>-17.101007166283434</c:v>
                </c:pt>
                <c:pt idx="1">
                  <c:v>-15.450849718747369</c:v>
                </c:pt>
                <c:pt idx="2">
                  <c:v>-13.781867790849958</c:v>
                </c:pt>
                <c:pt idx="3">
                  <c:v>-12.096094779983387</c:v>
                </c:pt>
                <c:pt idx="4">
                  <c:v>-10.395584540887967</c:v>
                </c:pt>
                <c:pt idx="5">
                  <c:v>-8.6824088833465165</c:v>
                </c:pt>
                <c:pt idx="6">
                  <c:v>-6.9586550480032718</c:v>
                </c:pt>
                <c:pt idx="7">
                  <c:v>-5.2264231633826732</c:v>
                </c:pt>
                <c:pt idx="8">
                  <c:v>-3.4878236872062649</c:v>
                </c:pt>
                <c:pt idx="9">
                  <c:v>-1.7449748351250485</c:v>
                </c:pt>
                <c:pt idx="10">
                  <c:v>0</c:v>
                </c:pt>
                <c:pt idx="11">
                  <c:v>1.7449748351250485</c:v>
                </c:pt>
                <c:pt idx="12">
                  <c:v>3.4878236872062649</c:v>
                </c:pt>
                <c:pt idx="13">
                  <c:v>5.2264231633826705</c:v>
                </c:pt>
                <c:pt idx="14">
                  <c:v>6.958655048003294</c:v>
                </c:pt>
                <c:pt idx="15">
                  <c:v>8.6824088833465201</c:v>
                </c:pt>
                <c:pt idx="16">
                  <c:v>10.395584540887993</c:v>
                </c:pt>
                <c:pt idx="17">
                  <c:v>12.096094779983394</c:v>
                </c:pt>
                <c:pt idx="18">
                  <c:v>13.781867790849947</c:v>
                </c:pt>
                <c:pt idx="19">
                  <c:v>15.450849718747381</c:v>
                </c:pt>
                <c:pt idx="20">
                  <c:v>17.101007166283431</c:v>
                </c:pt>
              </c:numCache>
            </c:numRef>
          </c:xVal>
          <c:yVal>
            <c:numRef>
              <c:f>'Arc 50'!$C$2:$C$22</c:f>
              <c:numCache>
                <c:formatCode>General</c:formatCode>
                <c:ptCount val="21"/>
                <c:pt idx="0">
                  <c:v>9.2500300090978961E-6</c:v>
                </c:pt>
                <c:pt idx="1">
                  <c:v>7.4866972733639227E-5</c:v>
                </c:pt>
                <c:pt idx="2">
                  <c:v>4.5964187608456351E-4</c:v>
                </c:pt>
                <c:pt idx="3">
                  <c:v>2.184538392881108E-3</c:v>
                </c:pt>
                <c:pt idx="4">
                  <c:v>8.1748005325420828E-3</c:v>
                </c:pt>
                <c:pt idx="5">
                  <c:v>2.442600572290517E-2</c:v>
                </c:pt>
                <c:pt idx="6">
                  <c:v>5.8941363962834101E-2</c:v>
                </c:pt>
                <c:pt idx="7">
                  <c:v>0.11589906466693189</c:v>
                </c:pt>
                <c:pt idx="8">
                  <c:v>0.18697419613274904</c:v>
                </c:pt>
                <c:pt idx="9">
                  <c:v>0.24865039384548865</c:v>
                </c:pt>
                <c:pt idx="10">
                  <c:v>0.27335282007571465</c:v>
                </c:pt>
                <c:pt idx="11">
                  <c:v>0.24865039384548865</c:v>
                </c:pt>
                <c:pt idx="12">
                  <c:v>0.18697419613274904</c:v>
                </c:pt>
                <c:pt idx="13">
                  <c:v>0.11589906466693199</c:v>
                </c:pt>
                <c:pt idx="14">
                  <c:v>5.8941363962833525E-2</c:v>
                </c:pt>
                <c:pt idx="15">
                  <c:v>2.4426005722905104E-2</c:v>
                </c:pt>
                <c:pt idx="16">
                  <c:v>8.1748005325419319E-3</c:v>
                </c:pt>
                <c:pt idx="17">
                  <c:v>2.1845383928810959E-3</c:v>
                </c:pt>
                <c:pt idx="18">
                  <c:v>4.5964187608456747E-4</c:v>
                </c:pt>
                <c:pt idx="19">
                  <c:v>7.486697273363817E-5</c:v>
                </c:pt>
                <c:pt idx="20">
                  <c:v>9.2500300090979283E-6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24-4B16-A04C-BAF884DB1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95344"/>
        <c:axId val="1282091984"/>
      </c:scatterChart>
      <c:valAx>
        <c:axId val="12820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Crosswind</a:t>
                </a:r>
                <a:r>
                  <a:rPr lang="en-US" baseline="0"/>
                  <a:t> distance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91984"/>
        <c:crosses val="autoZero"/>
        <c:crossBetween val="midCat"/>
      </c:valAx>
      <c:valAx>
        <c:axId val="12820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9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of the Model and the Measured Concentration at 100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'Arc 100'!$A$2:$A$17</c:f>
              <c:numCache>
                <c:formatCode>General</c:formatCode>
                <c:ptCount val="16"/>
                <c:pt idx="0">
                  <c:v>-27.563735581699916</c:v>
                </c:pt>
                <c:pt idx="1">
                  <c:v>-24.192189559966774</c:v>
                </c:pt>
                <c:pt idx="2">
                  <c:v>-20.791169081775934</c:v>
                </c:pt>
                <c:pt idx="3">
                  <c:v>-17.364817766693033</c:v>
                </c:pt>
                <c:pt idx="4">
                  <c:v>-13.917310096006544</c:v>
                </c:pt>
                <c:pt idx="5">
                  <c:v>-10.452846326765346</c:v>
                </c:pt>
                <c:pt idx="6">
                  <c:v>-6.9756473744125298</c:v>
                </c:pt>
                <c:pt idx="7">
                  <c:v>-3.4899496702500969</c:v>
                </c:pt>
                <c:pt idx="8">
                  <c:v>0</c:v>
                </c:pt>
                <c:pt idx="9">
                  <c:v>3.4899496702500969</c:v>
                </c:pt>
                <c:pt idx="10">
                  <c:v>6.9756473744125298</c:v>
                </c:pt>
                <c:pt idx="11">
                  <c:v>10.452846326765341</c:v>
                </c:pt>
                <c:pt idx="12">
                  <c:v>13.917310096006588</c:v>
                </c:pt>
                <c:pt idx="13">
                  <c:v>17.36481776669304</c:v>
                </c:pt>
                <c:pt idx="14">
                  <c:v>20.791169081775987</c:v>
                </c:pt>
                <c:pt idx="15">
                  <c:v>24.192189559966788</c:v>
                </c:pt>
              </c:numCache>
            </c:numRef>
          </c:xVal>
          <c:yVal>
            <c:numRef>
              <c:f>'Arc 100'!$B$2:$B$17</c:f>
              <c:numCache>
                <c:formatCode>General</c:formatCode>
                <c:ptCount val="16"/>
                <c:pt idx="0">
                  <c:v>2.5000000000000001E-5</c:v>
                </c:pt>
                <c:pt idx="1">
                  <c:v>3.8000000000000002E-4</c:v>
                </c:pt>
                <c:pt idx="2">
                  <c:v>2.3900000000000002E-3</c:v>
                </c:pt>
                <c:pt idx="3">
                  <c:v>8.6999999999999994E-3</c:v>
                </c:pt>
                <c:pt idx="4">
                  <c:v>2.2499999999999999E-2</c:v>
                </c:pt>
                <c:pt idx="5">
                  <c:v>4.1000000000000002E-2</c:v>
                </c:pt>
                <c:pt idx="6">
                  <c:v>6.59E-2</c:v>
                </c:pt>
                <c:pt idx="7">
                  <c:v>9.1700000000000004E-2</c:v>
                </c:pt>
                <c:pt idx="8">
                  <c:v>9.6599999999999991E-2</c:v>
                </c:pt>
                <c:pt idx="9">
                  <c:v>9.1499999999999998E-2</c:v>
                </c:pt>
                <c:pt idx="10">
                  <c:v>6.6299999999999998E-2</c:v>
                </c:pt>
                <c:pt idx="11">
                  <c:v>3.4700000000000002E-2</c:v>
                </c:pt>
                <c:pt idx="12">
                  <c:v>1.2E-2</c:v>
                </c:pt>
                <c:pt idx="13">
                  <c:v>1.83E-3</c:v>
                </c:pt>
                <c:pt idx="14">
                  <c:v>4.15E-4</c:v>
                </c:pt>
                <c:pt idx="15">
                  <c:v>8.5000000000000006E-5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1-49D8-8CC3-AA392FEA00DC}"/>
            </c:ext>
          </c:extLst>
        </c:ser>
        <c:ser>
          <c:idx val="1"/>
          <c:order val="1"/>
          <c:tx>
            <c:v>Simulated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'Arc 100'!$A$2:$A$17</c:f>
              <c:numCache>
                <c:formatCode>General</c:formatCode>
                <c:ptCount val="16"/>
                <c:pt idx="0">
                  <c:v>-27.563735581699916</c:v>
                </c:pt>
                <c:pt idx="1">
                  <c:v>-24.192189559966774</c:v>
                </c:pt>
                <c:pt idx="2">
                  <c:v>-20.791169081775934</c:v>
                </c:pt>
                <c:pt idx="3">
                  <c:v>-17.364817766693033</c:v>
                </c:pt>
                <c:pt idx="4">
                  <c:v>-13.917310096006544</c:v>
                </c:pt>
                <c:pt idx="5">
                  <c:v>-10.452846326765346</c:v>
                </c:pt>
                <c:pt idx="6">
                  <c:v>-6.9756473744125298</c:v>
                </c:pt>
                <c:pt idx="7">
                  <c:v>-3.4899496702500969</c:v>
                </c:pt>
                <c:pt idx="8">
                  <c:v>0</c:v>
                </c:pt>
                <c:pt idx="9">
                  <c:v>3.4899496702500969</c:v>
                </c:pt>
                <c:pt idx="10">
                  <c:v>6.9756473744125298</c:v>
                </c:pt>
                <c:pt idx="11">
                  <c:v>10.452846326765341</c:v>
                </c:pt>
                <c:pt idx="12">
                  <c:v>13.917310096006588</c:v>
                </c:pt>
                <c:pt idx="13">
                  <c:v>17.36481776669304</c:v>
                </c:pt>
                <c:pt idx="14">
                  <c:v>20.791169081775987</c:v>
                </c:pt>
                <c:pt idx="15">
                  <c:v>24.192189559966788</c:v>
                </c:pt>
              </c:numCache>
            </c:numRef>
          </c:xVal>
          <c:yVal>
            <c:numRef>
              <c:f>'Arc 100'!$C$2:$C$17</c:f>
              <c:numCache>
                <c:formatCode>General</c:formatCode>
                <c:ptCount val="16"/>
                <c:pt idx="0">
                  <c:v>1.2913672173083402E-4</c:v>
                </c:pt>
                <c:pt idx="1">
                  <c:v>6.1721529581145471E-4</c:v>
                </c:pt>
                <c:pt idx="2">
                  <c:v>2.3209953630672631E-3</c:v>
                </c:pt>
                <c:pt idx="3">
                  <c:v>6.9637497569520288E-3</c:v>
                </c:pt>
                <c:pt idx="4">
                  <c:v>1.6860798336058535E-2</c:v>
                </c:pt>
                <c:pt idx="5">
                  <c:v>3.3241371409562695E-2</c:v>
                </c:pt>
                <c:pt idx="6">
                  <c:v>5.3727376420339285E-2</c:v>
                </c:pt>
                <c:pt idx="7">
                  <c:v>7.1530630683017252E-2</c:v>
                </c:pt>
                <c:pt idx="8">
                  <c:v>7.8666429242501432E-2</c:v>
                </c:pt>
                <c:pt idx="9">
                  <c:v>7.1530630683017252E-2</c:v>
                </c:pt>
                <c:pt idx="10">
                  <c:v>5.3727376420339285E-2</c:v>
                </c:pt>
                <c:pt idx="11">
                  <c:v>3.3241371409562723E-2</c:v>
                </c:pt>
                <c:pt idx="12">
                  <c:v>1.6860798336058368E-2</c:v>
                </c:pt>
                <c:pt idx="13">
                  <c:v>6.9637497569520132E-3</c:v>
                </c:pt>
                <c:pt idx="14">
                  <c:v>2.3209953630672184E-3</c:v>
                </c:pt>
                <c:pt idx="15">
                  <c:v>6.1721529581145135E-4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1-49D8-8CC3-AA392FEA0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779168"/>
        <c:axId val="1515785408"/>
      </c:scatterChart>
      <c:valAx>
        <c:axId val="15157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Crosswind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85408"/>
        <c:crosses val="autoZero"/>
        <c:crossBetween val="midCat"/>
      </c:valAx>
      <c:valAx>
        <c:axId val="15157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7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of the Model and the Measured Concentration at 200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'Arc 200'!$A$2:$A$13</c:f>
              <c:numCache>
                <c:formatCode>General</c:formatCode>
                <c:ptCount val="12"/>
                <c:pt idx="0">
                  <c:v>-41.582338163551867</c:v>
                </c:pt>
                <c:pt idx="1">
                  <c:v>-34.729635533386066</c:v>
                </c:pt>
                <c:pt idx="2">
                  <c:v>-27.834620192013087</c:v>
                </c:pt>
                <c:pt idx="3">
                  <c:v>-20.905692653530693</c:v>
                </c:pt>
                <c:pt idx="4">
                  <c:v>-13.95129474882506</c:v>
                </c:pt>
                <c:pt idx="5">
                  <c:v>-6.9798993405001939</c:v>
                </c:pt>
                <c:pt idx="6">
                  <c:v>0</c:v>
                </c:pt>
                <c:pt idx="7">
                  <c:v>6.9798993405001939</c:v>
                </c:pt>
                <c:pt idx="8">
                  <c:v>13.95129474882506</c:v>
                </c:pt>
                <c:pt idx="9">
                  <c:v>20.905692653530682</c:v>
                </c:pt>
                <c:pt idx="10">
                  <c:v>27.834620192013176</c:v>
                </c:pt>
                <c:pt idx="11">
                  <c:v>34.72963553338608</c:v>
                </c:pt>
              </c:numCache>
            </c:numRef>
          </c:xVal>
          <c:yVal>
            <c:numRef>
              <c:f>'Arc 200'!$B$2:$B$13</c:f>
              <c:numCache>
                <c:formatCode>General</c:formatCode>
                <c:ptCount val="12"/>
                <c:pt idx="0">
                  <c:v>4.0000000000000003E-5</c:v>
                </c:pt>
                <c:pt idx="1">
                  <c:v>9.7499999999999996E-4</c:v>
                </c:pt>
                <c:pt idx="2">
                  <c:v>5.2900000000000004E-3</c:v>
                </c:pt>
                <c:pt idx="3">
                  <c:v>1.1599999999999999E-2</c:v>
                </c:pt>
                <c:pt idx="4">
                  <c:v>1.9100000000000002E-2</c:v>
                </c:pt>
                <c:pt idx="5">
                  <c:v>2.7100000000000003E-2</c:v>
                </c:pt>
                <c:pt idx="6">
                  <c:v>2.9600000000000001E-2</c:v>
                </c:pt>
                <c:pt idx="7">
                  <c:v>2.7600000000000003E-2</c:v>
                </c:pt>
                <c:pt idx="8">
                  <c:v>1.7100000000000001E-2</c:v>
                </c:pt>
                <c:pt idx="9">
                  <c:v>4.9800000000000001E-3</c:v>
                </c:pt>
                <c:pt idx="10">
                  <c:v>1.5100000000000001E-3</c:v>
                </c:pt>
                <c:pt idx="11">
                  <c:v>1.4000000000000001E-4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D-4ABC-AFDD-A842FEA5ED4A}"/>
            </c:ext>
          </c:extLst>
        </c:ser>
        <c:ser>
          <c:idx val="1"/>
          <c:order val="1"/>
          <c:tx>
            <c:v>Simulated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'Arc 200'!$A$2:$A$13</c:f>
              <c:numCache>
                <c:formatCode>General</c:formatCode>
                <c:ptCount val="12"/>
                <c:pt idx="0">
                  <c:v>-41.582338163551867</c:v>
                </c:pt>
                <c:pt idx="1">
                  <c:v>-34.729635533386066</c:v>
                </c:pt>
                <c:pt idx="2">
                  <c:v>-27.834620192013087</c:v>
                </c:pt>
                <c:pt idx="3">
                  <c:v>-20.905692653530693</c:v>
                </c:pt>
                <c:pt idx="4">
                  <c:v>-13.95129474882506</c:v>
                </c:pt>
                <c:pt idx="5">
                  <c:v>-6.9798993405001939</c:v>
                </c:pt>
                <c:pt idx="6">
                  <c:v>0</c:v>
                </c:pt>
                <c:pt idx="7">
                  <c:v>6.9798993405001939</c:v>
                </c:pt>
                <c:pt idx="8">
                  <c:v>13.95129474882506</c:v>
                </c:pt>
                <c:pt idx="9">
                  <c:v>20.905692653530682</c:v>
                </c:pt>
                <c:pt idx="10">
                  <c:v>27.834620192013176</c:v>
                </c:pt>
                <c:pt idx="11">
                  <c:v>34.72963553338608</c:v>
                </c:pt>
              </c:numCache>
            </c:numRef>
          </c:xVal>
          <c:yVal>
            <c:numRef>
              <c:f>'Arc 200'!$C$2:$C$13</c:f>
              <c:numCache>
                <c:formatCode>General</c:formatCode>
                <c:ptCount val="12"/>
                <c:pt idx="0">
                  <c:v>6.1592834612018066E-4</c:v>
                </c:pt>
                <c:pt idx="1">
                  <c:v>1.8676817205738848E-3</c:v>
                </c:pt>
                <c:pt idx="2">
                  <c:v>4.5613229536261351E-3</c:v>
                </c:pt>
                <c:pt idx="3">
                  <c:v>9.0532013976692503E-3</c:v>
                </c:pt>
                <c:pt idx="4">
                  <c:v>1.4702574947673101E-2</c:v>
                </c:pt>
                <c:pt idx="5">
                  <c:v>1.9630563625326357E-2</c:v>
                </c:pt>
                <c:pt idx="6">
                  <c:v>2.1609472992055411E-2</c:v>
                </c:pt>
                <c:pt idx="7">
                  <c:v>1.9630563625326357E-2</c:v>
                </c:pt>
                <c:pt idx="8">
                  <c:v>1.4702574947673101E-2</c:v>
                </c:pt>
                <c:pt idx="9">
                  <c:v>9.0532013976692589E-3</c:v>
                </c:pt>
                <c:pt idx="10">
                  <c:v>4.5613229536260892E-3</c:v>
                </c:pt>
                <c:pt idx="11">
                  <c:v>1.8676817205738794E-3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D-4ABC-AFDD-A842FEA5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68736"/>
        <c:axId val="1462071616"/>
      </c:scatterChart>
      <c:valAx>
        <c:axId val="14620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Crosswind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71616"/>
        <c:crosses val="autoZero"/>
        <c:crossBetween val="midCat"/>
      </c:valAx>
      <c:valAx>
        <c:axId val="14620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6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of the Model and the Measured Concentration at 400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'Arc 400'!$A$2:$A$11</c:f>
              <c:numCache>
                <c:formatCode>General</c:formatCode>
                <c:ptCount val="10"/>
                <c:pt idx="0">
                  <c:v>-69.459271066772132</c:v>
                </c:pt>
                <c:pt idx="1">
                  <c:v>-55.669240384026175</c:v>
                </c:pt>
                <c:pt idx="2">
                  <c:v>-41.811385307061386</c:v>
                </c:pt>
                <c:pt idx="3">
                  <c:v>-27.902589497650119</c:v>
                </c:pt>
                <c:pt idx="4">
                  <c:v>-13.959798681000388</c:v>
                </c:pt>
                <c:pt idx="5">
                  <c:v>0</c:v>
                </c:pt>
                <c:pt idx="6">
                  <c:v>13.959798681000388</c:v>
                </c:pt>
                <c:pt idx="7">
                  <c:v>27.902589497650119</c:v>
                </c:pt>
                <c:pt idx="8">
                  <c:v>41.811385307061364</c:v>
                </c:pt>
                <c:pt idx="9">
                  <c:v>55.669240384026352</c:v>
                </c:pt>
              </c:numCache>
            </c:numRef>
          </c:xVal>
          <c:yVal>
            <c:numRef>
              <c:f>'Arc 400'!$B$2:$B$11</c:f>
              <c:numCache>
                <c:formatCode>General</c:formatCode>
                <c:ptCount val="10"/>
                <c:pt idx="0">
                  <c:v>9.5000000000000005E-5</c:v>
                </c:pt>
                <c:pt idx="1">
                  <c:v>1.1100000000000001E-3</c:v>
                </c:pt>
                <c:pt idx="2">
                  <c:v>3.2200000000000002E-3</c:v>
                </c:pt>
                <c:pt idx="3">
                  <c:v>4.7199999999999994E-3</c:v>
                </c:pt>
                <c:pt idx="4">
                  <c:v>8.369999999999999E-3</c:v>
                </c:pt>
                <c:pt idx="5">
                  <c:v>9.0299999999999998E-3</c:v>
                </c:pt>
                <c:pt idx="6">
                  <c:v>8.43E-3</c:v>
                </c:pt>
                <c:pt idx="7">
                  <c:v>2.1800000000000001E-3</c:v>
                </c:pt>
                <c:pt idx="8">
                  <c:v>4.8499999999999997E-4</c:v>
                </c:pt>
                <c:pt idx="9">
                  <c:v>3.5000000000000004E-5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B-4798-B0B9-56126DEF2453}"/>
            </c:ext>
          </c:extLst>
        </c:ser>
        <c:ser>
          <c:idx val="1"/>
          <c:order val="1"/>
          <c:tx>
            <c:v>Simulated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'Arc 400'!$A$2:$A$11</c:f>
              <c:numCache>
                <c:formatCode>General</c:formatCode>
                <c:ptCount val="10"/>
                <c:pt idx="0">
                  <c:v>-69.459271066772132</c:v>
                </c:pt>
                <c:pt idx="1">
                  <c:v>-55.669240384026175</c:v>
                </c:pt>
                <c:pt idx="2">
                  <c:v>-41.811385307061386</c:v>
                </c:pt>
                <c:pt idx="3">
                  <c:v>-27.902589497650119</c:v>
                </c:pt>
                <c:pt idx="4">
                  <c:v>-13.959798681000388</c:v>
                </c:pt>
                <c:pt idx="5">
                  <c:v>0</c:v>
                </c:pt>
                <c:pt idx="6">
                  <c:v>13.959798681000388</c:v>
                </c:pt>
                <c:pt idx="7">
                  <c:v>27.902589497650119</c:v>
                </c:pt>
                <c:pt idx="8">
                  <c:v>41.811385307061364</c:v>
                </c:pt>
                <c:pt idx="9">
                  <c:v>55.669240384026352</c:v>
                </c:pt>
              </c:numCache>
            </c:numRef>
          </c:xVal>
          <c:yVal>
            <c:numRef>
              <c:f>'Arc 400'!$C$2:$C$11</c:f>
              <c:numCache>
                <c:formatCode>General</c:formatCode>
                <c:ptCount val="10"/>
                <c:pt idx="0">
                  <c:v>5.019470885073271E-4</c:v>
                </c:pt>
                <c:pt idx="1">
                  <c:v>1.2477016841670899E-3</c:v>
                </c:pt>
                <c:pt idx="2">
                  <c:v>2.5105244690628884E-3</c:v>
                </c:pt>
                <c:pt idx="3">
                  <c:v>4.1170869653564283E-3</c:v>
                </c:pt>
                <c:pt idx="4">
                  <c:v>5.5292470746900095E-3</c:v>
                </c:pt>
                <c:pt idx="5">
                  <c:v>6.0984892883826037E-3</c:v>
                </c:pt>
                <c:pt idx="6">
                  <c:v>5.5292470746900095E-3</c:v>
                </c:pt>
                <c:pt idx="7">
                  <c:v>4.1170869653564283E-3</c:v>
                </c:pt>
                <c:pt idx="8">
                  <c:v>2.5105244690628906E-3</c:v>
                </c:pt>
                <c:pt idx="9">
                  <c:v>1.2477016841670775E-3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B-4798-B0B9-56126DEF2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90816"/>
        <c:axId val="1462081216"/>
      </c:scatterChart>
      <c:valAx>
        <c:axId val="14620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Crosswind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81216"/>
        <c:crosses val="autoZero"/>
        <c:crossBetween val="midCat"/>
      </c:valAx>
      <c:valAx>
        <c:axId val="14620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9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of the Model and the Measured Concentration at 800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'Arc 800'!$A$2:$A$16</c:f>
              <c:numCache>
                <c:formatCode>General</c:formatCode>
                <c:ptCount val="15"/>
                <c:pt idx="0">
                  <c:v>-125.1475720321847</c:v>
                </c:pt>
                <c:pt idx="1">
                  <c:v>-111.33848076805235</c:v>
                </c:pt>
                <c:pt idx="2">
                  <c:v>-97.495474724117983</c:v>
                </c:pt>
                <c:pt idx="3">
                  <c:v>-83.622770614122771</c:v>
                </c:pt>
                <c:pt idx="4">
                  <c:v>-69.724594198126539</c:v>
                </c:pt>
                <c:pt idx="5">
                  <c:v>-55.805178995300238</c:v>
                </c:pt>
                <c:pt idx="6">
                  <c:v>-41.868764994355068</c:v>
                </c:pt>
                <c:pt idx="7">
                  <c:v>-27.919597362000776</c:v>
                </c:pt>
                <c:pt idx="8">
                  <c:v>-13.96192514982681</c:v>
                </c:pt>
                <c:pt idx="9">
                  <c:v>0</c:v>
                </c:pt>
                <c:pt idx="10">
                  <c:v>13.96192514982681</c:v>
                </c:pt>
                <c:pt idx="11">
                  <c:v>27.919597362000776</c:v>
                </c:pt>
                <c:pt idx="12">
                  <c:v>41.868764994355068</c:v>
                </c:pt>
                <c:pt idx="13">
                  <c:v>55.805178995300238</c:v>
                </c:pt>
                <c:pt idx="14">
                  <c:v>69.724594198126653</c:v>
                </c:pt>
              </c:numCache>
            </c:numRef>
          </c:xVal>
          <c:yVal>
            <c:numRef>
              <c:f>'Arc 800'!$B$2:$B$16</c:f>
              <c:numCache>
                <c:formatCode>General</c:formatCode>
                <c:ptCount val="15"/>
                <c:pt idx="0">
                  <c:v>2.0000000000000002E-5</c:v>
                </c:pt>
                <c:pt idx="1">
                  <c:v>2.1499999999999999E-4</c:v>
                </c:pt>
                <c:pt idx="2">
                  <c:v>5.9499999999999993E-4</c:v>
                </c:pt>
                <c:pt idx="3">
                  <c:v>9.1500000000000001E-4</c:v>
                </c:pt>
                <c:pt idx="4">
                  <c:v>1.2600000000000001E-3</c:v>
                </c:pt>
                <c:pt idx="5">
                  <c:v>1.1100000000000001E-3</c:v>
                </c:pt>
                <c:pt idx="6">
                  <c:v>1.4599999999999999E-3</c:v>
                </c:pt>
                <c:pt idx="7">
                  <c:v>2.31E-3</c:v>
                </c:pt>
                <c:pt idx="8">
                  <c:v>3.0299999999999997E-3</c:v>
                </c:pt>
                <c:pt idx="9">
                  <c:v>3.2599999999999999E-3</c:v>
                </c:pt>
                <c:pt idx="10">
                  <c:v>2.9500000000000004E-3</c:v>
                </c:pt>
                <c:pt idx="11">
                  <c:v>1.99E-3</c:v>
                </c:pt>
                <c:pt idx="12">
                  <c:v>9.5500000000000001E-4</c:v>
                </c:pt>
                <c:pt idx="13">
                  <c:v>2.8000000000000003E-4</c:v>
                </c:pt>
                <c:pt idx="14">
                  <c:v>7.4999999999999993E-5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3-4042-9B83-415A554185A1}"/>
            </c:ext>
          </c:extLst>
        </c:ser>
        <c:ser>
          <c:idx val="1"/>
          <c:order val="1"/>
          <c:tx>
            <c:v>Simulated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'Arc 800'!$A$2:$A$16</c:f>
              <c:numCache>
                <c:formatCode>General</c:formatCode>
                <c:ptCount val="15"/>
                <c:pt idx="0">
                  <c:v>-125.1475720321847</c:v>
                </c:pt>
                <c:pt idx="1">
                  <c:v>-111.33848076805235</c:v>
                </c:pt>
                <c:pt idx="2">
                  <c:v>-97.495474724117983</c:v>
                </c:pt>
                <c:pt idx="3">
                  <c:v>-83.622770614122771</c:v>
                </c:pt>
                <c:pt idx="4">
                  <c:v>-69.724594198126539</c:v>
                </c:pt>
                <c:pt idx="5">
                  <c:v>-55.805178995300238</c:v>
                </c:pt>
                <c:pt idx="6">
                  <c:v>-41.868764994355068</c:v>
                </c:pt>
                <c:pt idx="7">
                  <c:v>-27.919597362000776</c:v>
                </c:pt>
                <c:pt idx="8">
                  <c:v>-13.96192514982681</c:v>
                </c:pt>
                <c:pt idx="9">
                  <c:v>0</c:v>
                </c:pt>
                <c:pt idx="10">
                  <c:v>13.96192514982681</c:v>
                </c:pt>
                <c:pt idx="11">
                  <c:v>27.919597362000776</c:v>
                </c:pt>
                <c:pt idx="12">
                  <c:v>41.868764994355068</c:v>
                </c:pt>
                <c:pt idx="13">
                  <c:v>55.805178995300238</c:v>
                </c:pt>
                <c:pt idx="14">
                  <c:v>69.724594198126653</c:v>
                </c:pt>
              </c:numCache>
            </c:numRef>
          </c:xVal>
          <c:yVal>
            <c:numRef>
              <c:f>'Arc 800'!$C$2:$C$16</c:f>
              <c:numCache>
                <c:formatCode>General</c:formatCode>
                <c:ptCount val="15"/>
                <c:pt idx="0">
                  <c:v>2.2500007919418923E-4</c:v>
                </c:pt>
                <c:pt idx="1">
                  <c:v>3.5107893679042524E-4</c:v>
                </c:pt>
                <c:pt idx="2">
                  <c:v>5.1860334806998285E-4</c:v>
                </c:pt>
                <c:pt idx="3">
                  <c:v>7.2590182075242017E-4</c:v>
                </c:pt>
                <c:pt idx="4">
                  <c:v>9.63558425683265E-4</c:v>
                </c:pt>
                <c:pt idx="5">
                  <c:v>1.2137387250771971E-3</c:v>
                </c:pt>
                <c:pt idx="6">
                  <c:v>1.4516238265597536E-3</c:v>
                </c:pt>
                <c:pt idx="7">
                  <c:v>1.649096262279984E-3</c:v>
                </c:pt>
                <c:pt idx="8">
                  <c:v>1.7800401929778645E-3</c:v>
                </c:pt>
                <c:pt idx="9">
                  <c:v>1.8259233008390812E-3</c:v>
                </c:pt>
                <c:pt idx="10">
                  <c:v>1.7800401929778645E-3</c:v>
                </c:pt>
                <c:pt idx="11">
                  <c:v>1.649096262279984E-3</c:v>
                </c:pt>
                <c:pt idx="12">
                  <c:v>1.4516238265597536E-3</c:v>
                </c:pt>
                <c:pt idx="13">
                  <c:v>1.2137387250771971E-3</c:v>
                </c:pt>
                <c:pt idx="14">
                  <c:v>9.6355842568326294E-4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F3-4042-9B83-415A55418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357728"/>
        <c:axId val="1801361088"/>
      </c:scatterChart>
      <c:valAx>
        <c:axId val="180135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Crosswind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361088"/>
        <c:crosses val="autoZero"/>
        <c:crossBetween val="midCat"/>
      </c:valAx>
      <c:valAx>
        <c:axId val="18013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35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701040</xdr:colOff>
      <xdr:row>1</xdr:row>
      <xdr:rowOff>114300</xdr:rowOff>
    </xdr:from>
    <xdr:to>
      <xdr:col>8</xdr:col>
      <xdr:colOff>640080</xdr:colOff>
      <xdr:row>9</xdr:row>
      <xdr:rowOff>45720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8603D8F-BD7A-0D21-AC46-9C8E4E096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8420" y="281940"/>
          <a:ext cx="146304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5</xdr:row>
      <xdr:rowOff>129540</xdr:rowOff>
    </xdr:from>
    <xdr:to>
      <xdr:col>15</xdr:col>
      <xdr:colOff>426720</xdr:colOff>
      <xdr:row>22</xdr:row>
      <xdr:rowOff>22860</xdr:rowOff>
    </xdr:to>
    <xdr:graphicFrame macro="">
      <xdr:nvGraphicFramePr>
        <xdr:cNvPr id="2057" name="Chart 3">
          <a:extLst>
            <a:ext uri="{FF2B5EF4-FFF2-40B4-BE49-F238E27FC236}">
              <a16:creationId xmlns:a16="http://schemas.microsoft.com/office/drawing/2014/main" id="{05191CE9-C941-487B-F0C3-0B51E3195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350520</xdr:colOff>
      <xdr:row>0</xdr:row>
      <xdr:rowOff>0</xdr:rowOff>
    </xdr:from>
    <xdr:to>
      <xdr:col>13</xdr:col>
      <xdr:colOff>441960</xdr:colOff>
      <xdr:row>4</xdr:row>
      <xdr:rowOff>91440</xdr:rowOff>
    </xdr:to>
    <xdr:pic>
      <xdr:nvPicPr>
        <xdr:cNvPr id="2058" name="Picture 5">
          <a:extLst>
            <a:ext uri="{FF2B5EF4-FFF2-40B4-BE49-F238E27FC236}">
              <a16:creationId xmlns:a16="http://schemas.microsoft.com/office/drawing/2014/main" id="{DEFD1A97-0B42-F4D6-66CC-87BD931DB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0" y="0"/>
          <a:ext cx="192024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1424940</xdr:colOff>
      <xdr:row>0</xdr:row>
      <xdr:rowOff>137824</xdr:rowOff>
    </xdr:from>
    <xdr:to>
      <xdr:col>12</xdr:col>
      <xdr:colOff>450549</xdr:colOff>
      <xdr:row>5</xdr:row>
      <xdr:rowOff>91589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837F8B-9E02-C87E-AB42-10DB1F39C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8160" y="137824"/>
          <a:ext cx="5121609" cy="7919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</xdr:row>
      <xdr:rowOff>160020</xdr:rowOff>
    </xdr:from>
    <xdr:to>
      <xdr:col>13</xdr:col>
      <xdr:colOff>426720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3F60E-B04F-42E1-4F1C-DF059ACC4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4</xdr:row>
      <xdr:rowOff>60960</xdr:rowOff>
    </xdr:from>
    <xdr:to>
      <xdr:col>12</xdr:col>
      <xdr:colOff>571500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840D4-B7CB-19F1-34A3-0F3BA0F12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140970</xdr:rowOff>
    </xdr:from>
    <xdr:to>
      <xdr:col>15</xdr:col>
      <xdr:colOff>243840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8BFFD-210F-E077-E3DE-D49AB618E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6</xdr:row>
      <xdr:rowOff>140970</xdr:rowOff>
    </xdr:from>
    <xdr:to>
      <xdr:col>16</xdr:col>
      <xdr:colOff>518160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88BDA-1052-8983-C210-7A90F5BC5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13</xdr:col>
      <xdr:colOff>396240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C9CD5-0763-EBC6-B93B-A01DFA29C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167640</xdr:colOff>
      <xdr:row>0</xdr:row>
      <xdr:rowOff>95775</xdr:rowOff>
    </xdr:from>
    <xdr:to>
      <xdr:col>19</xdr:col>
      <xdr:colOff>69150</xdr:colOff>
      <xdr:row>11</xdr:row>
      <xdr:rowOff>39213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4E157-3E4E-469B-BB35-E7B68582B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02140" y="95775"/>
          <a:ext cx="2949510" cy="1787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140" workbookViewId="0">
      <selection activeCell="K19" sqref="K19"/>
    </sheetView>
  </sheetViews>
  <sheetFormatPr defaultColWidth="11.109375" defaultRowHeight="13.2" x14ac:dyDescent="0.25"/>
  <cols>
    <col min="1" max="1" width="12.77734375" customWidth="1"/>
    <col min="2" max="2" width="14.6640625" customWidth="1"/>
    <col min="3" max="4" width="16.77734375" customWidth="1"/>
    <col min="9" max="9" width="12.88671875" bestFit="1" customWidth="1"/>
  </cols>
  <sheetData>
    <row r="1" spans="1:10" x14ac:dyDescent="0.25">
      <c r="A1" s="8" t="s">
        <v>0</v>
      </c>
    </row>
    <row r="2" spans="1:10" x14ac:dyDescent="0.25">
      <c r="A2" s="9" t="s">
        <v>1</v>
      </c>
      <c r="B2" s="9" t="s">
        <v>2</v>
      </c>
      <c r="C2" s="9" t="s">
        <v>3</v>
      </c>
      <c r="D2" s="9" t="s">
        <v>4</v>
      </c>
    </row>
    <row r="3" spans="1:10" x14ac:dyDescent="0.25">
      <c r="A3" s="10" t="s">
        <v>5</v>
      </c>
      <c r="B3" s="10" t="s">
        <v>6</v>
      </c>
      <c r="C3" s="10">
        <f>B3+273.15</f>
        <v>301.46999999999997</v>
      </c>
      <c r="D3" s="10" t="s">
        <v>7</v>
      </c>
    </row>
    <row r="4" spans="1:10" x14ac:dyDescent="0.25">
      <c r="A4" s="10" t="s">
        <v>8</v>
      </c>
      <c r="B4" s="10" t="s">
        <v>9</v>
      </c>
      <c r="C4" s="10">
        <f t="shared" ref="C4:C9" si="0">B4+273.15</f>
        <v>301.57</v>
      </c>
      <c r="D4" s="10" t="s">
        <v>10</v>
      </c>
    </row>
    <row r="5" spans="1:10" x14ac:dyDescent="0.25">
      <c r="A5" s="10">
        <v>1</v>
      </c>
      <c r="B5" s="10" t="s">
        <v>11</v>
      </c>
      <c r="C5" s="10">
        <f t="shared" si="0"/>
        <v>301.64999999999998</v>
      </c>
      <c r="D5" s="10" t="s">
        <v>12</v>
      </c>
    </row>
    <row r="6" spans="1:10" x14ac:dyDescent="0.25">
      <c r="A6" s="10">
        <v>2</v>
      </c>
      <c r="B6" s="10">
        <v>28.6</v>
      </c>
      <c r="C6" s="10">
        <f t="shared" si="0"/>
        <v>301.75</v>
      </c>
      <c r="D6" s="10" t="s">
        <v>13</v>
      </c>
    </row>
    <row r="7" spans="1:10" x14ac:dyDescent="0.25">
      <c r="A7" s="10">
        <v>4</v>
      </c>
      <c r="B7" s="10" t="s">
        <v>14</v>
      </c>
      <c r="C7" s="10">
        <f t="shared" si="0"/>
        <v>301.89</v>
      </c>
      <c r="D7" s="10" t="s">
        <v>15</v>
      </c>
    </row>
    <row r="8" spans="1:10" x14ac:dyDescent="0.25">
      <c r="A8" s="10">
        <v>8</v>
      </c>
      <c r="B8" s="10" t="s">
        <v>16</v>
      </c>
      <c r="C8" s="10">
        <f t="shared" si="0"/>
        <v>301.98999999999995</v>
      </c>
      <c r="D8" s="10" t="s">
        <v>17</v>
      </c>
    </row>
    <row r="9" spans="1:10" x14ac:dyDescent="0.25">
      <c r="A9" s="10">
        <v>16</v>
      </c>
      <c r="B9" s="10" t="s">
        <v>18</v>
      </c>
      <c r="C9" s="10">
        <f t="shared" si="0"/>
        <v>302.06</v>
      </c>
      <c r="D9" s="10" t="s">
        <v>19</v>
      </c>
    </row>
    <row r="11" spans="1:10" x14ac:dyDescent="0.25">
      <c r="A11" t="s">
        <v>20</v>
      </c>
      <c r="D11" t="s">
        <v>21</v>
      </c>
      <c r="E11">
        <v>9.81</v>
      </c>
    </row>
    <row r="12" spans="1:10" x14ac:dyDescent="0.25">
      <c r="A12" t="s">
        <v>22</v>
      </c>
      <c r="B12" t="s">
        <v>23</v>
      </c>
      <c r="C12" t="s">
        <v>24</v>
      </c>
      <c r="D12" t="s">
        <v>25</v>
      </c>
      <c r="E12" t="s">
        <v>26</v>
      </c>
      <c r="F12" t="s">
        <v>27</v>
      </c>
      <c r="G12" t="s">
        <v>28</v>
      </c>
      <c r="H12" t="s">
        <v>29</v>
      </c>
      <c r="I12" t="s">
        <v>30</v>
      </c>
      <c r="J12" t="s">
        <v>31</v>
      </c>
    </row>
    <row r="13" spans="1:10" x14ac:dyDescent="0.25">
      <c r="A13" t="s">
        <v>32</v>
      </c>
      <c r="B13">
        <f>A9-A3</f>
        <v>15.75</v>
      </c>
      <c r="C13">
        <f>B9-B3</f>
        <v>0.58999999999999986</v>
      </c>
      <c r="D13">
        <f>AVERAGE(C9,C3)</f>
        <v>301.76499999999999</v>
      </c>
      <c r="E13">
        <f>D9-D3</f>
        <v>4.83</v>
      </c>
      <c r="F13">
        <f t="shared" ref="F13:F18" si="1">C13/B13</f>
        <v>3.7460317460317451E-2</v>
      </c>
      <c r="G13">
        <f t="shared" ref="G13:G18" si="2">E13/B13</f>
        <v>0.3066666666666667</v>
      </c>
      <c r="H13">
        <f t="shared" ref="H13:H18" si="3">$E$11/D13</f>
        <v>3.2508740244892552E-2</v>
      </c>
      <c r="I13" s="11">
        <f t="shared" ref="I13:I18" si="4">H13*(F13/(G13^2))</f>
        <v>1.2949066125092222E-2</v>
      </c>
      <c r="J13" t="str">
        <f>IF(I13&gt;0,"Weakly Stable","Unstable")</f>
        <v>Weakly Stable</v>
      </c>
    </row>
    <row r="14" spans="1:10" x14ac:dyDescent="0.25">
      <c r="A14" t="s">
        <v>33</v>
      </c>
      <c r="B14">
        <f>A9-A4</f>
        <v>15.5</v>
      </c>
      <c r="C14">
        <f>B9-B4</f>
        <v>0.48999999999999844</v>
      </c>
      <c r="D14">
        <f>AVERAGE(C9,C4)</f>
        <v>301.815</v>
      </c>
      <c r="E14">
        <f>D9-D4</f>
        <v>3.9699999999999998</v>
      </c>
      <c r="F14">
        <f t="shared" si="1"/>
        <v>3.1612903225806351E-2</v>
      </c>
      <c r="G14">
        <f t="shared" si="2"/>
        <v>0.25612903225806449</v>
      </c>
      <c r="H14">
        <f t="shared" si="3"/>
        <v>3.2503354704040553E-2</v>
      </c>
      <c r="I14" s="11">
        <f t="shared" si="4"/>
        <v>1.5663000144483324E-2</v>
      </c>
      <c r="J14" t="str">
        <f t="shared" ref="J14:J18" si="5">IF(I14&gt;0,"Weakly Stable","Unstable")</f>
        <v>Weakly Stable</v>
      </c>
    </row>
    <row r="15" spans="1:10" x14ac:dyDescent="0.25">
      <c r="A15" t="s">
        <v>34</v>
      </c>
      <c r="B15">
        <f>A8-A5</f>
        <v>7</v>
      </c>
      <c r="C15">
        <f>B8-B5</f>
        <v>0.33999999999999986</v>
      </c>
      <c r="D15">
        <f>AVERAGE(C8,C5)</f>
        <v>301.81999999999994</v>
      </c>
      <c r="E15">
        <f>D8-D5</f>
        <v>2.41</v>
      </c>
      <c r="F15">
        <f t="shared" si="1"/>
        <v>4.857142857142855E-2</v>
      </c>
      <c r="G15">
        <f t="shared" si="2"/>
        <v>0.34428571428571431</v>
      </c>
      <c r="H15">
        <f t="shared" si="3"/>
        <v>3.2502816248094903E-2</v>
      </c>
      <c r="I15" s="11">
        <f t="shared" si="4"/>
        <v>1.3318762189092101E-2</v>
      </c>
      <c r="J15" t="str">
        <f t="shared" si="5"/>
        <v>Weakly Stable</v>
      </c>
    </row>
    <row r="16" spans="1:10" x14ac:dyDescent="0.25">
      <c r="A16" t="s">
        <v>35</v>
      </c>
      <c r="B16">
        <f>A4-A3</f>
        <v>0.25</v>
      </c>
      <c r="C16">
        <f>B4-B3</f>
        <v>0.10000000000000142</v>
      </c>
      <c r="D16">
        <f>AVERAGE(C4,C3)</f>
        <v>301.52</v>
      </c>
      <c r="E16">
        <f>D4-D3</f>
        <v>0.86000000000000032</v>
      </c>
      <c r="F16">
        <f t="shared" si="1"/>
        <v>0.40000000000000568</v>
      </c>
      <c r="G16">
        <f t="shared" si="2"/>
        <v>3.4400000000000013</v>
      </c>
      <c r="H16">
        <f t="shared" si="3"/>
        <v>3.2535155213584507E-2</v>
      </c>
      <c r="I16" s="11">
        <f t="shared" si="4"/>
        <v>1.0997551113299401E-3</v>
      </c>
      <c r="J16" t="str">
        <f t="shared" si="5"/>
        <v>Weakly Stable</v>
      </c>
    </row>
    <row r="17" spans="1:11" x14ac:dyDescent="0.25">
      <c r="A17" t="s">
        <v>36</v>
      </c>
      <c r="B17">
        <f>A6-A5</f>
        <v>1</v>
      </c>
      <c r="C17">
        <f>B6-B5</f>
        <v>0.10000000000000142</v>
      </c>
      <c r="D17">
        <f>AVERAGE(C6,C5)</f>
        <v>301.7</v>
      </c>
      <c r="E17">
        <f>D6-D5</f>
        <v>0.80000000000000071</v>
      </c>
      <c r="F17">
        <f t="shared" si="1"/>
        <v>0.10000000000000142</v>
      </c>
      <c r="G17">
        <f t="shared" si="2"/>
        <v>0.80000000000000071</v>
      </c>
      <c r="H17">
        <f t="shared" si="3"/>
        <v>3.2515744116672192E-2</v>
      </c>
      <c r="I17" s="11">
        <f t="shared" si="4"/>
        <v>5.0805850182300931E-3</v>
      </c>
      <c r="J17" t="str">
        <f t="shared" si="5"/>
        <v>Weakly Stable</v>
      </c>
    </row>
    <row r="18" spans="1:11" x14ac:dyDescent="0.25">
      <c r="A18" t="s">
        <v>37</v>
      </c>
      <c r="B18">
        <f>A8-A7</f>
        <v>4</v>
      </c>
      <c r="C18">
        <f>B8-B7</f>
        <v>0.10000000000000142</v>
      </c>
      <c r="D18">
        <f>AVERAGE(C8,C7)</f>
        <v>301.93999999999994</v>
      </c>
      <c r="E18">
        <f>D8-D7</f>
        <v>0.96999999999999975</v>
      </c>
      <c r="F18">
        <f t="shared" si="1"/>
        <v>2.5000000000000355E-2</v>
      </c>
      <c r="G18">
        <f t="shared" si="2"/>
        <v>0.24249999999999994</v>
      </c>
      <c r="H18">
        <f t="shared" si="3"/>
        <v>3.2489898655361997E-2</v>
      </c>
      <c r="I18" s="11">
        <f t="shared" si="4"/>
        <v>1.3812264281161642E-2</v>
      </c>
      <c r="J18" t="str">
        <f t="shared" si="5"/>
        <v>Weakly Stable</v>
      </c>
    </row>
    <row r="19" spans="1:11" x14ac:dyDescent="0.25">
      <c r="J19" t="s">
        <v>49</v>
      </c>
      <c r="K19" t="s">
        <v>50</v>
      </c>
    </row>
  </sheetData>
  <pageMargins left="0.75" right="0.75" top="1" bottom="1" header="0.4921259845" footer="0.4921259845"/>
  <pageSetup paperSize="9" orientation="portrait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zoomScaleSheetLayoutView="100" workbookViewId="0">
      <selection activeCell="B22" sqref="B22"/>
    </sheetView>
  </sheetViews>
  <sheetFormatPr defaultColWidth="8.88671875" defaultRowHeight="13.2" x14ac:dyDescent="0.25"/>
  <cols>
    <col min="5" max="5" width="12.21875" bestFit="1" customWidth="1"/>
    <col min="6" max="7" width="23" bestFit="1" customWidth="1"/>
  </cols>
  <sheetData>
    <row r="1" spans="1:9" x14ac:dyDescent="0.25">
      <c r="A1" s="1" t="s">
        <v>0</v>
      </c>
      <c r="B1" s="2"/>
      <c r="C1" s="2"/>
      <c r="D1" s="2"/>
    </row>
    <row r="2" spans="1:9" x14ac:dyDescent="0.25">
      <c r="A2" s="3" t="s">
        <v>1</v>
      </c>
      <c r="B2" s="3" t="s">
        <v>2</v>
      </c>
      <c r="C2" s="3" t="s">
        <v>3</v>
      </c>
      <c r="D2" s="3" t="s">
        <v>4</v>
      </c>
      <c r="E2" s="2" t="s">
        <v>38</v>
      </c>
      <c r="F2" s="15" t="s">
        <v>38</v>
      </c>
      <c r="G2" s="15" t="s">
        <v>4</v>
      </c>
      <c r="H2" s="2"/>
      <c r="I2" s="2"/>
    </row>
    <row r="3" spans="1:9" x14ac:dyDescent="0.25">
      <c r="A3" s="4" t="s">
        <v>5</v>
      </c>
      <c r="B3" s="4" t="s">
        <v>6</v>
      </c>
      <c r="C3" s="4">
        <f t="shared" ref="C3:C9" si="0">B3+273.15</f>
        <v>301.46999999999997</v>
      </c>
      <c r="D3" s="14">
        <v>3.76</v>
      </c>
      <c r="E3" s="12">
        <f>LN(A3)</f>
        <v>-1.3862943611198906</v>
      </c>
      <c r="F3" s="13">
        <v>-1.3862943611198906</v>
      </c>
      <c r="G3" s="14">
        <v>3.76</v>
      </c>
      <c r="H3" s="5"/>
      <c r="I3" s="2"/>
    </row>
    <row r="4" spans="1:9" x14ac:dyDescent="0.25">
      <c r="A4" s="4" t="s">
        <v>8</v>
      </c>
      <c r="B4" s="4" t="s">
        <v>9</v>
      </c>
      <c r="C4" s="4">
        <f t="shared" si="0"/>
        <v>301.57</v>
      </c>
      <c r="D4" s="14">
        <v>4.62</v>
      </c>
      <c r="E4" s="12">
        <f t="shared" ref="E4:E9" si="1">LN(A4)</f>
        <v>-0.69314718055994529</v>
      </c>
      <c r="F4" s="13">
        <v>-0.69314718055994529</v>
      </c>
      <c r="G4" s="14">
        <v>4.62</v>
      </c>
      <c r="H4" s="5"/>
      <c r="I4" s="2"/>
    </row>
    <row r="5" spans="1:9" x14ac:dyDescent="0.25">
      <c r="A5" s="4">
        <v>1</v>
      </c>
      <c r="B5" s="4" t="s">
        <v>11</v>
      </c>
      <c r="C5" s="4">
        <f t="shared" si="0"/>
        <v>301.64999999999998</v>
      </c>
      <c r="D5" s="14">
        <v>5.31</v>
      </c>
      <c r="E5" s="12">
        <f t="shared" si="1"/>
        <v>0</v>
      </c>
      <c r="F5" s="13">
        <v>0</v>
      </c>
      <c r="G5" s="14">
        <v>5.31</v>
      </c>
      <c r="H5" s="5"/>
      <c r="I5" s="2"/>
    </row>
    <row r="6" spans="1:9" x14ac:dyDescent="0.25">
      <c r="A6" s="4">
        <v>2</v>
      </c>
      <c r="B6" s="4">
        <v>28.6</v>
      </c>
      <c r="C6" s="4">
        <f t="shared" si="0"/>
        <v>301.75</v>
      </c>
      <c r="D6" s="14">
        <v>6.11</v>
      </c>
      <c r="E6" s="12">
        <f>LN(A6)</f>
        <v>0.69314718055994529</v>
      </c>
      <c r="F6" s="11">
        <v>0.69314718055994529</v>
      </c>
      <c r="G6" s="14">
        <v>6.11</v>
      </c>
      <c r="H6" s="5"/>
      <c r="I6" s="2"/>
    </row>
    <row r="7" spans="1:9" x14ac:dyDescent="0.25">
      <c r="A7" s="4">
        <v>4</v>
      </c>
      <c r="B7" s="4" t="s">
        <v>14</v>
      </c>
      <c r="C7" s="4">
        <f t="shared" si="0"/>
        <v>301.89</v>
      </c>
      <c r="D7" s="14">
        <v>6.75</v>
      </c>
      <c r="E7" s="12">
        <f t="shared" si="1"/>
        <v>1.3862943611198906</v>
      </c>
      <c r="F7" s="11">
        <v>1.3862943611198906</v>
      </c>
      <c r="G7" s="14">
        <v>6.75</v>
      </c>
      <c r="H7" s="5"/>
      <c r="I7" s="2"/>
    </row>
    <row r="8" spans="1:9" x14ac:dyDescent="0.25">
      <c r="A8" s="4">
        <v>8</v>
      </c>
      <c r="B8" s="4" t="s">
        <v>16</v>
      </c>
      <c r="C8" s="4">
        <f t="shared" si="0"/>
        <v>301.98999999999995</v>
      </c>
      <c r="D8" s="14">
        <v>7.72</v>
      </c>
      <c r="E8" s="12">
        <f t="shared" si="1"/>
        <v>2.0794415416798357</v>
      </c>
      <c r="F8" s="11">
        <v>2.0794415416798357</v>
      </c>
      <c r="G8" s="14">
        <v>7.72</v>
      </c>
      <c r="H8" s="5"/>
      <c r="I8" s="2"/>
    </row>
    <row r="9" spans="1:9" x14ac:dyDescent="0.25">
      <c r="A9" s="4">
        <v>16</v>
      </c>
      <c r="B9" s="4" t="s">
        <v>18</v>
      </c>
      <c r="C9" s="4">
        <f t="shared" si="0"/>
        <v>302.06</v>
      </c>
      <c r="D9" s="14">
        <v>8.59</v>
      </c>
      <c r="E9" s="12">
        <f t="shared" si="1"/>
        <v>2.7725887222397811</v>
      </c>
      <c r="F9" s="11">
        <v>2.7725887222397811</v>
      </c>
      <c r="G9" s="14">
        <v>8.59</v>
      </c>
      <c r="H9" s="5"/>
      <c r="I9" s="2"/>
    </row>
    <row r="10" spans="1:9" x14ac:dyDescent="0.25">
      <c r="A10" s="2"/>
      <c r="B10" s="2"/>
      <c r="C10" s="2"/>
      <c r="D10" s="2"/>
      <c r="E10" s="2"/>
      <c r="F10" s="6"/>
      <c r="G10" s="6"/>
      <c r="H10" s="7"/>
      <c r="I10" s="2"/>
    </row>
    <row r="15" spans="1:9" x14ac:dyDescent="0.25">
      <c r="B15" t="s">
        <v>39</v>
      </c>
    </row>
    <row r="16" spans="1:9" x14ac:dyDescent="0.25">
      <c r="B16" t="s">
        <v>40</v>
      </c>
      <c r="C16" s="11">
        <f>1.1402*0.4</f>
        <v>0.45608000000000004</v>
      </c>
    </row>
    <row r="17" spans="1:3" x14ac:dyDescent="0.25">
      <c r="B17" t="s">
        <v>41</v>
      </c>
      <c r="C17" s="11">
        <f>EXP((-5.3325*0.4)/C16)</f>
        <v>9.3086510965925563E-3</v>
      </c>
    </row>
    <row r="20" spans="1:3" x14ac:dyDescent="0.25">
      <c r="A20" t="s">
        <v>42</v>
      </c>
    </row>
    <row r="21" spans="1:3" x14ac:dyDescent="0.25">
      <c r="A21" t="s">
        <v>43</v>
      </c>
      <c r="B21">
        <v>0.46</v>
      </c>
    </row>
    <row r="22" spans="1:3" x14ac:dyDescent="0.25">
      <c r="A22" t="s">
        <v>44</v>
      </c>
      <c r="B22" s="11">
        <f>(C16/0.4)*LN(B21/C17)</f>
        <v>4.447101874213244</v>
      </c>
    </row>
  </sheetData>
  <phoneticPr fontId="3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02"/>
  <sheetViews>
    <sheetView zoomScale="90" zoomScaleNormal="90" workbookViewId="0">
      <selection activeCell="O52" sqref="O52"/>
    </sheetView>
  </sheetViews>
  <sheetFormatPr defaultRowHeight="13.2" x14ac:dyDescent="0.25"/>
  <cols>
    <col min="1" max="1" width="31.88671875" customWidth="1"/>
    <col min="2" max="2" width="21.109375" customWidth="1"/>
    <col min="3" max="3" width="23.77734375" customWidth="1"/>
    <col min="4" max="4" width="21.109375" customWidth="1"/>
    <col min="5" max="5" width="22.5546875" bestFit="1" customWidth="1"/>
    <col min="7" max="7" width="9.5546875" bestFit="1" customWidth="1"/>
    <col min="11" max="11" width="12.33203125" bestFit="1" customWidth="1"/>
  </cols>
  <sheetData>
    <row r="1" spans="1:39" x14ac:dyDescent="0.25">
      <c r="A1" s="11" t="s">
        <v>45</v>
      </c>
      <c r="B1" s="11" t="s">
        <v>46</v>
      </c>
      <c r="C1" s="11">
        <v>50.9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pans="1:39" x14ac:dyDescent="0.25">
      <c r="A2" s="11" t="s">
        <v>42</v>
      </c>
      <c r="B2" s="11" t="s">
        <v>44</v>
      </c>
      <c r="C2" s="11">
        <v>4.447101874213244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39" x14ac:dyDescent="0.25">
      <c r="A3" s="11" t="s">
        <v>47</v>
      </c>
      <c r="B3" s="11" t="s">
        <v>43</v>
      </c>
      <c r="C3" s="11">
        <v>0.46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39" x14ac:dyDescent="0.25">
      <c r="A4" s="11" t="s">
        <v>31</v>
      </c>
      <c r="B4" s="11" t="s">
        <v>48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39" x14ac:dyDescent="0.25">
      <c r="A5" s="11" t="s">
        <v>61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spans="1:39" x14ac:dyDescent="0.25">
      <c r="A6" s="11" t="s">
        <v>62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spans="1:39" x14ac:dyDescent="0.25">
      <c r="A7" s="11" t="s">
        <v>67</v>
      </c>
      <c r="B7" s="11">
        <v>1.5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spans="1:39" x14ac:dyDescent="0.25">
      <c r="A8" s="11" t="s">
        <v>68</v>
      </c>
      <c r="B8" s="11">
        <f>C1/(2*PI()*C2)</f>
        <v>1.8216327919878501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spans="1:39" x14ac:dyDescent="0.25">
      <c r="A9" s="11" t="s">
        <v>69</v>
      </c>
      <c r="B9" s="11">
        <f>(B7-C3)^2</f>
        <v>1.0816000000000001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spans="1:39" x14ac:dyDescent="0.25">
      <c r="A10" s="11" t="s">
        <v>70</v>
      </c>
      <c r="B10" s="11">
        <f>(B7+C3)^2</f>
        <v>3.8415999999999997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spans="1:39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spans="1:39" x14ac:dyDescent="0.25">
      <c r="A12" s="16" t="s">
        <v>58</v>
      </c>
      <c r="B12">
        <v>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 spans="1:39" x14ac:dyDescent="0.25">
      <c r="A13" s="16" t="s">
        <v>60</v>
      </c>
      <c r="B13" s="11" t="s">
        <v>59</v>
      </c>
      <c r="C13" s="16" t="s">
        <v>55</v>
      </c>
      <c r="D13" t="s">
        <v>54</v>
      </c>
      <c r="E13" s="11" t="s">
        <v>63</v>
      </c>
      <c r="F13" s="11" t="s">
        <v>57</v>
      </c>
      <c r="G13" s="11" t="s">
        <v>56</v>
      </c>
      <c r="H13" s="11" t="s">
        <v>65</v>
      </c>
      <c r="I13" s="11" t="s">
        <v>66</v>
      </c>
      <c r="J13" s="11" t="s">
        <v>71</v>
      </c>
      <c r="K13" s="11" t="s">
        <v>72</v>
      </c>
      <c r="L13" s="11" t="s">
        <v>73</v>
      </c>
      <c r="M13" s="11" t="s">
        <v>74</v>
      </c>
      <c r="N13" s="11" t="s">
        <v>75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spans="1:39" x14ac:dyDescent="0.25">
      <c r="A14">
        <v>1</v>
      </c>
      <c r="B14" s="11">
        <v>336</v>
      </c>
      <c r="C14" s="11">
        <v>0.23</v>
      </c>
      <c r="D14">
        <f>C14/1000</f>
        <v>2.3000000000000001E-4</v>
      </c>
      <c r="E14" s="11">
        <f t="shared" ref="E14:E34" si="0">B14-356</f>
        <v>-20</v>
      </c>
      <c r="F14">
        <f>$B$12*COS(RADIANS(E14))</f>
        <v>46.984631039295422</v>
      </c>
      <c r="G14">
        <f>$B$12*SIN(RADIANS(E14))</f>
        <v>-17.101007166283434</v>
      </c>
      <c r="H14" s="11">
        <f>0.08*F14*((1+0.0001*F14)^(-1/2))</f>
        <v>3.7499712559492235</v>
      </c>
      <c r="I14">
        <f>0.06*F14*((1+0.0015*F14)^(-1/2))</f>
        <v>2.7246982431009896</v>
      </c>
      <c r="J14">
        <f>$B$8*(1/(H14*I14))</f>
        <v>0.17828486851526118</v>
      </c>
      <c r="K14">
        <f>EXP(-(G14^2)/(2*(H14^2)))</f>
        <v>3.0487793868428993E-5</v>
      </c>
      <c r="L14" s="11">
        <f>EXP(-$B$9/(2*(I14^2)))</f>
        <v>0.92974491187468011</v>
      </c>
      <c r="M14" s="11">
        <f>EXP(-$B$10/(2*(I14^2)))</f>
        <v>0.772032117146077</v>
      </c>
      <c r="N14">
        <f>J14*K14*(L14+M14)</f>
        <v>9.2500300090978961E-6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</row>
    <row r="15" spans="1:39" x14ac:dyDescent="0.25">
      <c r="A15">
        <v>2</v>
      </c>
      <c r="B15" s="11">
        <v>338</v>
      </c>
      <c r="C15" s="11">
        <v>0.92500000000000004</v>
      </c>
      <c r="D15">
        <f t="shared" ref="D15:D34" si="1">C15/1000</f>
        <v>9.2500000000000004E-4</v>
      </c>
      <c r="E15" s="11">
        <f t="shared" si="0"/>
        <v>-18</v>
      </c>
      <c r="F15">
        <f t="shared" ref="F15:F34" si="2">$B$12*COS(RADIANS(E15))</f>
        <v>47.552825814757675</v>
      </c>
      <c r="G15">
        <f t="shared" ref="G15:G34" si="3">$B$12*SIN(RADIANS(E15))</f>
        <v>-15.450849718747369</v>
      </c>
      <c r="H15" s="11">
        <f t="shared" ref="H15:H78" si="4">0.08*F15*((1+0.0001*F15)^(-1/2))</f>
        <v>3.7952131118559427</v>
      </c>
      <c r="I15">
        <f t="shared" ref="I15:I78" si="5">0.06*F15*((1+0.0015*F15)^(-1/2))</f>
        <v>2.7565514405391025</v>
      </c>
      <c r="J15">
        <f t="shared" ref="J15:J78" si="6">$B$8*(1/(H15*I15))</f>
        <v>0.17412397242087249</v>
      </c>
      <c r="K15">
        <f t="shared" ref="K15:K78" si="7">EXP(-(G15^2)/(2*(H15^2)))</f>
        <v>2.5174429630804671E-4</v>
      </c>
      <c r="L15" s="11">
        <f t="shared" ref="L15:L78" si="8">EXP(-$B$9/(2*(I15^2)))</f>
        <v>0.93130241022494187</v>
      </c>
      <c r="M15" s="11">
        <f t="shared" ref="M15:M78" si="9">EXP(-$B$10/(2*(I15^2)))</f>
        <v>0.77663545308330251</v>
      </c>
      <c r="N15">
        <f t="shared" ref="N15:N78" si="10">J15*K15*(L15+M15)</f>
        <v>7.4866972733639227E-5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  <row r="16" spans="1:39" x14ac:dyDescent="0.25">
      <c r="A16">
        <v>3</v>
      </c>
      <c r="B16" s="11">
        <v>340</v>
      </c>
      <c r="C16" s="11">
        <v>2.5499999999999998</v>
      </c>
      <c r="D16">
        <f t="shared" si="1"/>
        <v>2.5499999999999997E-3</v>
      </c>
      <c r="E16" s="11">
        <f t="shared" si="0"/>
        <v>-16</v>
      </c>
      <c r="F16">
        <f t="shared" si="2"/>
        <v>48.063084796915945</v>
      </c>
      <c r="G16">
        <f t="shared" si="3"/>
        <v>-13.781867790849958</v>
      </c>
      <c r="H16" s="11">
        <f t="shared" si="4"/>
        <v>3.835839719006322</v>
      </c>
      <c r="I16">
        <f t="shared" si="5"/>
        <v>2.7851355194015168</v>
      </c>
      <c r="J16">
        <f t="shared" si="6"/>
        <v>0.17051164796374907</v>
      </c>
      <c r="K16">
        <f t="shared" si="7"/>
        <v>1.5733637281519404E-3</v>
      </c>
      <c r="L16" s="11">
        <f t="shared" si="8"/>
        <v>0.93265692694114988</v>
      </c>
      <c r="M16" s="11">
        <f t="shared" si="9"/>
        <v>0.78065486109498283</v>
      </c>
      <c r="N16">
        <f t="shared" si="10"/>
        <v>4.5964187608456351E-4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</row>
    <row r="17" spans="1:39" x14ac:dyDescent="0.25">
      <c r="A17">
        <v>4</v>
      </c>
      <c r="B17" s="11">
        <v>342</v>
      </c>
      <c r="C17" s="11">
        <v>6.63</v>
      </c>
      <c r="D17">
        <f t="shared" si="1"/>
        <v>6.6299999999999996E-3</v>
      </c>
      <c r="E17" s="11">
        <f t="shared" si="0"/>
        <v>-14</v>
      </c>
      <c r="F17">
        <f t="shared" si="2"/>
        <v>48.514786313799824</v>
      </c>
      <c r="G17">
        <f t="shared" si="3"/>
        <v>-12.096094779983387</v>
      </c>
      <c r="H17" s="11">
        <f t="shared" si="4"/>
        <v>3.8718022857793293</v>
      </c>
      <c r="I17">
        <f t="shared" si="5"/>
        <v>2.8104225540886651</v>
      </c>
      <c r="J17">
        <f t="shared" si="6"/>
        <v>0.1674079358801138</v>
      </c>
      <c r="K17">
        <f t="shared" si="7"/>
        <v>7.5958018562197107E-3</v>
      </c>
      <c r="L17" s="11">
        <f t="shared" si="8"/>
        <v>0.93382248856302652</v>
      </c>
      <c r="M17" s="11">
        <f t="shared" si="9"/>
        <v>0.78412550639829282</v>
      </c>
      <c r="N17">
        <f t="shared" si="10"/>
        <v>2.184538392881108E-3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</row>
    <row r="18" spans="1:39" x14ac:dyDescent="0.25">
      <c r="A18">
        <v>5</v>
      </c>
      <c r="B18" s="11">
        <v>344</v>
      </c>
      <c r="C18" s="11">
        <v>15.6</v>
      </c>
      <c r="D18">
        <f t="shared" si="1"/>
        <v>1.5599999999999999E-2</v>
      </c>
      <c r="E18" s="11">
        <f t="shared" si="0"/>
        <v>-12</v>
      </c>
      <c r="F18">
        <f t="shared" si="2"/>
        <v>48.907380036690284</v>
      </c>
      <c r="G18">
        <f t="shared" si="3"/>
        <v>-10.395584540887967</v>
      </c>
      <c r="H18" s="11">
        <f t="shared" si="4"/>
        <v>3.9030576281585714</v>
      </c>
      <c r="I18">
        <f t="shared" si="5"/>
        <v>2.8323878898825634</v>
      </c>
      <c r="J18">
        <f t="shared" si="6"/>
        <v>0.16477948573043624</v>
      </c>
      <c r="K18">
        <f t="shared" si="7"/>
        <v>2.8811715287944562E-2</v>
      </c>
      <c r="L18" s="11">
        <f t="shared" si="8"/>
        <v>0.93481084898456546</v>
      </c>
      <c r="M18" s="11">
        <f t="shared" si="9"/>
        <v>0.78707718087700895</v>
      </c>
      <c r="N18">
        <f t="shared" si="10"/>
        <v>8.1748005325420828E-3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spans="1:39" x14ac:dyDescent="0.25">
      <c r="A19">
        <v>6</v>
      </c>
      <c r="B19" s="11">
        <v>346</v>
      </c>
      <c r="C19" s="11">
        <v>39.299999999999997</v>
      </c>
      <c r="D19">
        <f t="shared" si="1"/>
        <v>3.9299999999999995E-2</v>
      </c>
      <c r="E19" s="11">
        <f t="shared" si="0"/>
        <v>-10</v>
      </c>
      <c r="F19">
        <f t="shared" si="2"/>
        <v>49.240387650610401</v>
      </c>
      <c r="G19">
        <f t="shared" si="3"/>
        <v>-8.6824088833465165</v>
      </c>
      <c r="H19" s="11">
        <f t="shared" si="4"/>
        <v>3.9295682193125021</v>
      </c>
      <c r="I19">
        <f t="shared" si="5"/>
        <v>2.8510101485643924</v>
      </c>
      <c r="J19">
        <f t="shared" si="6"/>
        <v>0.16259876386470118</v>
      </c>
      <c r="K19">
        <f t="shared" si="7"/>
        <v>8.7077146308288986E-2</v>
      </c>
      <c r="L19" s="11">
        <f t="shared" si="8"/>
        <v>0.93563174564197227</v>
      </c>
      <c r="M19" s="11">
        <f t="shared" si="9"/>
        <v>0.78953479710077235</v>
      </c>
      <c r="N19">
        <f t="shared" si="10"/>
        <v>2.442600572290517E-2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</row>
    <row r="20" spans="1:39" x14ac:dyDescent="0.25">
      <c r="A20">
        <v>7</v>
      </c>
      <c r="B20" s="11">
        <v>348</v>
      </c>
      <c r="C20" s="11">
        <v>66.5</v>
      </c>
      <c r="D20">
        <f t="shared" si="1"/>
        <v>6.6500000000000004E-2</v>
      </c>
      <c r="E20" s="11">
        <f t="shared" si="0"/>
        <v>-8</v>
      </c>
      <c r="F20">
        <f t="shared" si="2"/>
        <v>49.513403437078516</v>
      </c>
      <c r="G20">
        <f t="shared" si="3"/>
        <v>-6.9586550480032718</v>
      </c>
      <c r="H20" s="11">
        <f t="shared" si="4"/>
        <v>3.9513022326570129</v>
      </c>
      <c r="I20">
        <f t="shared" si="5"/>
        <v>2.8662712331588023</v>
      </c>
      <c r="J20">
        <f t="shared" si="6"/>
        <v>0.16084342068802046</v>
      </c>
      <c r="K20">
        <f t="shared" si="7"/>
        <v>0.2120901111531561</v>
      </c>
      <c r="L20" s="11">
        <f t="shared" si="8"/>
        <v>0.93629310567969881</v>
      </c>
      <c r="M20" s="11">
        <f t="shared" si="9"/>
        <v>0.79151879580933993</v>
      </c>
      <c r="N20">
        <f t="shared" si="10"/>
        <v>5.8941363962834101E-2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spans="1:39" x14ac:dyDescent="0.25">
      <c r="A21">
        <v>8</v>
      </c>
      <c r="B21" s="11">
        <v>350</v>
      </c>
      <c r="C21" s="11">
        <v>131</v>
      </c>
      <c r="D21">
        <f t="shared" si="1"/>
        <v>0.13100000000000001</v>
      </c>
      <c r="E21" s="11">
        <f t="shared" si="0"/>
        <v>-6</v>
      </c>
      <c r="F21">
        <f t="shared" si="2"/>
        <v>49.726094768413667</v>
      </c>
      <c r="G21">
        <f t="shared" si="3"/>
        <v>-5.2264231633826732</v>
      </c>
      <c r="H21" s="11">
        <f t="shared" si="4"/>
        <v>3.9682335783604668</v>
      </c>
      <c r="I21">
        <f t="shared" si="5"/>
        <v>2.8781563318581602</v>
      </c>
      <c r="J21">
        <f t="shared" si="6"/>
        <v>0.15949579153656457</v>
      </c>
      <c r="K21">
        <f t="shared" si="7"/>
        <v>0.4200713757080794</v>
      </c>
      <c r="L21" s="11">
        <f t="shared" si="8"/>
        <v>0.93680120959716262</v>
      </c>
      <c r="M21" s="11">
        <f t="shared" si="9"/>
        <v>0.79304547609434328</v>
      </c>
      <c r="N21">
        <f t="shared" si="10"/>
        <v>0.11589906466693189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spans="1:39" x14ac:dyDescent="0.25">
      <c r="A22">
        <v>9</v>
      </c>
      <c r="B22" s="11">
        <v>352</v>
      </c>
      <c r="C22" s="11">
        <v>310</v>
      </c>
      <c r="D22">
        <f t="shared" si="1"/>
        <v>0.31</v>
      </c>
      <c r="E22" s="11">
        <f t="shared" si="0"/>
        <v>-4</v>
      </c>
      <c r="F22">
        <f t="shared" si="2"/>
        <v>49.878202512991209</v>
      </c>
      <c r="G22">
        <f t="shared" si="3"/>
        <v>-3.4878236872062649</v>
      </c>
      <c r="H22" s="11">
        <f t="shared" si="4"/>
        <v>3.9803419332574648</v>
      </c>
      <c r="I22">
        <f t="shared" si="5"/>
        <v>2.8866539211718418</v>
      </c>
      <c r="J22">
        <f t="shared" si="6"/>
        <v>0.15854251158610547</v>
      </c>
      <c r="K22">
        <f t="shared" si="7"/>
        <v>0.68118739572337605</v>
      </c>
      <c r="L22" s="11">
        <f t="shared" si="8"/>
        <v>0.93716081816024377</v>
      </c>
      <c r="M22" s="11">
        <f t="shared" si="9"/>
        <v>0.79412725581049803</v>
      </c>
      <c r="N22">
        <f t="shared" si="10"/>
        <v>0.18697419613274904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spans="1:39" x14ac:dyDescent="0.25">
      <c r="A23">
        <v>10</v>
      </c>
      <c r="B23" s="11">
        <v>354</v>
      </c>
      <c r="C23" s="11">
        <v>267</v>
      </c>
      <c r="D23">
        <f t="shared" si="1"/>
        <v>0.26700000000000002</v>
      </c>
      <c r="E23" s="11">
        <f t="shared" si="0"/>
        <v>-2</v>
      </c>
      <c r="F23">
        <f t="shared" si="2"/>
        <v>49.969541350954785</v>
      </c>
      <c r="G23">
        <f t="shared" si="3"/>
        <v>-1.7449748351250485</v>
      </c>
      <c r="H23" s="11">
        <f t="shared" si="4"/>
        <v>3.9876127641437118</v>
      </c>
      <c r="I23">
        <f t="shared" si="5"/>
        <v>2.8917557683374242</v>
      </c>
      <c r="J23">
        <f t="shared" si="6"/>
        <v>0.15797423012806322</v>
      </c>
      <c r="K23">
        <f t="shared" si="7"/>
        <v>0.90869444536817179</v>
      </c>
      <c r="L23" s="11">
        <f t="shared" si="8"/>
        <v>0.93737526695233075</v>
      </c>
      <c r="M23" s="11">
        <f t="shared" si="9"/>
        <v>0.79477286817663217</v>
      </c>
      <c r="N23">
        <f t="shared" si="10"/>
        <v>0.24865039384548865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spans="1:39" x14ac:dyDescent="0.25">
      <c r="A24">
        <v>11</v>
      </c>
      <c r="B24" s="11">
        <v>356</v>
      </c>
      <c r="C24" s="11">
        <v>275</v>
      </c>
      <c r="D24">
        <f t="shared" si="1"/>
        <v>0.27500000000000002</v>
      </c>
      <c r="E24" s="11">
        <f t="shared" si="0"/>
        <v>0</v>
      </c>
      <c r="F24">
        <f t="shared" si="2"/>
        <v>50</v>
      </c>
      <c r="G24">
        <f t="shared" si="3"/>
        <v>0</v>
      </c>
      <c r="H24" s="11">
        <f t="shared" si="4"/>
        <v>3.9900373444305317</v>
      </c>
      <c r="I24">
        <f t="shared" si="5"/>
        <v>2.8934569330224731</v>
      </c>
      <c r="J24">
        <f t="shared" si="6"/>
        <v>0.15778541359218745</v>
      </c>
      <c r="K24">
        <f t="shared" si="7"/>
        <v>1</v>
      </c>
      <c r="L24" s="11">
        <f t="shared" si="8"/>
        <v>0.93744653175791914</v>
      </c>
      <c r="M24" s="11">
        <f t="shared" si="9"/>
        <v>0.79498749907222455</v>
      </c>
      <c r="N24">
        <f t="shared" si="10"/>
        <v>0.27335282007571465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spans="1:39" x14ac:dyDescent="0.25">
      <c r="A25">
        <v>12</v>
      </c>
      <c r="B25" s="11">
        <v>358</v>
      </c>
      <c r="C25" s="11">
        <v>255</v>
      </c>
      <c r="D25">
        <f t="shared" si="1"/>
        <v>0.255</v>
      </c>
      <c r="E25" s="11">
        <f t="shared" si="0"/>
        <v>2</v>
      </c>
      <c r="F25">
        <f t="shared" si="2"/>
        <v>49.969541350954785</v>
      </c>
      <c r="G25">
        <f t="shared" si="3"/>
        <v>1.7449748351250485</v>
      </c>
      <c r="H25" s="11">
        <f t="shared" si="4"/>
        <v>3.9876127641437118</v>
      </c>
      <c r="I25">
        <f t="shared" si="5"/>
        <v>2.8917557683374242</v>
      </c>
      <c r="J25">
        <f t="shared" si="6"/>
        <v>0.15797423012806322</v>
      </c>
      <c r="K25">
        <f t="shared" si="7"/>
        <v>0.90869444536817179</v>
      </c>
      <c r="L25" s="11">
        <f t="shared" si="8"/>
        <v>0.93737526695233075</v>
      </c>
      <c r="M25" s="11">
        <f t="shared" si="9"/>
        <v>0.79477286817663217</v>
      </c>
      <c r="N25">
        <f t="shared" si="10"/>
        <v>0.24865039384548865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spans="1:39" x14ac:dyDescent="0.25">
      <c r="A26">
        <v>13</v>
      </c>
      <c r="B26" s="11">
        <v>360</v>
      </c>
      <c r="C26" s="11">
        <v>201</v>
      </c>
      <c r="D26">
        <f t="shared" si="1"/>
        <v>0.20100000000000001</v>
      </c>
      <c r="E26" s="11">
        <f t="shared" si="0"/>
        <v>4</v>
      </c>
      <c r="F26">
        <f t="shared" si="2"/>
        <v>49.878202512991209</v>
      </c>
      <c r="G26">
        <f t="shared" si="3"/>
        <v>3.4878236872062649</v>
      </c>
      <c r="H26" s="11">
        <f t="shared" si="4"/>
        <v>3.9803419332574648</v>
      </c>
      <c r="I26">
        <f t="shared" si="5"/>
        <v>2.8866539211718418</v>
      </c>
      <c r="J26">
        <f t="shared" si="6"/>
        <v>0.15854251158610547</v>
      </c>
      <c r="K26">
        <f t="shared" si="7"/>
        <v>0.68118739572337605</v>
      </c>
      <c r="L26" s="11">
        <f t="shared" si="8"/>
        <v>0.93716081816024377</v>
      </c>
      <c r="M26" s="11">
        <f t="shared" si="9"/>
        <v>0.79412725581049803</v>
      </c>
      <c r="N26">
        <f t="shared" si="10"/>
        <v>0.18697419613274904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 spans="1:39" x14ac:dyDescent="0.25">
      <c r="A27">
        <v>14</v>
      </c>
      <c r="B27" s="11">
        <v>2</v>
      </c>
      <c r="C27" s="11">
        <v>129</v>
      </c>
      <c r="D27">
        <f t="shared" si="1"/>
        <v>0.129</v>
      </c>
      <c r="E27" s="11">
        <f t="shared" si="0"/>
        <v>-354</v>
      </c>
      <c r="F27">
        <f t="shared" si="2"/>
        <v>49.726094768413667</v>
      </c>
      <c r="G27">
        <f t="shared" si="3"/>
        <v>5.2264231633826705</v>
      </c>
      <c r="H27" s="11">
        <f t="shared" si="4"/>
        <v>3.9682335783604668</v>
      </c>
      <c r="I27">
        <f t="shared" si="5"/>
        <v>2.8781563318581602</v>
      </c>
      <c r="J27">
        <f t="shared" si="6"/>
        <v>0.15949579153656457</v>
      </c>
      <c r="K27">
        <f t="shared" si="7"/>
        <v>0.42007137570807979</v>
      </c>
      <c r="L27" s="11">
        <f t="shared" si="8"/>
        <v>0.93680120959716262</v>
      </c>
      <c r="M27" s="11">
        <f t="shared" si="9"/>
        <v>0.79304547609434328</v>
      </c>
      <c r="N27">
        <f t="shared" si="10"/>
        <v>0.11589906466693199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</row>
    <row r="28" spans="1:39" x14ac:dyDescent="0.25">
      <c r="A28">
        <v>15</v>
      </c>
      <c r="B28" s="11">
        <v>4</v>
      </c>
      <c r="C28" s="11">
        <v>76.2</v>
      </c>
      <c r="D28">
        <f t="shared" si="1"/>
        <v>7.6200000000000004E-2</v>
      </c>
      <c r="E28" s="11">
        <f t="shared" si="0"/>
        <v>-352</v>
      </c>
      <c r="F28">
        <f t="shared" si="2"/>
        <v>49.513403437078516</v>
      </c>
      <c r="G28">
        <f t="shared" si="3"/>
        <v>6.958655048003294</v>
      </c>
      <c r="H28" s="11">
        <f t="shared" si="4"/>
        <v>3.9513022326570129</v>
      </c>
      <c r="I28">
        <f t="shared" si="5"/>
        <v>2.8662712331588023</v>
      </c>
      <c r="J28">
        <f t="shared" si="6"/>
        <v>0.16084342068802046</v>
      </c>
      <c r="K28">
        <f t="shared" si="7"/>
        <v>0.21209011115315402</v>
      </c>
      <c r="L28" s="11">
        <f t="shared" si="8"/>
        <v>0.93629310567969881</v>
      </c>
      <c r="M28" s="11">
        <f t="shared" si="9"/>
        <v>0.79151879580933993</v>
      </c>
      <c r="N28">
        <f t="shared" si="10"/>
        <v>5.8941363962833525E-2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spans="1:39" x14ac:dyDescent="0.25">
      <c r="A29">
        <v>16</v>
      </c>
      <c r="B29" s="11">
        <v>6</v>
      </c>
      <c r="C29" s="11">
        <v>35.6</v>
      </c>
      <c r="D29">
        <f t="shared" si="1"/>
        <v>3.56E-2</v>
      </c>
      <c r="E29" s="11">
        <f t="shared" si="0"/>
        <v>-350</v>
      </c>
      <c r="F29">
        <f t="shared" si="2"/>
        <v>49.240387650610401</v>
      </c>
      <c r="G29">
        <f t="shared" si="3"/>
        <v>8.6824088833465201</v>
      </c>
      <c r="H29" s="11">
        <f t="shared" si="4"/>
        <v>3.9295682193125021</v>
      </c>
      <c r="I29">
        <f t="shared" si="5"/>
        <v>2.8510101485643924</v>
      </c>
      <c r="J29">
        <f t="shared" si="6"/>
        <v>0.16259876386470118</v>
      </c>
      <c r="K29">
        <f t="shared" si="7"/>
        <v>8.707714630828875E-2</v>
      </c>
      <c r="L29" s="11">
        <f t="shared" si="8"/>
        <v>0.93563174564197227</v>
      </c>
      <c r="M29" s="11">
        <f t="shared" si="9"/>
        <v>0.78953479710077235</v>
      </c>
      <c r="N29">
        <f t="shared" si="10"/>
        <v>2.4426005722905104E-2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spans="1:39" x14ac:dyDescent="0.25">
      <c r="A30">
        <v>17</v>
      </c>
      <c r="B30" s="11">
        <v>8</v>
      </c>
      <c r="C30" s="11">
        <v>10.6</v>
      </c>
      <c r="D30">
        <f t="shared" si="1"/>
        <v>1.06E-2</v>
      </c>
      <c r="E30" s="11">
        <f t="shared" si="0"/>
        <v>-348</v>
      </c>
      <c r="F30">
        <f t="shared" si="2"/>
        <v>48.907380036690277</v>
      </c>
      <c r="G30">
        <f t="shared" si="3"/>
        <v>10.395584540887993</v>
      </c>
      <c r="H30" s="11">
        <f t="shared" si="4"/>
        <v>3.9030576281585709</v>
      </c>
      <c r="I30">
        <f t="shared" si="5"/>
        <v>2.832387889882563</v>
      </c>
      <c r="J30">
        <f t="shared" si="6"/>
        <v>0.1647794857304363</v>
      </c>
      <c r="K30">
        <f t="shared" si="7"/>
        <v>2.8811715287944028E-2</v>
      </c>
      <c r="L30" s="11">
        <f t="shared" si="8"/>
        <v>0.93481084898456546</v>
      </c>
      <c r="M30" s="11">
        <f t="shared" si="9"/>
        <v>0.78707718087700895</v>
      </c>
      <c r="N30">
        <f t="shared" si="10"/>
        <v>8.1748005325419319E-3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spans="1:39" x14ac:dyDescent="0.25">
      <c r="A31">
        <v>18</v>
      </c>
      <c r="B31" s="11">
        <v>10</v>
      </c>
      <c r="C31" s="11">
        <v>1.36</v>
      </c>
      <c r="D31">
        <f t="shared" si="1"/>
        <v>1.3600000000000001E-3</v>
      </c>
      <c r="E31" s="11">
        <f t="shared" si="0"/>
        <v>-346</v>
      </c>
      <c r="F31">
        <f t="shared" si="2"/>
        <v>48.514786313799824</v>
      </c>
      <c r="G31">
        <f t="shared" si="3"/>
        <v>12.096094779983394</v>
      </c>
      <c r="H31" s="11">
        <f t="shared" si="4"/>
        <v>3.8718022857793293</v>
      </c>
      <c r="I31">
        <f t="shared" si="5"/>
        <v>2.8104225540886651</v>
      </c>
      <c r="J31">
        <f t="shared" si="6"/>
        <v>0.1674079358801138</v>
      </c>
      <c r="K31">
        <f t="shared" si="7"/>
        <v>7.5958018562196699E-3</v>
      </c>
      <c r="L31" s="11">
        <f t="shared" si="8"/>
        <v>0.93382248856302652</v>
      </c>
      <c r="M31" s="11">
        <f t="shared" si="9"/>
        <v>0.78412550639829282</v>
      </c>
      <c r="N31">
        <f t="shared" si="10"/>
        <v>2.1845383928810959E-3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spans="1:39" x14ac:dyDescent="0.25">
      <c r="A32">
        <v>19</v>
      </c>
      <c r="B32" s="11">
        <v>12</v>
      </c>
      <c r="C32" s="11">
        <v>0.11</v>
      </c>
      <c r="D32">
        <f t="shared" si="1"/>
        <v>1.1E-4</v>
      </c>
      <c r="E32" s="11">
        <f t="shared" si="0"/>
        <v>-344</v>
      </c>
      <c r="F32">
        <f t="shared" si="2"/>
        <v>48.063084796915945</v>
      </c>
      <c r="G32">
        <f t="shared" si="3"/>
        <v>13.781867790849947</v>
      </c>
      <c r="H32" s="11">
        <f t="shared" si="4"/>
        <v>3.835839719006322</v>
      </c>
      <c r="I32">
        <f t="shared" si="5"/>
        <v>2.7851355194015168</v>
      </c>
      <c r="J32">
        <f t="shared" si="6"/>
        <v>0.17051164796374907</v>
      </c>
      <c r="K32">
        <f t="shared" si="7"/>
        <v>1.5733637281519542E-3</v>
      </c>
      <c r="L32" s="11">
        <f t="shared" si="8"/>
        <v>0.93265692694114988</v>
      </c>
      <c r="M32" s="11">
        <f t="shared" si="9"/>
        <v>0.78065486109498283</v>
      </c>
      <c r="N32">
        <f t="shared" si="10"/>
        <v>4.5964187608456747E-4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spans="1:39" x14ac:dyDescent="0.25">
      <c r="A33">
        <v>20</v>
      </c>
      <c r="B33" s="11">
        <v>14</v>
      </c>
      <c r="C33" s="11">
        <v>2.5000000000000001E-2</v>
      </c>
      <c r="D33">
        <f t="shared" si="1"/>
        <v>2.5000000000000001E-5</v>
      </c>
      <c r="E33" s="11">
        <f t="shared" si="0"/>
        <v>-342</v>
      </c>
      <c r="F33">
        <f t="shared" si="2"/>
        <v>47.552825814757675</v>
      </c>
      <c r="G33">
        <f t="shared" si="3"/>
        <v>15.450849718747381</v>
      </c>
      <c r="H33" s="11">
        <f t="shared" si="4"/>
        <v>3.7952131118559427</v>
      </c>
      <c r="I33">
        <f t="shared" si="5"/>
        <v>2.7565514405391025</v>
      </c>
      <c r="J33">
        <f t="shared" si="6"/>
        <v>0.17412397242087249</v>
      </c>
      <c r="K33">
        <f t="shared" si="7"/>
        <v>2.5174429630804313E-4</v>
      </c>
      <c r="L33" s="11">
        <f t="shared" si="8"/>
        <v>0.93130241022494187</v>
      </c>
      <c r="M33" s="11">
        <f t="shared" si="9"/>
        <v>0.77663545308330251</v>
      </c>
      <c r="N33">
        <f t="shared" si="10"/>
        <v>7.486697273363817E-5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spans="1:39" x14ac:dyDescent="0.25">
      <c r="A34">
        <v>21</v>
      </c>
      <c r="B34" s="11">
        <v>16</v>
      </c>
      <c r="C34" s="11">
        <v>4.4999999999999998E-2</v>
      </c>
      <c r="D34">
        <f t="shared" si="1"/>
        <v>4.4999999999999996E-5</v>
      </c>
      <c r="E34" s="11">
        <f t="shared" si="0"/>
        <v>-340</v>
      </c>
      <c r="F34">
        <f t="shared" si="2"/>
        <v>46.984631039295422</v>
      </c>
      <c r="G34">
        <f t="shared" si="3"/>
        <v>17.101007166283431</v>
      </c>
      <c r="H34" s="11">
        <f t="shared" si="4"/>
        <v>3.7499712559492235</v>
      </c>
      <c r="I34">
        <f t="shared" si="5"/>
        <v>2.7246982431009896</v>
      </c>
      <c r="J34">
        <f t="shared" si="6"/>
        <v>0.17828486851526118</v>
      </c>
      <c r="K34">
        <f t="shared" si="7"/>
        <v>3.0487793868429102E-5</v>
      </c>
      <c r="L34" s="11">
        <f t="shared" si="8"/>
        <v>0.92974491187468011</v>
      </c>
      <c r="M34" s="11">
        <f t="shared" si="9"/>
        <v>0.772032117146077</v>
      </c>
      <c r="N34">
        <f t="shared" si="10"/>
        <v>9.2500300090979283E-6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spans="1:39" x14ac:dyDescent="0.25">
      <c r="A35" s="11"/>
      <c r="B35" s="11"/>
      <c r="C35" s="11"/>
      <c r="E35" s="11"/>
      <c r="F35" s="11"/>
      <c r="G35" s="11"/>
      <c r="H35" s="11"/>
      <c r="L35" s="11"/>
      <c r="M35" s="11"/>
    </row>
    <row r="36" spans="1:39" x14ac:dyDescent="0.25">
      <c r="A36" s="11"/>
      <c r="B36" s="11"/>
      <c r="C36" s="11"/>
      <c r="D36" s="11"/>
      <c r="E36" s="11"/>
      <c r="F36" s="11"/>
      <c r="G36" s="11"/>
      <c r="H36" s="11"/>
      <c r="L36" s="11"/>
      <c r="M36" s="11"/>
    </row>
    <row r="37" spans="1:39" x14ac:dyDescent="0.25">
      <c r="A37" s="11" t="s">
        <v>51</v>
      </c>
      <c r="B37" s="11">
        <v>100</v>
      </c>
      <c r="C37" s="11"/>
      <c r="D37" s="11"/>
      <c r="E37" s="11"/>
      <c r="F37" s="11"/>
      <c r="G37" s="11"/>
      <c r="H37" s="11"/>
      <c r="L37" s="11"/>
      <c r="M37" s="11"/>
    </row>
    <row r="38" spans="1:39" x14ac:dyDescent="0.25">
      <c r="A38" s="11" t="s">
        <v>52</v>
      </c>
      <c r="B38" s="11" t="s">
        <v>53</v>
      </c>
      <c r="C38" s="11" t="s">
        <v>55</v>
      </c>
      <c r="D38" s="11" t="s">
        <v>54</v>
      </c>
      <c r="E38" s="11" t="s">
        <v>64</v>
      </c>
      <c r="F38" s="11" t="s">
        <v>57</v>
      </c>
      <c r="G38" s="11" t="s">
        <v>56</v>
      </c>
      <c r="H38" s="11" t="s">
        <v>65</v>
      </c>
      <c r="I38" t="s">
        <v>66</v>
      </c>
      <c r="J38" t="s">
        <v>71</v>
      </c>
      <c r="K38" s="11" t="s">
        <v>72</v>
      </c>
      <c r="L38" s="11" t="s">
        <v>73</v>
      </c>
      <c r="M38" s="11" t="s">
        <v>74</v>
      </c>
      <c r="N38" t="s">
        <v>76</v>
      </c>
    </row>
    <row r="39" spans="1:39" x14ac:dyDescent="0.25">
      <c r="A39" s="11">
        <v>1</v>
      </c>
      <c r="B39" s="11">
        <v>340</v>
      </c>
      <c r="C39" s="11">
        <v>2.5000000000000001E-2</v>
      </c>
      <c r="D39" s="11">
        <f t="shared" ref="D39:D54" si="11">C39/1000</f>
        <v>2.5000000000000001E-5</v>
      </c>
      <c r="E39" s="11">
        <f t="shared" ref="E39:E54" si="12">B39-356</f>
        <v>-16</v>
      </c>
      <c r="F39" s="11">
        <f>$B$37*COS(RADIANS(E39))</f>
        <v>96.126169593831889</v>
      </c>
      <c r="G39" s="11">
        <f>$B$37*SIN(RADIANS(E39))</f>
        <v>-27.563735581699916</v>
      </c>
      <c r="H39" s="11">
        <f t="shared" si="4"/>
        <v>7.6533969575092096</v>
      </c>
      <c r="I39">
        <f t="shared" si="5"/>
        <v>5.391926394797518</v>
      </c>
      <c r="J39">
        <f t="shared" si="6"/>
        <v>4.4143080938115593E-2</v>
      </c>
      <c r="K39">
        <f>EXP(-(G39^2)/(2*(H39^2)))</f>
        <v>1.5255297279389208E-3</v>
      </c>
      <c r="L39" s="11">
        <f t="shared" si="8"/>
        <v>0.98157040623484137</v>
      </c>
      <c r="M39" s="11">
        <f t="shared" si="9"/>
        <v>0.9360667713997477</v>
      </c>
      <c r="N39">
        <f t="shared" si="10"/>
        <v>1.2913672173083402E-4</v>
      </c>
    </row>
    <row r="40" spans="1:39" x14ac:dyDescent="0.25">
      <c r="A40" s="11">
        <v>2</v>
      </c>
      <c r="B40" s="11">
        <v>342</v>
      </c>
      <c r="C40" s="11">
        <v>0.38</v>
      </c>
      <c r="D40" s="11">
        <f t="shared" si="11"/>
        <v>3.8000000000000002E-4</v>
      </c>
      <c r="E40" s="11">
        <f t="shared" si="12"/>
        <v>-14</v>
      </c>
      <c r="F40" s="11">
        <f t="shared" ref="F40:F54" si="13">$B$37*COS(RADIANS(E40))</f>
        <v>97.029572627599649</v>
      </c>
      <c r="G40" s="11">
        <f t="shared" ref="G40:G54" si="14">$B$37*SIN(RADIANS(E40))</f>
        <v>-24.192189559966774</v>
      </c>
      <c r="H40" s="11">
        <f t="shared" si="4"/>
        <v>7.7249787134694587</v>
      </c>
      <c r="I40">
        <f t="shared" si="5"/>
        <v>5.4393801664544927</v>
      </c>
      <c r="J40">
        <f t="shared" si="6"/>
        <v>4.335249839676681E-2</v>
      </c>
      <c r="K40">
        <f t="shared" si="7"/>
        <v>7.4189239499646139E-3</v>
      </c>
      <c r="L40" s="11">
        <f t="shared" si="8"/>
        <v>0.98188765004636291</v>
      </c>
      <c r="M40" s="11">
        <f t="shared" si="9"/>
        <v>0.93714175806655697</v>
      </c>
      <c r="N40">
        <f t="shared" si="10"/>
        <v>6.1721529581145471E-4</v>
      </c>
    </row>
    <row r="41" spans="1:39" x14ac:dyDescent="0.25">
      <c r="A41" s="11">
        <v>3</v>
      </c>
      <c r="B41" s="11">
        <v>344</v>
      </c>
      <c r="C41" s="11">
        <v>2.39</v>
      </c>
      <c r="D41" s="11">
        <f t="shared" si="11"/>
        <v>2.3900000000000002E-3</v>
      </c>
      <c r="E41" s="11">
        <f t="shared" si="12"/>
        <v>-12</v>
      </c>
      <c r="F41" s="11">
        <f t="shared" si="13"/>
        <v>97.814760073380569</v>
      </c>
      <c r="G41" s="11">
        <f t="shared" si="14"/>
        <v>-20.791169081775934</v>
      </c>
      <c r="H41" s="11">
        <f t="shared" si="4"/>
        <v>7.7871883870833951</v>
      </c>
      <c r="I41">
        <f t="shared" si="5"/>
        <v>5.4805803032878408</v>
      </c>
      <c r="J41">
        <f t="shared" si="6"/>
        <v>4.2682869514544829E-2</v>
      </c>
      <c r="K41">
        <f t="shared" si="7"/>
        <v>2.8318610317957044E-2</v>
      </c>
      <c r="L41" s="11">
        <f t="shared" si="8"/>
        <v>0.98215650976488689</v>
      </c>
      <c r="M41" s="11">
        <f t="shared" si="9"/>
        <v>0.9380534884278513</v>
      </c>
      <c r="N41">
        <f t="shared" si="10"/>
        <v>2.3209953630672631E-3</v>
      </c>
    </row>
    <row r="42" spans="1:39" x14ac:dyDescent="0.25">
      <c r="A42" s="11">
        <v>4</v>
      </c>
      <c r="B42" s="11">
        <v>346</v>
      </c>
      <c r="C42" s="11">
        <v>8.6999999999999993</v>
      </c>
      <c r="D42" s="11">
        <f t="shared" si="11"/>
        <v>8.6999999999999994E-3</v>
      </c>
      <c r="E42" s="11">
        <f t="shared" si="12"/>
        <v>-10</v>
      </c>
      <c r="F42" s="11">
        <f t="shared" si="13"/>
        <v>98.480775301220802</v>
      </c>
      <c r="G42" s="11">
        <f t="shared" si="14"/>
        <v>-17.364817766693033</v>
      </c>
      <c r="H42" s="11">
        <f t="shared" si="4"/>
        <v>7.8399523739120767</v>
      </c>
      <c r="I42">
        <f t="shared" si="5"/>
        <v>5.5154952447843755</v>
      </c>
      <c r="J42">
        <f t="shared" si="6"/>
        <v>4.2127229305783755E-2</v>
      </c>
      <c r="K42">
        <f t="shared" si="7"/>
        <v>8.6041864400515838E-2</v>
      </c>
      <c r="L42" s="11">
        <f t="shared" si="8"/>
        <v>0.98237970948160058</v>
      </c>
      <c r="M42" s="11">
        <f t="shared" si="9"/>
        <v>0.93881086510529521</v>
      </c>
      <c r="N42">
        <f t="shared" si="10"/>
        <v>6.9637497569520288E-3</v>
      </c>
    </row>
    <row r="43" spans="1:39" x14ac:dyDescent="0.25">
      <c r="A43" s="11">
        <v>5</v>
      </c>
      <c r="B43" s="11">
        <v>348</v>
      </c>
      <c r="C43" s="11">
        <v>22.5</v>
      </c>
      <c r="D43" s="11">
        <f t="shared" si="11"/>
        <v>2.2499999999999999E-2</v>
      </c>
      <c r="E43" s="11">
        <f t="shared" si="12"/>
        <v>-8</v>
      </c>
      <c r="F43" s="11">
        <f t="shared" si="13"/>
        <v>99.026806874157032</v>
      </c>
      <c r="G43" s="11">
        <f t="shared" si="14"/>
        <v>-13.917310096006544</v>
      </c>
      <c r="H43" s="11">
        <f t="shared" si="4"/>
        <v>7.8832082587935384</v>
      </c>
      <c r="I43">
        <f t="shared" si="5"/>
        <v>5.544098320916544</v>
      </c>
      <c r="J43">
        <f t="shared" si="6"/>
        <v>4.1679923394614321E-2</v>
      </c>
      <c r="K43">
        <f t="shared" si="7"/>
        <v>0.21047582602871867</v>
      </c>
      <c r="L43" s="11">
        <f t="shared" si="8"/>
        <v>0.98255946276406525</v>
      </c>
      <c r="M43" s="11">
        <f t="shared" si="9"/>
        <v>0.93942113564434038</v>
      </c>
      <c r="N43">
        <f t="shared" si="10"/>
        <v>1.6860798336058535E-2</v>
      </c>
    </row>
    <row r="44" spans="1:39" x14ac:dyDescent="0.25">
      <c r="A44" s="11">
        <v>6</v>
      </c>
      <c r="B44" s="11">
        <v>350</v>
      </c>
      <c r="C44" s="11">
        <v>41</v>
      </c>
      <c r="D44" s="11">
        <f t="shared" si="11"/>
        <v>4.1000000000000002E-2</v>
      </c>
      <c r="E44" s="11">
        <f t="shared" si="12"/>
        <v>-6</v>
      </c>
      <c r="F44" s="11">
        <f t="shared" si="13"/>
        <v>99.452189536827333</v>
      </c>
      <c r="G44" s="11">
        <f t="shared" si="14"/>
        <v>-10.452846326765346</v>
      </c>
      <c r="H44" s="11">
        <f t="shared" si="4"/>
        <v>7.9169048830228244</v>
      </c>
      <c r="I44">
        <f t="shared" si="5"/>
        <v>5.5663677347212976</v>
      </c>
      <c r="J44">
        <f t="shared" si="6"/>
        <v>4.1336482168341029E-2</v>
      </c>
      <c r="K44">
        <f t="shared" si="7"/>
        <v>0.4182724785333759</v>
      </c>
      <c r="L44" s="11">
        <f t="shared" si="8"/>
        <v>0.98269752072720262</v>
      </c>
      <c r="M44" s="11">
        <f t="shared" si="9"/>
        <v>0.93989004215854477</v>
      </c>
      <c r="N44">
        <f t="shared" si="10"/>
        <v>3.3241371409562695E-2</v>
      </c>
    </row>
    <row r="45" spans="1:39" x14ac:dyDescent="0.25">
      <c r="A45" s="11">
        <v>7</v>
      </c>
      <c r="B45" s="11">
        <v>352</v>
      </c>
      <c r="C45" s="11">
        <v>65.900000000000006</v>
      </c>
      <c r="D45" s="11">
        <f t="shared" si="11"/>
        <v>6.59E-2</v>
      </c>
      <c r="E45" s="11">
        <f t="shared" si="12"/>
        <v>-4</v>
      </c>
      <c r="F45" s="11">
        <f t="shared" si="13"/>
        <v>99.756405025982417</v>
      </c>
      <c r="G45" s="11">
        <f t="shared" si="14"/>
        <v>-6.9756473744125298</v>
      </c>
      <c r="H45" s="11">
        <f t="shared" si="4"/>
        <v>7.9410023993733656</v>
      </c>
      <c r="I45">
        <f t="shared" si="5"/>
        <v>5.5822865479643573</v>
      </c>
      <c r="J45">
        <f t="shared" si="6"/>
        <v>4.1093523672002072E-2</v>
      </c>
      <c r="K45">
        <f t="shared" si="7"/>
        <v>0.6798906906902048</v>
      </c>
      <c r="L45" s="11">
        <f t="shared" si="8"/>
        <v>0.9827952091786043</v>
      </c>
      <c r="M45" s="11">
        <f t="shared" si="9"/>
        <v>0.94022193734963921</v>
      </c>
      <c r="N45">
        <f t="shared" si="10"/>
        <v>5.3727376420339285E-2</v>
      </c>
    </row>
    <row r="46" spans="1:39" x14ac:dyDescent="0.25">
      <c r="A46" s="11">
        <v>8</v>
      </c>
      <c r="B46" s="11">
        <v>354</v>
      </c>
      <c r="C46" s="11">
        <v>91.7</v>
      </c>
      <c r="D46" s="11">
        <f t="shared" si="11"/>
        <v>9.1700000000000004E-2</v>
      </c>
      <c r="E46" s="11">
        <f t="shared" si="12"/>
        <v>-2</v>
      </c>
      <c r="F46" s="11">
        <f t="shared" si="13"/>
        <v>99.93908270190957</v>
      </c>
      <c r="G46" s="11">
        <f t="shared" si="14"/>
        <v>-3.4899496702500969</v>
      </c>
      <c r="H46" s="11">
        <f t="shared" si="4"/>
        <v>7.9554723149260438</v>
      </c>
      <c r="I46">
        <f t="shared" si="5"/>
        <v>5.5918426699396315</v>
      </c>
      <c r="J46">
        <f t="shared" si="6"/>
        <v>4.0948681553296541E-2</v>
      </c>
      <c r="K46">
        <f t="shared" si="7"/>
        <v>0.90826195393877263</v>
      </c>
      <c r="L46" s="11">
        <f t="shared" si="8"/>
        <v>0.98285345621288844</v>
      </c>
      <c r="M46" s="11">
        <f t="shared" si="9"/>
        <v>0.94041987092567669</v>
      </c>
      <c r="N46">
        <f t="shared" si="10"/>
        <v>7.1530630683017252E-2</v>
      </c>
    </row>
    <row r="47" spans="1:39" x14ac:dyDescent="0.25">
      <c r="A47" s="11">
        <v>9</v>
      </c>
      <c r="B47" s="11">
        <v>356</v>
      </c>
      <c r="C47" s="11">
        <v>96.6</v>
      </c>
      <c r="D47" s="11">
        <f t="shared" si="11"/>
        <v>9.6599999999999991E-2</v>
      </c>
      <c r="E47" s="11">
        <f t="shared" si="12"/>
        <v>0</v>
      </c>
      <c r="F47" s="11">
        <f t="shared" si="13"/>
        <v>100</v>
      </c>
      <c r="G47" s="11">
        <f t="shared" si="14"/>
        <v>0</v>
      </c>
      <c r="H47" s="11">
        <f t="shared" si="4"/>
        <v>7.9602975216799141</v>
      </c>
      <c r="I47">
        <f t="shared" si="5"/>
        <v>5.5950288494418832</v>
      </c>
      <c r="J47">
        <f t="shared" si="6"/>
        <v>4.090055538466808E-2</v>
      </c>
      <c r="K47">
        <f t="shared" si="7"/>
        <v>1</v>
      </c>
      <c r="L47" s="11">
        <f t="shared" si="8"/>
        <v>0.98287281125274573</v>
      </c>
      <c r="M47" s="11">
        <f t="shared" si="9"/>
        <v>0.94048564935119539</v>
      </c>
      <c r="N47">
        <f t="shared" si="10"/>
        <v>7.8666429242501432E-2</v>
      </c>
    </row>
    <row r="48" spans="1:39" x14ac:dyDescent="0.25">
      <c r="A48" s="11">
        <v>10</v>
      </c>
      <c r="B48" s="11">
        <v>358</v>
      </c>
      <c r="C48" s="11">
        <v>91.5</v>
      </c>
      <c r="D48" s="11">
        <f t="shared" si="11"/>
        <v>9.1499999999999998E-2</v>
      </c>
      <c r="E48" s="11">
        <f t="shared" si="12"/>
        <v>2</v>
      </c>
      <c r="F48" s="11">
        <f t="shared" si="13"/>
        <v>99.93908270190957</v>
      </c>
      <c r="G48" s="11">
        <f t="shared" si="14"/>
        <v>3.4899496702500969</v>
      </c>
      <c r="H48" s="11">
        <f t="shared" si="4"/>
        <v>7.9554723149260438</v>
      </c>
      <c r="I48">
        <f t="shared" si="5"/>
        <v>5.5918426699396315</v>
      </c>
      <c r="J48">
        <f t="shared" si="6"/>
        <v>4.0948681553296541E-2</v>
      </c>
      <c r="K48">
        <f t="shared" si="7"/>
        <v>0.90826195393877263</v>
      </c>
      <c r="L48" s="11">
        <f t="shared" si="8"/>
        <v>0.98285345621288844</v>
      </c>
      <c r="M48" s="11">
        <f t="shared" si="9"/>
        <v>0.94041987092567669</v>
      </c>
      <c r="N48">
        <f t="shared" si="10"/>
        <v>7.1530630683017252E-2</v>
      </c>
    </row>
    <row r="49" spans="1:14" x14ac:dyDescent="0.25">
      <c r="A49" s="11">
        <v>11</v>
      </c>
      <c r="B49" s="11">
        <v>360</v>
      </c>
      <c r="C49" s="11">
        <v>66.3</v>
      </c>
      <c r="D49" s="11">
        <f t="shared" si="11"/>
        <v>6.6299999999999998E-2</v>
      </c>
      <c r="E49" s="11">
        <f t="shared" si="12"/>
        <v>4</v>
      </c>
      <c r="F49" s="11">
        <f t="shared" si="13"/>
        <v>99.756405025982417</v>
      </c>
      <c r="G49" s="11">
        <f t="shared" si="14"/>
        <v>6.9756473744125298</v>
      </c>
      <c r="H49" s="11">
        <f t="shared" si="4"/>
        <v>7.9410023993733656</v>
      </c>
      <c r="I49">
        <f t="shared" si="5"/>
        <v>5.5822865479643573</v>
      </c>
      <c r="J49">
        <f t="shared" si="6"/>
        <v>4.1093523672002072E-2</v>
      </c>
      <c r="K49">
        <f t="shared" si="7"/>
        <v>0.6798906906902048</v>
      </c>
      <c r="L49" s="11">
        <f t="shared" si="8"/>
        <v>0.9827952091786043</v>
      </c>
      <c r="M49" s="11">
        <f t="shared" si="9"/>
        <v>0.94022193734963921</v>
      </c>
      <c r="N49">
        <f t="shared" si="10"/>
        <v>5.3727376420339285E-2</v>
      </c>
    </row>
    <row r="50" spans="1:14" x14ac:dyDescent="0.25">
      <c r="A50" s="11">
        <v>12</v>
      </c>
      <c r="B50" s="11">
        <v>2</v>
      </c>
      <c r="C50" s="11">
        <v>34.700000000000003</v>
      </c>
      <c r="D50" s="11">
        <f t="shared" si="11"/>
        <v>3.4700000000000002E-2</v>
      </c>
      <c r="E50" s="11">
        <f t="shared" si="12"/>
        <v>-354</v>
      </c>
      <c r="F50" s="11">
        <f t="shared" si="13"/>
        <v>99.452189536827333</v>
      </c>
      <c r="G50" s="11">
        <f t="shared" si="14"/>
        <v>10.452846326765341</v>
      </c>
      <c r="H50" s="11">
        <f t="shared" si="4"/>
        <v>7.9169048830228244</v>
      </c>
      <c r="I50">
        <f t="shared" si="5"/>
        <v>5.5663677347212976</v>
      </c>
      <c r="J50">
        <f t="shared" si="6"/>
        <v>4.1336482168341029E-2</v>
      </c>
      <c r="K50">
        <f t="shared" si="7"/>
        <v>0.41827247853337629</v>
      </c>
      <c r="L50" s="11">
        <f t="shared" si="8"/>
        <v>0.98269752072720262</v>
      </c>
      <c r="M50" s="11">
        <f t="shared" si="9"/>
        <v>0.93989004215854477</v>
      </c>
      <c r="N50">
        <f t="shared" si="10"/>
        <v>3.3241371409562723E-2</v>
      </c>
    </row>
    <row r="51" spans="1:14" x14ac:dyDescent="0.25">
      <c r="A51" s="11">
        <v>13</v>
      </c>
      <c r="B51" s="11">
        <v>4</v>
      </c>
      <c r="C51" s="11">
        <v>12</v>
      </c>
      <c r="D51" s="11">
        <f t="shared" si="11"/>
        <v>1.2E-2</v>
      </c>
      <c r="E51" s="11">
        <f t="shared" si="12"/>
        <v>-352</v>
      </c>
      <c r="F51" s="11">
        <f t="shared" si="13"/>
        <v>99.026806874157032</v>
      </c>
      <c r="G51" s="11">
        <f t="shared" si="14"/>
        <v>13.917310096006588</v>
      </c>
      <c r="H51" s="11">
        <f t="shared" si="4"/>
        <v>7.8832082587935384</v>
      </c>
      <c r="I51">
        <f t="shared" si="5"/>
        <v>5.544098320916544</v>
      </c>
      <c r="J51">
        <f t="shared" si="6"/>
        <v>4.1679923394614321E-2</v>
      </c>
      <c r="K51">
        <f t="shared" si="7"/>
        <v>0.21047582602871659</v>
      </c>
      <c r="L51" s="11">
        <f t="shared" si="8"/>
        <v>0.98255946276406525</v>
      </c>
      <c r="M51" s="11">
        <f t="shared" si="9"/>
        <v>0.93942113564434038</v>
      </c>
      <c r="N51">
        <f t="shared" si="10"/>
        <v>1.6860798336058368E-2</v>
      </c>
    </row>
    <row r="52" spans="1:14" x14ac:dyDescent="0.25">
      <c r="A52" s="11">
        <v>14</v>
      </c>
      <c r="B52" s="11">
        <v>6</v>
      </c>
      <c r="C52" s="11">
        <v>1.83</v>
      </c>
      <c r="D52" s="11">
        <f t="shared" si="11"/>
        <v>1.83E-3</v>
      </c>
      <c r="E52" s="11">
        <f t="shared" si="12"/>
        <v>-350</v>
      </c>
      <c r="F52" s="11">
        <f t="shared" si="13"/>
        <v>98.480775301220802</v>
      </c>
      <c r="G52" s="11">
        <f t="shared" si="14"/>
        <v>17.36481776669304</v>
      </c>
      <c r="H52" s="11">
        <f t="shared" si="4"/>
        <v>7.8399523739120767</v>
      </c>
      <c r="I52">
        <f t="shared" si="5"/>
        <v>5.5154952447843755</v>
      </c>
      <c r="J52">
        <f t="shared" si="6"/>
        <v>4.2127229305783755E-2</v>
      </c>
      <c r="K52">
        <f t="shared" si="7"/>
        <v>8.6041864400515644E-2</v>
      </c>
      <c r="L52" s="11">
        <f t="shared" si="8"/>
        <v>0.98237970948160058</v>
      </c>
      <c r="M52" s="11">
        <f t="shared" si="9"/>
        <v>0.93881086510529521</v>
      </c>
      <c r="N52">
        <f t="shared" si="10"/>
        <v>6.9637497569520132E-3</v>
      </c>
    </row>
    <row r="53" spans="1:14" x14ac:dyDescent="0.25">
      <c r="A53" s="11">
        <v>15</v>
      </c>
      <c r="B53" s="11">
        <v>8</v>
      </c>
      <c r="C53" s="11">
        <v>0.41499999999999998</v>
      </c>
      <c r="D53" s="11">
        <f t="shared" si="11"/>
        <v>4.15E-4</v>
      </c>
      <c r="E53" s="11">
        <f t="shared" si="12"/>
        <v>-348</v>
      </c>
      <c r="F53" s="11">
        <f t="shared" si="13"/>
        <v>97.814760073380555</v>
      </c>
      <c r="G53" s="11">
        <f t="shared" si="14"/>
        <v>20.791169081775987</v>
      </c>
      <c r="H53" s="11">
        <f t="shared" si="4"/>
        <v>7.7871883870833942</v>
      </c>
      <c r="I53">
        <f t="shared" si="5"/>
        <v>5.48058030328784</v>
      </c>
      <c r="J53">
        <f t="shared" si="6"/>
        <v>4.2682869514544829E-2</v>
      </c>
      <c r="K53">
        <f t="shared" si="7"/>
        <v>2.8318610317956502E-2</v>
      </c>
      <c r="L53" s="11">
        <f t="shared" si="8"/>
        <v>0.98215650976488689</v>
      </c>
      <c r="M53" s="11">
        <f t="shared" si="9"/>
        <v>0.93805348842785119</v>
      </c>
      <c r="N53">
        <f t="shared" si="10"/>
        <v>2.3209953630672184E-3</v>
      </c>
    </row>
    <row r="54" spans="1:14" x14ac:dyDescent="0.25">
      <c r="A54" s="11">
        <v>16</v>
      </c>
      <c r="B54" s="11">
        <v>10</v>
      </c>
      <c r="C54" s="11">
        <v>8.5000000000000006E-2</v>
      </c>
      <c r="D54" s="11">
        <f t="shared" si="11"/>
        <v>8.5000000000000006E-5</v>
      </c>
      <c r="E54" s="11">
        <f t="shared" si="12"/>
        <v>-346</v>
      </c>
      <c r="F54" s="11">
        <f t="shared" si="13"/>
        <v>97.029572627599649</v>
      </c>
      <c r="G54" s="11">
        <f t="shared" si="14"/>
        <v>24.192189559966788</v>
      </c>
      <c r="H54" s="11">
        <f t="shared" si="4"/>
        <v>7.7249787134694587</v>
      </c>
      <c r="I54">
        <f t="shared" si="5"/>
        <v>5.4393801664544927</v>
      </c>
      <c r="J54">
        <f t="shared" si="6"/>
        <v>4.335249839676681E-2</v>
      </c>
      <c r="K54">
        <f t="shared" si="7"/>
        <v>7.418923949964574E-3</v>
      </c>
      <c r="L54" s="11">
        <f t="shared" si="8"/>
        <v>0.98188765004636291</v>
      </c>
      <c r="M54" s="11">
        <f t="shared" si="9"/>
        <v>0.93714175806655697</v>
      </c>
      <c r="N54">
        <f t="shared" si="10"/>
        <v>6.1721529581145135E-4</v>
      </c>
    </row>
    <row r="55" spans="1:14" x14ac:dyDescent="0.25">
      <c r="A55" s="11"/>
      <c r="B55" s="11"/>
      <c r="C55" s="11"/>
      <c r="D55" s="11"/>
      <c r="E55" s="11"/>
      <c r="F55" s="11"/>
      <c r="G55" s="11"/>
      <c r="H55" s="11"/>
      <c r="L55" s="11"/>
      <c r="M55" s="11"/>
    </row>
    <row r="56" spans="1:14" x14ac:dyDescent="0.25">
      <c r="A56" s="11"/>
      <c r="B56" s="11"/>
      <c r="C56" s="11"/>
      <c r="D56" s="11"/>
      <c r="H56" s="11"/>
      <c r="L56" s="11"/>
      <c r="M56" s="11"/>
    </row>
    <row r="57" spans="1:14" x14ac:dyDescent="0.25">
      <c r="A57" s="11" t="s">
        <v>77</v>
      </c>
      <c r="B57" s="11">
        <v>200</v>
      </c>
      <c r="C57" s="11"/>
      <c r="D57" s="11"/>
      <c r="H57" s="11"/>
      <c r="L57" s="11"/>
      <c r="M57" s="11"/>
    </row>
    <row r="58" spans="1:14" x14ac:dyDescent="0.25">
      <c r="A58" t="s">
        <v>78</v>
      </c>
      <c r="B58" t="s">
        <v>53</v>
      </c>
      <c r="C58" t="s">
        <v>55</v>
      </c>
      <c r="D58" t="s">
        <v>54</v>
      </c>
      <c r="E58" t="s">
        <v>64</v>
      </c>
      <c r="F58" t="s">
        <v>57</v>
      </c>
      <c r="G58" t="s">
        <v>56</v>
      </c>
      <c r="H58" s="11" t="s">
        <v>65</v>
      </c>
      <c r="I58" t="s">
        <v>66</v>
      </c>
      <c r="J58" t="s">
        <v>71</v>
      </c>
      <c r="K58" s="11" t="s">
        <v>72</v>
      </c>
      <c r="L58" s="11" t="s">
        <v>73</v>
      </c>
      <c r="M58" s="11" t="s">
        <v>74</v>
      </c>
      <c r="N58" t="s">
        <v>79</v>
      </c>
    </row>
    <row r="59" spans="1:14" x14ac:dyDescent="0.25">
      <c r="A59">
        <v>1</v>
      </c>
      <c r="B59">
        <v>344</v>
      </c>
      <c r="C59">
        <v>0.04</v>
      </c>
      <c r="D59">
        <f>C59/1000</f>
        <v>4.0000000000000003E-5</v>
      </c>
      <c r="E59">
        <f>B59-356</f>
        <v>-12</v>
      </c>
      <c r="F59">
        <f>$B$57*COS(RADIANS(E59))</f>
        <v>195.62952014676114</v>
      </c>
      <c r="G59">
        <f>$B$57*SIN(RADIANS(E59))</f>
        <v>-41.582338163551867</v>
      </c>
      <c r="H59" s="11">
        <f t="shared" si="4"/>
        <v>15.499488050391031</v>
      </c>
      <c r="I59">
        <f t="shared" si="5"/>
        <v>10.320762345027852</v>
      </c>
      <c r="J59">
        <f t="shared" si="6"/>
        <v>1.1387586903028928E-2</v>
      </c>
      <c r="K59">
        <f t="shared" si="7"/>
        <v>2.735757402819369E-2</v>
      </c>
      <c r="L59" s="11">
        <f t="shared" si="8"/>
        <v>0.99493579681245692</v>
      </c>
      <c r="M59" s="11">
        <f t="shared" si="9"/>
        <v>0.98212900454729624</v>
      </c>
      <c r="N59">
        <f t="shared" si="10"/>
        <v>6.1592834612018066E-4</v>
      </c>
    </row>
    <row r="60" spans="1:14" x14ac:dyDescent="0.25">
      <c r="A60">
        <v>2</v>
      </c>
      <c r="B60">
        <v>346</v>
      </c>
      <c r="C60">
        <v>0.97499999999999998</v>
      </c>
      <c r="D60">
        <f t="shared" ref="D60:D70" si="15">C60/1000</f>
        <v>9.7499999999999996E-4</v>
      </c>
      <c r="E60">
        <f t="shared" ref="E60:E70" si="16">B60-356</f>
        <v>-10</v>
      </c>
      <c r="F60">
        <f t="shared" ref="F60:F70" si="17">$B$57*COS(RADIANS(E60))</f>
        <v>196.9615506024416</v>
      </c>
      <c r="G60">
        <f t="shared" ref="G60:G70" si="18">$B$57*SIN(RADIANS(E60))</f>
        <v>-34.729635533386066</v>
      </c>
      <c r="H60" s="11">
        <f t="shared" si="4"/>
        <v>15.604003920783509</v>
      </c>
      <c r="I60">
        <f t="shared" si="5"/>
        <v>10.383019357903429</v>
      </c>
      <c r="J60">
        <f t="shared" si="6"/>
        <v>1.1243489564086677E-2</v>
      </c>
      <c r="K60">
        <f t="shared" si="7"/>
        <v>8.4008080417812131E-2</v>
      </c>
      <c r="L60" s="11">
        <f t="shared" si="8"/>
        <v>0.99499619334379141</v>
      </c>
      <c r="M60" s="11">
        <f t="shared" si="9"/>
        <v>0.98234077461626168</v>
      </c>
      <c r="N60">
        <f t="shared" si="10"/>
        <v>1.8676817205738848E-3</v>
      </c>
    </row>
    <row r="61" spans="1:14" x14ac:dyDescent="0.25">
      <c r="A61">
        <v>3</v>
      </c>
      <c r="B61">
        <v>348</v>
      </c>
      <c r="C61">
        <v>5.29</v>
      </c>
      <c r="D61">
        <f t="shared" si="15"/>
        <v>5.2900000000000004E-3</v>
      </c>
      <c r="E61">
        <f t="shared" si="16"/>
        <v>-8</v>
      </c>
      <c r="F61">
        <f t="shared" si="17"/>
        <v>198.05361374831406</v>
      </c>
      <c r="G61">
        <f t="shared" si="18"/>
        <v>-27.834620192013087</v>
      </c>
      <c r="H61" s="11">
        <f t="shared" si="4"/>
        <v>15.68968096343866</v>
      </c>
      <c r="I61">
        <f t="shared" si="5"/>
        <v>10.433993686686527</v>
      </c>
      <c r="J61">
        <f t="shared" si="6"/>
        <v>1.1127462857737793E-2</v>
      </c>
      <c r="K61">
        <f t="shared" si="7"/>
        <v>0.20728402276954255</v>
      </c>
      <c r="L61" s="11">
        <f t="shared" si="8"/>
        <v>0.99504484416585104</v>
      </c>
      <c r="M61" s="11">
        <f t="shared" si="9"/>
        <v>0.98251138422704321</v>
      </c>
      <c r="N61">
        <f t="shared" si="10"/>
        <v>4.5613229536261351E-3</v>
      </c>
    </row>
    <row r="62" spans="1:14" x14ac:dyDescent="0.25">
      <c r="A62">
        <v>4</v>
      </c>
      <c r="B62">
        <v>350</v>
      </c>
      <c r="C62">
        <v>11.6</v>
      </c>
      <c r="D62">
        <f t="shared" si="15"/>
        <v>1.1599999999999999E-2</v>
      </c>
      <c r="E62">
        <f t="shared" si="16"/>
        <v>-6</v>
      </c>
      <c r="F62">
        <f t="shared" si="17"/>
        <v>198.90437907365467</v>
      </c>
      <c r="G62">
        <f t="shared" si="18"/>
        <v>-20.905692653530693</v>
      </c>
      <c r="H62" s="11">
        <f t="shared" si="4"/>
        <v>15.756420829538133</v>
      </c>
      <c r="I62">
        <f t="shared" si="5"/>
        <v>10.473663225411245</v>
      </c>
      <c r="J62">
        <f t="shared" si="6"/>
        <v>1.1038362664473462E-2</v>
      </c>
      <c r="K62">
        <f t="shared" si="7"/>
        <v>0.4146977617746922</v>
      </c>
      <c r="L62" s="11">
        <f t="shared" si="8"/>
        <v>0.99508221662345353</v>
      </c>
      <c r="M62" s="11">
        <f t="shared" si="9"/>
        <v>0.98264245711575848</v>
      </c>
      <c r="N62">
        <f t="shared" si="10"/>
        <v>9.0532013976692503E-3</v>
      </c>
    </row>
    <row r="63" spans="1:14" x14ac:dyDescent="0.25">
      <c r="A63">
        <v>5</v>
      </c>
      <c r="B63">
        <v>352</v>
      </c>
      <c r="C63">
        <v>19.100000000000001</v>
      </c>
      <c r="D63">
        <f t="shared" si="15"/>
        <v>1.9100000000000002E-2</v>
      </c>
      <c r="E63">
        <f t="shared" si="16"/>
        <v>-4</v>
      </c>
      <c r="F63">
        <f t="shared" si="17"/>
        <v>199.51281005196483</v>
      </c>
      <c r="G63">
        <f t="shared" si="18"/>
        <v>-13.95129474882506</v>
      </c>
      <c r="H63" s="11">
        <f t="shared" si="4"/>
        <v>15.804146930160526</v>
      </c>
      <c r="I63">
        <f t="shared" si="5"/>
        <v>10.502010827570707</v>
      </c>
      <c r="J63">
        <f t="shared" si="6"/>
        <v>1.097532312665501E-2</v>
      </c>
      <c r="K63">
        <f t="shared" si="7"/>
        <v>0.67730468112932118</v>
      </c>
      <c r="L63" s="11">
        <f t="shared" si="8"/>
        <v>0.99510866454452107</v>
      </c>
      <c r="M63" s="11">
        <f t="shared" si="9"/>
        <v>0.98273522300062977</v>
      </c>
      <c r="N63">
        <f t="shared" si="10"/>
        <v>1.4702574947673101E-2</v>
      </c>
    </row>
    <row r="64" spans="1:14" x14ac:dyDescent="0.25">
      <c r="A64">
        <v>6</v>
      </c>
      <c r="B64">
        <v>354</v>
      </c>
      <c r="C64">
        <v>27.1</v>
      </c>
      <c r="D64">
        <f t="shared" si="15"/>
        <v>2.7100000000000003E-2</v>
      </c>
      <c r="E64">
        <f t="shared" si="16"/>
        <v>-2</v>
      </c>
      <c r="F64">
        <f t="shared" si="17"/>
        <v>199.87816540381914</v>
      </c>
      <c r="G64">
        <f t="shared" si="18"/>
        <v>-6.9798993405001939</v>
      </c>
      <c r="H64" s="11">
        <f t="shared" si="4"/>
        <v>15.832804507831554</v>
      </c>
      <c r="I64">
        <f t="shared" si="5"/>
        <v>10.519024270791283</v>
      </c>
      <c r="J64">
        <f t="shared" si="6"/>
        <v>1.0937738322641022E-2</v>
      </c>
      <c r="K64">
        <f t="shared" si="7"/>
        <v>0.90739758851247532</v>
      </c>
      <c r="L64" s="11">
        <f t="shared" si="8"/>
        <v>0.99512443561264641</v>
      </c>
      <c r="M64" s="11">
        <f t="shared" si="9"/>
        <v>0.98279054289831747</v>
      </c>
      <c r="N64">
        <f t="shared" si="10"/>
        <v>1.9630563625326357E-2</v>
      </c>
    </row>
    <row r="65" spans="1:14" x14ac:dyDescent="0.25">
      <c r="A65">
        <v>7</v>
      </c>
      <c r="B65">
        <v>356</v>
      </c>
      <c r="C65">
        <v>29.6</v>
      </c>
      <c r="D65">
        <f t="shared" si="15"/>
        <v>2.9600000000000001E-2</v>
      </c>
      <c r="E65">
        <f t="shared" si="16"/>
        <v>0</v>
      </c>
      <c r="F65">
        <f t="shared" si="17"/>
        <v>200</v>
      </c>
      <c r="G65">
        <f t="shared" si="18"/>
        <v>0</v>
      </c>
      <c r="H65" s="11">
        <f t="shared" si="4"/>
        <v>15.842360687626789</v>
      </c>
      <c r="I65">
        <f t="shared" si="5"/>
        <v>10.52469623168435</v>
      </c>
      <c r="J65">
        <f t="shared" si="6"/>
        <v>1.092524963047038E-2</v>
      </c>
      <c r="K65">
        <f t="shared" si="7"/>
        <v>1</v>
      </c>
      <c r="L65" s="11">
        <f t="shared" si="8"/>
        <v>0.99512967645282369</v>
      </c>
      <c r="M65" s="11">
        <f t="shared" si="9"/>
        <v>0.98280892659628816</v>
      </c>
      <c r="N65">
        <f t="shared" si="10"/>
        <v>2.1609472992055411E-2</v>
      </c>
    </row>
    <row r="66" spans="1:14" x14ac:dyDescent="0.25">
      <c r="A66">
        <v>8</v>
      </c>
      <c r="B66">
        <v>358</v>
      </c>
      <c r="C66">
        <v>27.6</v>
      </c>
      <c r="D66">
        <f t="shared" si="15"/>
        <v>2.7600000000000003E-2</v>
      </c>
      <c r="E66">
        <f t="shared" si="16"/>
        <v>2</v>
      </c>
      <c r="F66">
        <f t="shared" si="17"/>
        <v>199.87816540381914</v>
      </c>
      <c r="G66">
        <f t="shared" si="18"/>
        <v>6.9798993405001939</v>
      </c>
      <c r="H66" s="11">
        <f t="shared" si="4"/>
        <v>15.832804507831554</v>
      </c>
      <c r="I66">
        <f t="shared" si="5"/>
        <v>10.519024270791283</v>
      </c>
      <c r="J66">
        <f t="shared" si="6"/>
        <v>1.0937738322641022E-2</v>
      </c>
      <c r="K66">
        <f t="shared" si="7"/>
        <v>0.90739758851247532</v>
      </c>
      <c r="L66" s="11">
        <f t="shared" si="8"/>
        <v>0.99512443561264641</v>
      </c>
      <c r="M66" s="11">
        <f t="shared" si="9"/>
        <v>0.98279054289831747</v>
      </c>
      <c r="N66">
        <f t="shared" si="10"/>
        <v>1.9630563625326357E-2</v>
      </c>
    </row>
    <row r="67" spans="1:14" x14ac:dyDescent="0.25">
      <c r="A67">
        <v>9</v>
      </c>
      <c r="B67">
        <v>360</v>
      </c>
      <c r="C67">
        <v>17.100000000000001</v>
      </c>
      <c r="D67">
        <f t="shared" si="15"/>
        <v>1.7100000000000001E-2</v>
      </c>
      <c r="E67">
        <f t="shared" si="16"/>
        <v>4</v>
      </c>
      <c r="F67">
        <f t="shared" si="17"/>
        <v>199.51281005196483</v>
      </c>
      <c r="G67">
        <f t="shared" si="18"/>
        <v>13.95129474882506</v>
      </c>
      <c r="H67" s="11">
        <f t="shared" si="4"/>
        <v>15.804146930160526</v>
      </c>
      <c r="I67">
        <f t="shared" si="5"/>
        <v>10.502010827570707</v>
      </c>
      <c r="J67">
        <f t="shared" si="6"/>
        <v>1.097532312665501E-2</v>
      </c>
      <c r="K67">
        <f t="shared" si="7"/>
        <v>0.67730468112932118</v>
      </c>
      <c r="L67" s="11">
        <f t="shared" si="8"/>
        <v>0.99510866454452107</v>
      </c>
      <c r="M67" s="11">
        <f t="shared" si="9"/>
        <v>0.98273522300062977</v>
      </c>
      <c r="N67">
        <f t="shared" si="10"/>
        <v>1.4702574947673101E-2</v>
      </c>
    </row>
    <row r="68" spans="1:14" x14ac:dyDescent="0.25">
      <c r="A68">
        <v>10</v>
      </c>
      <c r="B68">
        <v>2</v>
      </c>
      <c r="C68">
        <v>4.9800000000000004</v>
      </c>
      <c r="D68">
        <f t="shared" si="15"/>
        <v>4.9800000000000001E-3</v>
      </c>
      <c r="E68">
        <f t="shared" si="16"/>
        <v>-354</v>
      </c>
      <c r="F68">
        <f t="shared" si="17"/>
        <v>198.90437907365467</v>
      </c>
      <c r="G68">
        <f t="shared" si="18"/>
        <v>20.905692653530682</v>
      </c>
      <c r="H68" s="11">
        <f t="shared" si="4"/>
        <v>15.756420829538133</v>
      </c>
      <c r="I68">
        <f t="shared" si="5"/>
        <v>10.473663225411245</v>
      </c>
      <c r="J68">
        <f t="shared" si="6"/>
        <v>1.1038362664473462E-2</v>
      </c>
      <c r="K68">
        <f t="shared" si="7"/>
        <v>0.41469776177469259</v>
      </c>
      <c r="L68" s="11">
        <f t="shared" si="8"/>
        <v>0.99508221662345353</v>
      </c>
      <c r="M68" s="11">
        <f t="shared" si="9"/>
        <v>0.98264245711575848</v>
      </c>
      <c r="N68">
        <f t="shared" si="10"/>
        <v>9.0532013976692589E-3</v>
      </c>
    </row>
    <row r="69" spans="1:14" x14ac:dyDescent="0.25">
      <c r="A69">
        <v>11</v>
      </c>
      <c r="B69">
        <v>4</v>
      </c>
      <c r="C69">
        <v>1.51</v>
      </c>
      <c r="D69">
        <f t="shared" si="15"/>
        <v>1.5100000000000001E-3</v>
      </c>
      <c r="E69">
        <f t="shared" si="16"/>
        <v>-352</v>
      </c>
      <c r="F69">
        <f t="shared" si="17"/>
        <v>198.05361374831406</v>
      </c>
      <c r="G69">
        <f t="shared" si="18"/>
        <v>27.834620192013176</v>
      </c>
      <c r="H69" s="11">
        <f t="shared" si="4"/>
        <v>15.68968096343866</v>
      </c>
      <c r="I69">
        <f t="shared" si="5"/>
        <v>10.433993686686527</v>
      </c>
      <c r="J69">
        <f t="shared" si="6"/>
        <v>1.1127462857737793E-2</v>
      </c>
      <c r="K69">
        <f t="shared" si="7"/>
        <v>0.20728402276954047</v>
      </c>
      <c r="L69" s="11">
        <f t="shared" si="8"/>
        <v>0.99504484416585104</v>
      </c>
      <c r="M69" s="11">
        <f t="shared" si="9"/>
        <v>0.98251138422704321</v>
      </c>
      <c r="N69">
        <f t="shared" si="10"/>
        <v>4.5613229536260892E-3</v>
      </c>
    </row>
    <row r="70" spans="1:14" x14ac:dyDescent="0.25">
      <c r="A70">
        <v>12</v>
      </c>
      <c r="B70">
        <v>6</v>
      </c>
      <c r="C70">
        <v>0.14000000000000001</v>
      </c>
      <c r="D70">
        <f t="shared" si="15"/>
        <v>1.4000000000000001E-4</v>
      </c>
      <c r="E70">
        <f t="shared" si="16"/>
        <v>-350</v>
      </c>
      <c r="F70">
        <f t="shared" si="17"/>
        <v>196.9615506024416</v>
      </c>
      <c r="G70">
        <f t="shared" si="18"/>
        <v>34.72963553338608</v>
      </c>
      <c r="H70" s="11">
        <f t="shared" si="4"/>
        <v>15.604003920783509</v>
      </c>
      <c r="I70">
        <f t="shared" si="5"/>
        <v>10.383019357903429</v>
      </c>
      <c r="J70">
        <f t="shared" si="6"/>
        <v>1.1243489564086677E-2</v>
      </c>
      <c r="K70">
        <f t="shared" si="7"/>
        <v>8.4008080417811895E-2</v>
      </c>
      <c r="L70" s="11">
        <f t="shared" si="8"/>
        <v>0.99499619334379141</v>
      </c>
      <c r="M70" s="11">
        <f t="shared" si="9"/>
        <v>0.98234077461626168</v>
      </c>
      <c r="N70">
        <f t="shared" si="10"/>
        <v>1.8676817205738794E-3</v>
      </c>
    </row>
    <row r="71" spans="1:14" x14ac:dyDescent="0.25">
      <c r="H71" s="11"/>
      <c r="L71" s="11"/>
      <c r="M71" s="11"/>
    </row>
    <row r="72" spans="1:14" x14ac:dyDescent="0.25">
      <c r="H72" s="11"/>
      <c r="L72" s="11"/>
      <c r="M72" s="11"/>
    </row>
    <row r="73" spans="1:14" x14ac:dyDescent="0.25">
      <c r="A73" t="s">
        <v>80</v>
      </c>
      <c r="B73">
        <v>400</v>
      </c>
      <c r="H73" s="11"/>
      <c r="L73" s="11"/>
      <c r="M73" s="11"/>
    </row>
    <row r="74" spans="1:14" x14ac:dyDescent="0.25">
      <c r="A74" t="s">
        <v>78</v>
      </c>
      <c r="B74" t="s">
        <v>53</v>
      </c>
      <c r="C74" t="s">
        <v>55</v>
      </c>
      <c r="D74" t="s">
        <v>54</v>
      </c>
      <c r="E74" t="s">
        <v>64</v>
      </c>
      <c r="F74" t="s">
        <v>57</v>
      </c>
      <c r="G74" t="s">
        <v>56</v>
      </c>
      <c r="H74" s="11" t="s">
        <v>65</v>
      </c>
      <c r="I74" t="s">
        <v>66</v>
      </c>
      <c r="J74" t="s">
        <v>71</v>
      </c>
      <c r="K74" s="11" t="s">
        <v>72</v>
      </c>
      <c r="L74" s="11" t="s">
        <v>73</v>
      </c>
      <c r="M74" s="11" t="s">
        <v>74</v>
      </c>
      <c r="N74" t="s">
        <v>81</v>
      </c>
    </row>
    <row r="75" spans="1:14" x14ac:dyDescent="0.25">
      <c r="B75">
        <v>346</v>
      </c>
      <c r="C75">
        <v>9.5000000000000001E-2</v>
      </c>
      <c r="D75">
        <f>C75/1000</f>
        <v>9.5000000000000005E-5</v>
      </c>
      <c r="E75">
        <f>B75-356</f>
        <v>-10</v>
      </c>
      <c r="F75">
        <f>$B$73*COS(RADIANS(E75))</f>
        <v>393.92310120488321</v>
      </c>
      <c r="G75">
        <f>$B$73*SIN(RADIANS(E75))</f>
        <v>-69.459271066772132</v>
      </c>
      <c r="H75" s="11">
        <f t="shared" si="4"/>
        <v>30.910902665512157</v>
      </c>
      <c r="I75">
        <f t="shared" si="5"/>
        <v>18.73886811805114</v>
      </c>
      <c r="J75">
        <f t="shared" si="6"/>
        <v>3.1448924167562318E-3</v>
      </c>
      <c r="K75">
        <f t="shared" si="7"/>
        <v>8.0083594685300019E-2</v>
      </c>
      <c r="L75" s="11">
        <f t="shared" si="8"/>
        <v>0.99846108161814118</v>
      </c>
      <c r="M75" s="11">
        <f t="shared" si="9"/>
        <v>0.99454483160254126</v>
      </c>
      <c r="N75">
        <f t="shared" si="10"/>
        <v>5.019470885073271E-4</v>
      </c>
    </row>
    <row r="76" spans="1:14" x14ac:dyDescent="0.25">
      <c r="B76">
        <v>348</v>
      </c>
      <c r="C76">
        <v>1.1100000000000001</v>
      </c>
      <c r="D76">
        <f t="shared" ref="D76:D84" si="19">C76/1000</f>
        <v>1.1100000000000001E-3</v>
      </c>
      <c r="E76">
        <f t="shared" ref="E76:E84" si="20">B76-356</f>
        <v>-8</v>
      </c>
      <c r="F76">
        <f t="shared" ref="F76:F84" si="21">$B$73*COS(RADIANS(E76))</f>
        <v>396.10722749662813</v>
      </c>
      <c r="G76">
        <f t="shared" ref="G76:G84" si="22">$B$73*SIN(RADIANS(E76))</f>
        <v>-55.669240384026175</v>
      </c>
      <c r="H76" s="11">
        <f t="shared" si="4"/>
        <v>31.079024485048016</v>
      </c>
      <c r="I76">
        <f t="shared" si="5"/>
        <v>18.823394690120736</v>
      </c>
      <c r="J76">
        <f t="shared" si="6"/>
        <v>3.1138343723617233E-3</v>
      </c>
      <c r="K76">
        <f t="shared" si="7"/>
        <v>0.2010448904773553</v>
      </c>
      <c r="L76" s="11">
        <f t="shared" si="8"/>
        <v>0.99847486111049522</v>
      </c>
      <c r="M76" s="11">
        <f t="shared" si="9"/>
        <v>0.99459358215624838</v>
      </c>
      <c r="N76">
        <f t="shared" si="10"/>
        <v>1.2477016841670899E-3</v>
      </c>
    </row>
    <row r="77" spans="1:14" x14ac:dyDescent="0.25">
      <c r="B77">
        <v>350</v>
      </c>
      <c r="C77">
        <v>3.22</v>
      </c>
      <c r="D77">
        <f t="shared" si="19"/>
        <v>3.2200000000000002E-3</v>
      </c>
      <c r="E77">
        <f t="shared" si="20"/>
        <v>-6</v>
      </c>
      <c r="F77">
        <f t="shared" si="21"/>
        <v>397.80875814730933</v>
      </c>
      <c r="G77">
        <f t="shared" si="22"/>
        <v>-41.811385307061386</v>
      </c>
      <c r="H77" s="11">
        <f t="shared" si="4"/>
        <v>31.209974555574608</v>
      </c>
      <c r="I77">
        <f t="shared" si="5"/>
        <v>18.889138084673675</v>
      </c>
      <c r="J77">
        <f t="shared" si="6"/>
        <v>3.0899772331666772E-3</v>
      </c>
      <c r="K77">
        <f t="shared" si="7"/>
        <v>0.40763971985220232</v>
      </c>
      <c r="L77" s="11">
        <f t="shared" si="8"/>
        <v>0.99848545105699049</v>
      </c>
      <c r="M77" s="11">
        <f t="shared" si="9"/>
        <v>0.99463104956208348</v>
      </c>
      <c r="N77">
        <f t="shared" si="10"/>
        <v>2.5105244690628884E-3</v>
      </c>
    </row>
    <row r="78" spans="1:14" x14ac:dyDescent="0.25">
      <c r="B78">
        <v>352</v>
      </c>
      <c r="C78">
        <v>4.72</v>
      </c>
      <c r="D78">
        <f t="shared" si="19"/>
        <v>4.7199999999999994E-3</v>
      </c>
      <c r="E78">
        <f t="shared" si="20"/>
        <v>-4</v>
      </c>
      <c r="F78">
        <f t="shared" si="21"/>
        <v>399.02562010392967</v>
      </c>
      <c r="G78">
        <f t="shared" si="22"/>
        <v>-27.902589497650119</v>
      </c>
      <c r="H78" s="11">
        <f t="shared" si="4"/>
        <v>31.303611432250086</v>
      </c>
      <c r="I78">
        <f t="shared" si="5"/>
        <v>18.936097924671873</v>
      </c>
      <c r="J78">
        <f t="shared" si="6"/>
        <v>3.0730943964171419E-3</v>
      </c>
      <c r="K78">
        <f t="shared" si="7"/>
        <v>0.67216213277465942</v>
      </c>
      <c r="L78" s="11">
        <f t="shared" si="8"/>
        <v>0.99849294797989929</v>
      </c>
      <c r="M78" s="11">
        <f t="shared" si="9"/>
        <v>0.99465757441234814</v>
      </c>
      <c r="N78">
        <f t="shared" si="10"/>
        <v>4.1170869653564283E-3</v>
      </c>
    </row>
    <row r="79" spans="1:14" x14ac:dyDescent="0.25">
      <c r="B79">
        <v>354</v>
      </c>
      <c r="C79">
        <v>8.3699999999999992</v>
      </c>
      <c r="D79">
        <f t="shared" si="19"/>
        <v>8.369999999999999E-3</v>
      </c>
      <c r="E79">
        <f t="shared" si="20"/>
        <v>-2</v>
      </c>
      <c r="F79">
        <f t="shared" si="21"/>
        <v>399.75633080763828</v>
      </c>
      <c r="G79">
        <f t="shared" si="22"/>
        <v>-13.959798681000388</v>
      </c>
      <c r="H79" s="11">
        <f t="shared" ref="H79:H102" si="23">0.08*F79*((1+0.0001*F79)^(-1/2))</f>
        <v>31.359834016380528</v>
      </c>
      <c r="I79">
        <f t="shared" ref="I79:I102" si="24">0.06*F79*((1+0.0015*F79)^(-1/2))</f>
        <v>18.964273938194101</v>
      </c>
      <c r="J79">
        <f t="shared" ref="J79:J102" si="25">$B$8*(1/(H79*I79))</f>
        <v>3.0630272478300085E-3</v>
      </c>
      <c r="K79">
        <f t="shared" ref="K79:K102" si="26">EXP(-(G79^2)/(2*(H79^2)))</f>
        <v>0.90567132464833278</v>
      </c>
      <c r="L79" s="11">
        <f t="shared" ref="L79:L102" si="27">EXP(-$B$9/(2*(I79^2)))</f>
        <v>0.99849741946979542</v>
      </c>
      <c r="M79" s="11">
        <f t="shared" ref="M79:M102" si="28">EXP(-$B$10/(2*(I79^2)))</f>
        <v>0.99467339522513942</v>
      </c>
      <c r="N79">
        <f t="shared" ref="N79:N102" si="29">J79*K79*(L79+M79)</f>
        <v>5.5292470746900095E-3</v>
      </c>
    </row>
    <row r="80" spans="1:14" x14ac:dyDescent="0.25">
      <c r="B80">
        <v>356</v>
      </c>
      <c r="C80">
        <v>9.0299999999999994</v>
      </c>
      <c r="D80">
        <f t="shared" si="19"/>
        <v>9.0299999999999998E-3</v>
      </c>
      <c r="E80">
        <f t="shared" si="20"/>
        <v>0</v>
      </c>
      <c r="F80">
        <f t="shared" si="21"/>
        <v>400</v>
      </c>
      <c r="G80">
        <f t="shared" si="22"/>
        <v>0</v>
      </c>
      <c r="H80" s="11">
        <f t="shared" si="23"/>
        <v>31.378581622109444</v>
      </c>
      <c r="I80">
        <f t="shared" si="24"/>
        <v>18.973665961010276</v>
      </c>
      <c r="J80">
        <f t="shared" si="25"/>
        <v>3.0596818941164092E-3</v>
      </c>
      <c r="K80">
        <f t="shared" si="26"/>
        <v>1</v>
      </c>
      <c r="L80" s="11">
        <f t="shared" si="27"/>
        <v>0.99849890554878862</v>
      </c>
      <c r="M80" s="11">
        <f t="shared" si="28"/>
        <v>0.99467865323915106</v>
      </c>
      <c r="N80">
        <f t="shared" si="29"/>
        <v>6.0984892883826037E-3</v>
      </c>
    </row>
    <row r="81" spans="1:14" x14ac:dyDescent="0.25">
      <c r="B81">
        <v>358</v>
      </c>
      <c r="C81">
        <v>8.43</v>
      </c>
      <c r="D81">
        <f t="shared" si="19"/>
        <v>8.43E-3</v>
      </c>
      <c r="E81">
        <f t="shared" si="20"/>
        <v>2</v>
      </c>
      <c r="F81">
        <f t="shared" si="21"/>
        <v>399.75633080763828</v>
      </c>
      <c r="G81">
        <f t="shared" si="22"/>
        <v>13.959798681000388</v>
      </c>
      <c r="H81" s="11">
        <f t="shared" si="23"/>
        <v>31.359834016380528</v>
      </c>
      <c r="I81">
        <f t="shared" si="24"/>
        <v>18.964273938194101</v>
      </c>
      <c r="J81">
        <f t="shared" si="25"/>
        <v>3.0630272478300085E-3</v>
      </c>
      <c r="K81">
        <f t="shared" si="26"/>
        <v>0.90567132464833278</v>
      </c>
      <c r="L81" s="11">
        <f t="shared" si="27"/>
        <v>0.99849741946979542</v>
      </c>
      <c r="M81" s="11">
        <f t="shared" si="28"/>
        <v>0.99467339522513942</v>
      </c>
      <c r="N81">
        <f t="shared" si="29"/>
        <v>5.5292470746900095E-3</v>
      </c>
    </row>
    <row r="82" spans="1:14" x14ac:dyDescent="0.25">
      <c r="B82">
        <v>360</v>
      </c>
      <c r="C82">
        <v>2.1800000000000002</v>
      </c>
      <c r="D82">
        <f t="shared" si="19"/>
        <v>2.1800000000000001E-3</v>
      </c>
      <c r="E82">
        <f t="shared" si="20"/>
        <v>4</v>
      </c>
      <c r="F82">
        <f t="shared" si="21"/>
        <v>399.02562010392967</v>
      </c>
      <c r="G82">
        <f t="shared" si="22"/>
        <v>27.902589497650119</v>
      </c>
      <c r="H82" s="11">
        <f t="shared" si="23"/>
        <v>31.303611432250086</v>
      </c>
      <c r="I82">
        <f t="shared" si="24"/>
        <v>18.936097924671873</v>
      </c>
      <c r="J82">
        <f t="shared" si="25"/>
        <v>3.0730943964171419E-3</v>
      </c>
      <c r="K82">
        <f t="shared" si="26"/>
        <v>0.67216213277465942</v>
      </c>
      <c r="L82" s="11">
        <f t="shared" si="27"/>
        <v>0.99849294797989929</v>
      </c>
      <c r="M82" s="11">
        <f t="shared" si="28"/>
        <v>0.99465757441234814</v>
      </c>
      <c r="N82">
        <f t="shared" si="29"/>
        <v>4.1170869653564283E-3</v>
      </c>
    </row>
    <row r="83" spans="1:14" x14ac:dyDescent="0.25">
      <c r="B83">
        <v>2</v>
      </c>
      <c r="C83">
        <v>0.48499999999999999</v>
      </c>
      <c r="D83">
        <f t="shared" si="19"/>
        <v>4.8499999999999997E-4</v>
      </c>
      <c r="E83">
        <f t="shared" si="20"/>
        <v>-354</v>
      </c>
      <c r="F83">
        <f t="shared" si="21"/>
        <v>397.80875814730933</v>
      </c>
      <c r="G83">
        <f t="shared" si="22"/>
        <v>41.811385307061364</v>
      </c>
      <c r="H83" s="11">
        <f t="shared" si="23"/>
        <v>31.209974555574608</v>
      </c>
      <c r="I83">
        <f t="shared" si="24"/>
        <v>18.889138084673675</v>
      </c>
      <c r="J83">
        <f t="shared" si="25"/>
        <v>3.0899772331666772E-3</v>
      </c>
      <c r="K83">
        <f t="shared" si="26"/>
        <v>0.40763971985220271</v>
      </c>
      <c r="L83" s="11">
        <f t="shared" si="27"/>
        <v>0.99848545105699049</v>
      </c>
      <c r="M83" s="11">
        <f t="shared" si="28"/>
        <v>0.99463104956208348</v>
      </c>
      <c r="N83">
        <f t="shared" si="29"/>
        <v>2.5105244690628906E-3</v>
      </c>
    </row>
    <row r="84" spans="1:14" x14ac:dyDescent="0.25">
      <c r="B84">
        <v>4</v>
      </c>
      <c r="C84">
        <v>3.5000000000000003E-2</v>
      </c>
      <c r="D84">
        <f t="shared" si="19"/>
        <v>3.5000000000000004E-5</v>
      </c>
      <c r="E84">
        <f t="shared" si="20"/>
        <v>-352</v>
      </c>
      <c r="F84">
        <f t="shared" si="21"/>
        <v>396.10722749662813</v>
      </c>
      <c r="G84">
        <f t="shared" si="22"/>
        <v>55.669240384026352</v>
      </c>
      <c r="H84" s="11">
        <f t="shared" si="23"/>
        <v>31.079024485048016</v>
      </c>
      <c r="I84">
        <f t="shared" si="24"/>
        <v>18.823394690120736</v>
      </c>
      <c r="J84">
        <f t="shared" si="25"/>
        <v>3.1138343723617233E-3</v>
      </c>
      <c r="K84">
        <f t="shared" si="26"/>
        <v>0.2010448904773533</v>
      </c>
      <c r="L84" s="11">
        <f t="shared" si="27"/>
        <v>0.99847486111049522</v>
      </c>
      <c r="M84" s="11">
        <f t="shared" si="28"/>
        <v>0.99459358215624838</v>
      </c>
      <c r="N84">
        <f t="shared" si="29"/>
        <v>1.2477016841670775E-3</v>
      </c>
    </row>
    <row r="85" spans="1:14" x14ac:dyDescent="0.25">
      <c r="H85" s="11"/>
      <c r="L85" s="11"/>
      <c r="M85" s="11"/>
    </row>
    <row r="86" spans="1:14" x14ac:dyDescent="0.25">
      <c r="A86" t="s">
        <v>82</v>
      </c>
      <c r="B86">
        <v>800</v>
      </c>
      <c r="H86" s="11"/>
      <c r="L86" s="11"/>
      <c r="M86" s="11"/>
    </row>
    <row r="87" spans="1:14" x14ac:dyDescent="0.25">
      <c r="A87" t="s">
        <v>78</v>
      </c>
      <c r="B87" t="s">
        <v>53</v>
      </c>
      <c r="C87" t="s">
        <v>55</v>
      </c>
      <c r="D87" t="s">
        <v>54</v>
      </c>
      <c r="E87" t="s">
        <v>64</v>
      </c>
      <c r="F87" t="s">
        <v>57</v>
      </c>
      <c r="G87" t="s">
        <v>56</v>
      </c>
      <c r="H87" s="11" t="s">
        <v>65</v>
      </c>
      <c r="I87" t="s">
        <v>66</v>
      </c>
      <c r="J87" t="s">
        <v>71</v>
      </c>
      <c r="K87" s="11" t="s">
        <v>72</v>
      </c>
      <c r="L87" s="11" t="s">
        <v>73</v>
      </c>
      <c r="M87" s="11" t="s">
        <v>74</v>
      </c>
      <c r="N87" t="s">
        <v>83</v>
      </c>
    </row>
    <row r="88" spans="1:14" x14ac:dyDescent="0.25">
      <c r="A88">
        <v>1</v>
      </c>
      <c r="B88">
        <v>347</v>
      </c>
      <c r="C88">
        <v>0.02</v>
      </c>
      <c r="D88">
        <f>C88/1000</f>
        <v>2.0000000000000002E-5</v>
      </c>
      <c r="E88">
        <f>B88-356</f>
        <v>-9</v>
      </c>
      <c r="F88">
        <f>$B$86*COS(RADIANS(E88))</f>
        <v>790.15067247611023</v>
      </c>
      <c r="G88">
        <f>$B$86*SIN(RADIANS(E88))</f>
        <v>-125.1475720321847</v>
      </c>
      <c r="H88" s="11">
        <f t="shared" si="23"/>
        <v>60.853581922331955</v>
      </c>
      <c r="I88">
        <f t="shared" si="24"/>
        <v>32.071035609077462</v>
      </c>
      <c r="J88">
        <f t="shared" si="25"/>
        <v>9.3338690821116927E-4</v>
      </c>
      <c r="K88">
        <f t="shared" si="26"/>
        <v>0.12067312629787182</v>
      </c>
      <c r="L88" s="11">
        <f t="shared" si="27"/>
        <v>0.99947435014795771</v>
      </c>
      <c r="M88" s="11">
        <f t="shared" si="28"/>
        <v>0.99813426171302844</v>
      </c>
      <c r="N88">
        <f t="shared" si="29"/>
        <v>2.2500007919418923E-4</v>
      </c>
    </row>
    <row r="89" spans="1:14" x14ac:dyDescent="0.25">
      <c r="A89">
        <v>2</v>
      </c>
      <c r="B89">
        <v>348</v>
      </c>
      <c r="C89">
        <v>0.215</v>
      </c>
      <c r="D89">
        <f t="shared" ref="D89:D102" si="30">C89/1000</f>
        <v>2.1499999999999999E-4</v>
      </c>
      <c r="E89">
        <f t="shared" ref="E89:E102" si="31">B89-356</f>
        <v>-8</v>
      </c>
      <c r="F89">
        <f t="shared" ref="F89:F102" si="32">$B$86*COS(RADIANS(E89))</f>
        <v>792.21445499325625</v>
      </c>
      <c r="G89">
        <f t="shared" ref="G89:G102" si="33">$B$86*SIN(RADIANS(E89))</f>
        <v>-111.33848076805235</v>
      </c>
      <c r="H89" s="11">
        <f t="shared" si="23"/>
        <v>61.006690511222928</v>
      </c>
      <c r="I89">
        <f t="shared" si="24"/>
        <v>32.132049775581649</v>
      </c>
      <c r="J89">
        <f t="shared" si="25"/>
        <v>9.2927646547665574E-4</v>
      </c>
      <c r="K89">
        <f t="shared" si="26"/>
        <v>0.18912435648811637</v>
      </c>
      <c r="L89" s="11">
        <f t="shared" si="27"/>
        <v>0.99947634399813534</v>
      </c>
      <c r="M89" s="11">
        <f t="shared" si="28"/>
        <v>0.99814133394343341</v>
      </c>
      <c r="N89">
        <f t="shared" si="29"/>
        <v>3.5107893679042524E-4</v>
      </c>
    </row>
    <row r="90" spans="1:14" x14ac:dyDescent="0.25">
      <c r="A90">
        <v>3</v>
      </c>
      <c r="B90">
        <v>349</v>
      </c>
      <c r="C90">
        <v>0.59499999999999997</v>
      </c>
      <c r="D90">
        <f t="shared" si="30"/>
        <v>5.9499999999999993E-4</v>
      </c>
      <c r="E90">
        <f t="shared" si="31"/>
        <v>-7</v>
      </c>
      <c r="F90">
        <f t="shared" si="32"/>
        <v>794.03692131305763</v>
      </c>
      <c r="G90">
        <f t="shared" si="33"/>
        <v>-97.495474724117983</v>
      </c>
      <c r="H90" s="11">
        <f t="shared" si="23"/>
        <v>61.14187237519247</v>
      </c>
      <c r="I90">
        <f t="shared" si="24"/>
        <v>32.185871247977595</v>
      </c>
      <c r="J90">
        <f t="shared" si="25"/>
        <v>9.2567137013753009E-4</v>
      </c>
      <c r="K90">
        <f t="shared" si="26"/>
        <v>0.28045577192272519</v>
      </c>
      <c r="L90" s="11">
        <f t="shared" si="27"/>
        <v>0.9994780934006795</v>
      </c>
      <c r="M90" s="11">
        <f t="shared" si="28"/>
        <v>0.99814753914236054</v>
      </c>
      <c r="N90">
        <f t="shared" si="29"/>
        <v>5.1860334806998285E-4</v>
      </c>
    </row>
    <row r="91" spans="1:14" x14ac:dyDescent="0.25">
      <c r="A91">
        <v>4</v>
      </c>
      <c r="B91">
        <v>350</v>
      </c>
      <c r="C91">
        <v>0.91500000000000004</v>
      </c>
      <c r="D91">
        <f t="shared" si="30"/>
        <v>9.1500000000000001E-4</v>
      </c>
      <c r="E91">
        <f t="shared" si="31"/>
        <v>-6</v>
      </c>
      <c r="F91">
        <f t="shared" si="32"/>
        <v>795.61751629461867</v>
      </c>
      <c r="G91">
        <f t="shared" si="33"/>
        <v>-83.622770614122771</v>
      </c>
      <c r="H91" s="11">
        <f t="shared" si="23"/>
        <v>61.259095248923316</v>
      </c>
      <c r="I91">
        <f t="shared" si="24"/>
        <v>32.232505513849176</v>
      </c>
      <c r="J91">
        <f t="shared" si="25"/>
        <v>9.2256333712808277E-4</v>
      </c>
      <c r="K91">
        <f t="shared" si="26"/>
        <v>0.39388196929753971</v>
      </c>
      <c r="L91" s="11">
        <f t="shared" si="27"/>
        <v>0.99947960211336273</v>
      </c>
      <c r="M91" s="11">
        <f t="shared" si="28"/>
        <v>0.99815289062723866</v>
      </c>
      <c r="N91">
        <f t="shared" si="29"/>
        <v>7.2590182075242017E-4</v>
      </c>
    </row>
    <row r="92" spans="1:14" x14ac:dyDescent="0.25">
      <c r="A92">
        <v>5</v>
      </c>
      <c r="B92">
        <v>351</v>
      </c>
      <c r="C92">
        <v>1.26</v>
      </c>
      <c r="D92">
        <f t="shared" si="30"/>
        <v>1.2600000000000001E-3</v>
      </c>
      <c r="E92">
        <f t="shared" si="31"/>
        <v>-5</v>
      </c>
      <c r="F92">
        <f t="shared" si="32"/>
        <v>796.95575847339649</v>
      </c>
      <c r="G92">
        <f t="shared" si="33"/>
        <v>-69.724594198126539</v>
      </c>
      <c r="H92" s="11">
        <f t="shared" si="23"/>
        <v>61.358331166781525</v>
      </c>
      <c r="I92">
        <f t="shared" si="24"/>
        <v>32.271957309892237</v>
      </c>
      <c r="J92">
        <f t="shared" si="25"/>
        <v>9.1994526862984648E-4</v>
      </c>
      <c r="K92">
        <f t="shared" si="26"/>
        <v>0.52432336720714057</v>
      </c>
      <c r="L92" s="11">
        <f t="shared" si="27"/>
        <v>0.9994808733567081</v>
      </c>
      <c r="M92" s="11">
        <f t="shared" si="28"/>
        <v>0.99815739981162965</v>
      </c>
      <c r="N92">
        <f t="shared" si="29"/>
        <v>9.63558425683265E-4</v>
      </c>
    </row>
    <row r="93" spans="1:14" x14ac:dyDescent="0.25">
      <c r="A93">
        <v>6</v>
      </c>
      <c r="B93">
        <v>352</v>
      </c>
      <c r="C93">
        <v>1.1100000000000001</v>
      </c>
      <c r="D93">
        <f t="shared" si="30"/>
        <v>1.1100000000000001E-3</v>
      </c>
      <c r="E93">
        <f t="shared" si="31"/>
        <v>-4</v>
      </c>
      <c r="F93">
        <f t="shared" si="32"/>
        <v>798.05124020785934</v>
      </c>
      <c r="G93">
        <f t="shared" si="33"/>
        <v>-55.805178995300238</v>
      </c>
      <c r="H93" s="11">
        <f t="shared" si="23"/>
        <v>61.439556463837384</v>
      </c>
      <c r="I93">
        <f t="shared" si="24"/>
        <v>32.304230630186588</v>
      </c>
      <c r="J93">
        <f t="shared" si="25"/>
        <v>9.1781121801151079E-4</v>
      </c>
      <c r="K93">
        <f t="shared" si="26"/>
        <v>0.66199387656383857</v>
      </c>
      <c r="L93" s="11">
        <f t="shared" si="27"/>
        <v>0.99948190982979801</v>
      </c>
      <c r="M93" s="11">
        <f t="shared" si="28"/>
        <v>0.99816107626119688</v>
      </c>
      <c r="N93">
        <f t="shared" si="29"/>
        <v>1.2137387250771971E-3</v>
      </c>
    </row>
    <row r="94" spans="1:14" x14ac:dyDescent="0.25">
      <c r="A94">
        <v>7</v>
      </c>
      <c r="B94">
        <v>353</v>
      </c>
      <c r="C94">
        <v>1.46</v>
      </c>
      <c r="D94">
        <f t="shared" si="30"/>
        <v>1.4599999999999999E-3</v>
      </c>
      <c r="E94">
        <f t="shared" si="31"/>
        <v>-3</v>
      </c>
      <c r="F94">
        <f t="shared" si="32"/>
        <v>798.90362780365911</v>
      </c>
      <c r="G94">
        <f t="shared" si="33"/>
        <v>-41.868764994355068</v>
      </c>
      <c r="H94" s="11">
        <f t="shared" si="23"/>
        <v>61.502751776721674</v>
      </c>
      <c r="I94">
        <f t="shared" si="24"/>
        <v>32.329328733165347</v>
      </c>
      <c r="J94">
        <f t="shared" si="25"/>
        <v>9.1615635983801605E-4</v>
      </c>
      <c r="K94">
        <f t="shared" si="26"/>
        <v>0.79316915658758624</v>
      </c>
      <c r="L94" s="11">
        <f t="shared" si="27"/>
        <v>0.99948271372342679</v>
      </c>
      <c r="M94" s="11">
        <f t="shared" si="28"/>
        <v>0.9981639277402713</v>
      </c>
      <c r="N94">
        <f t="shared" si="29"/>
        <v>1.4516238265597536E-3</v>
      </c>
    </row>
    <row r="95" spans="1:14" x14ac:dyDescent="0.25">
      <c r="A95">
        <v>8</v>
      </c>
      <c r="B95">
        <v>354</v>
      </c>
      <c r="C95">
        <v>2.31</v>
      </c>
      <c r="D95">
        <f t="shared" si="30"/>
        <v>2.31E-3</v>
      </c>
      <c r="E95">
        <f t="shared" si="31"/>
        <v>-2</v>
      </c>
      <c r="F95">
        <f t="shared" si="32"/>
        <v>799.51266161527656</v>
      </c>
      <c r="G95">
        <f t="shared" si="33"/>
        <v>-27.919597362000776</v>
      </c>
      <c r="H95" s="11">
        <f t="shared" si="23"/>
        <v>61.547902044320992</v>
      </c>
      <c r="I95">
        <f t="shared" si="24"/>
        <v>32.347254147296553</v>
      </c>
      <c r="J95">
        <f t="shared" si="25"/>
        <v>9.1497696568291185E-4</v>
      </c>
      <c r="K95">
        <f t="shared" si="26"/>
        <v>0.90222864298055216</v>
      </c>
      <c r="L95" s="11">
        <f t="shared" si="27"/>
        <v>0.99948328673071118</v>
      </c>
      <c r="M95" s="11">
        <f t="shared" si="28"/>
        <v>0.99816596024941728</v>
      </c>
      <c r="N95">
        <f t="shared" si="29"/>
        <v>1.649096262279984E-3</v>
      </c>
    </row>
    <row r="96" spans="1:14" x14ac:dyDescent="0.25">
      <c r="A96">
        <v>9</v>
      </c>
      <c r="B96">
        <v>355</v>
      </c>
      <c r="C96">
        <v>3.03</v>
      </c>
      <c r="D96">
        <f t="shared" si="30"/>
        <v>3.0299999999999997E-3</v>
      </c>
      <c r="E96">
        <f t="shared" si="31"/>
        <v>-1</v>
      </c>
      <c r="F96">
        <f t="shared" si="32"/>
        <v>799.87815612511304</v>
      </c>
      <c r="G96">
        <f t="shared" si="33"/>
        <v>-13.96192514982681</v>
      </c>
      <c r="H96" s="11">
        <f t="shared" si="23"/>
        <v>61.574996508315266</v>
      </c>
      <c r="I96">
        <f t="shared" si="24"/>
        <v>32.358008675489565</v>
      </c>
      <c r="J96">
        <f t="shared" si="25"/>
        <v>9.1427038553114381E-4</v>
      </c>
      <c r="K96">
        <f t="shared" si="26"/>
        <v>0.97462058704967436</v>
      </c>
      <c r="L96" s="11">
        <f t="shared" si="27"/>
        <v>0.99948363005525065</v>
      </c>
      <c r="M96" s="11">
        <f t="shared" si="28"/>
        <v>0.9981671780543242</v>
      </c>
      <c r="N96">
        <f t="shared" si="29"/>
        <v>1.7800401929778645E-3</v>
      </c>
    </row>
    <row r="97" spans="1:14" x14ac:dyDescent="0.25">
      <c r="A97">
        <v>10</v>
      </c>
      <c r="B97">
        <v>356</v>
      </c>
      <c r="C97">
        <v>3.26</v>
      </c>
      <c r="D97">
        <f t="shared" si="30"/>
        <v>3.2599999999999999E-3</v>
      </c>
      <c r="E97">
        <f t="shared" si="31"/>
        <v>0</v>
      </c>
      <c r="F97">
        <f t="shared" si="32"/>
        <v>800</v>
      </c>
      <c r="G97">
        <f t="shared" si="33"/>
        <v>0</v>
      </c>
      <c r="H97" s="11">
        <f t="shared" si="23"/>
        <v>61.584028713560073</v>
      </c>
      <c r="I97">
        <f t="shared" si="24"/>
        <v>32.36159339823562</v>
      </c>
      <c r="J97">
        <f t="shared" si="25"/>
        <v>9.1403503460965054E-4</v>
      </c>
      <c r="K97">
        <f t="shared" si="26"/>
        <v>1</v>
      </c>
      <c r="L97" s="11">
        <f t="shared" si="27"/>
        <v>0.99948374441690657</v>
      </c>
      <c r="M97" s="11">
        <f t="shared" si="28"/>
        <v>0.9981675837062689</v>
      </c>
      <c r="N97">
        <f t="shared" si="29"/>
        <v>1.8259233008390812E-3</v>
      </c>
    </row>
    <row r="98" spans="1:14" x14ac:dyDescent="0.25">
      <c r="A98">
        <v>11</v>
      </c>
      <c r="B98">
        <v>357</v>
      </c>
      <c r="C98">
        <v>2.95</v>
      </c>
      <c r="D98">
        <f t="shared" si="30"/>
        <v>2.9500000000000004E-3</v>
      </c>
      <c r="E98">
        <f t="shared" si="31"/>
        <v>1</v>
      </c>
      <c r="F98">
        <f t="shared" si="32"/>
        <v>799.87815612511304</v>
      </c>
      <c r="G98">
        <f t="shared" si="33"/>
        <v>13.96192514982681</v>
      </c>
      <c r="H98" s="11">
        <f t="shared" si="23"/>
        <v>61.574996508315266</v>
      </c>
      <c r="I98">
        <f t="shared" si="24"/>
        <v>32.358008675489565</v>
      </c>
      <c r="J98">
        <f t="shared" si="25"/>
        <v>9.1427038553114381E-4</v>
      </c>
      <c r="K98">
        <f t="shared" si="26"/>
        <v>0.97462058704967436</v>
      </c>
      <c r="L98" s="11">
        <f t="shared" si="27"/>
        <v>0.99948363005525065</v>
      </c>
      <c r="M98" s="11">
        <f t="shared" si="28"/>
        <v>0.9981671780543242</v>
      </c>
      <c r="N98">
        <f t="shared" si="29"/>
        <v>1.7800401929778645E-3</v>
      </c>
    </row>
    <row r="99" spans="1:14" x14ac:dyDescent="0.25">
      <c r="A99">
        <v>12</v>
      </c>
      <c r="B99">
        <v>358</v>
      </c>
      <c r="C99">
        <v>1.99</v>
      </c>
      <c r="D99">
        <f t="shared" si="30"/>
        <v>1.99E-3</v>
      </c>
      <c r="E99">
        <f t="shared" si="31"/>
        <v>2</v>
      </c>
      <c r="F99">
        <f t="shared" si="32"/>
        <v>799.51266161527656</v>
      </c>
      <c r="G99">
        <f t="shared" si="33"/>
        <v>27.919597362000776</v>
      </c>
      <c r="H99" s="11">
        <f t="shared" si="23"/>
        <v>61.547902044320992</v>
      </c>
      <c r="I99">
        <f t="shared" si="24"/>
        <v>32.347254147296553</v>
      </c>
      <c r="J99">
        <f t="shared" si="25"/>
        <v>9.1497696568291185E-4</v>
      </c>
      <c r="K99">
        <f t="shared" si="26"/>
        <v>0.90222864298055216</v>
      </c>
      <c r="L99" s="11">
        <f t="shared" si="27"/>
        <v>0.99948328673071118</v>
      </c>
      <c r="M99" s="11">
        <f t="shared" si="28"/>
        <v>0.99816596024941728</v>
      </c>
      <c r="N99">
        <f t="shared" si="29"/>
        <v>1.649096262279984E-3</v>
      </c>
    </row>
    <row r="100" spans="1:14" x14ac:dyDescent="0.25">
      <c r="A100">
        <v>13</v>
      </c>
      <c r="B100">
        <v>359</v>
      </c>
      <c r="C100">
        <v>0.95499999999999996</v>
      </c>
      <c r="D100">
        <f t="shared" si="30"/>
        <v>9.5500000000000001E-4</v>
      </c>
      <c r="E100">
        <f t="shared" si="31"/>
        <v>3</v>
      </c>
      <c r="F100">
        <f t="shared" si="32"/>
        <v>798.90362780365911</v>
      </c>
      <c r="G100">
        <f t="shared" si="33"/>
        <v>41.868764994355068</v>
      </c>
      <c r="H100" s="11">
        <f t="shared" si="23"/>
        <v>61.502751776721674</v>
      </c>
      <c r="I100">
        <f t="shared" si="24"/>
        <v>32.329328733165347</v>
      </c>
      <c r="J100">
        <f t="shared" si="25"/>
        <v>9.1615635983801605E-4</v>
      </c>
      <c r="K100">
        <f t="shared" si="26"/>
        <v>0.79316915658758624</v>
      </c>
      <c r="L100" s="11">
        <f t="shared" si="27"/>
        <v>0.99948271372342679</v>
      </c>
      <c r="M100" s="11">
        <f t="shared" si="28"/>
        <v>0.9981639277402713</v>
      </c>
      <c r="N100">
        <f t="shared" si="29"/>
        <v>1.4516238265597536E-3</v>
      </c>
    </row>
    <row r="101" spans="1:14" x14ac:dyDescent="0.25">
      <c r="A101">
        <v>14</v>
      </c>
      <c r="B101">
        <v>360</v>
      </c>
      <c r="C101">
        <v>0.28000000000000003</v>
      </c>
      <c r="D101">
        <f t="shared" si="30"/>
        <v>2.8000000000000003E-4</v>
      </c>
      <c r="E101">
        <f t="shared" si="31"/>
        <v>4</v>
      </c>
      <c r="F101">
        <f t="shared" si="32"/>
        <v>798.05124020785934</v>
      </c>
      <c r="G101">
        <f t="shared" si="33"/>
        <v>55.805178995300238</v>
      </c>
      <c r="H101" s="11">
        <f t="shared" si="23"/>
        <v>61.439556463837384</v>
      </c>
      <c r="I101">
        <f t="shared" si="24"/>
        <v>32.304230630186588</v>
      </c>
      <c r="J101">
        <f t="shared" si="25"/>
        <v>9.1781121801151079E-4</v>
      </c>
      <c r="K101">
        <f t="shared" si="26"/>
        <v>0.66199387656383857</v>
      </c>
      <c r="L101" s="11">
        <f t="shared" si="27"/>
        <v>0.99948190982979801</v>
      </c>
      <c r="M101" s="11">
        <f t="shared" si="28"/>
        <v>0.99816107626119688</v>
      </c>
      <c r="N101">
        <f t="shared" si="29"/>
        <v>1.2137387250771971E-3</v>
      </c>
    </row>
    <row r="102" spans="1:14" x14ac:dyDescent="0.25">
      <c r="A102">
        <v>15</v>
      </c>
      <c r="B102">
        <v>1</v>
      </c>
      <c r="C102">
        <v>7.4999999999999997E-2</v>
      </c>
      <c r="D102">
        <f t="shared" si="30"/>
        <v>7.4999999999999993E-5</v>
      </c>
      <c r="E102">
        <f t="shared" si="31"/>
        <v>-355</v>
      </c>
      <c r="F102">
        <f t="shared" si="32"/>
        <v>796.95575847339649</v>
      </c>
      <c r="G102">
        <f t="shared" si="33"/>
        <v>69.724594198126653</v>
      </c>
      <c r="H102" s="11">
        <f t="shared" si="23"/>
        <v>61.358331166781525</v>
      </c>
      <c r="I102">
        <f t="shared" si="24"/>
        <v>32.271957309892237</v>
      </c>
      <c r="J102">
        <f t="shared" si="25"/>
        <v>9.1994526862984648E-4</v>
      </c>
      <c r="K102">
        <f t="shared" si="26"/>
        <v>0.52432336720713946</v>
      </c>
      <c r="L102" s="11">
        <f t="shared" si="27"/>
        <v>0.9994808733567081</v>
      </c>
      <c r="M102" s="11">
        <f t="shared" si="28"/>
        <v>0.99815739981162965</v>
      </c>
      <c r="N102">
        <f t="shared" si="29"/>
        <v>9.6355842568326294E-4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"/>
  <sheetViews>
    <sheetView workbookViewId="0">
      <selection activeCell="H2" sqref="H2"/>
    </sheetView>
  </sheetViews>
  <sheetFormatPr defaultRowHeight="13.2" x14ac:dyDescent="0.25"/>
  <cols>
    <col min="1" max="1" width="18.44140625" bestFit="1" customWidth="1"/>
    <col min="2" max="2" width="23.88671875" customWidth="1"/>
    <col min="3" max="3" width="9.33203125" bestFit="1" customWidth="1"/>
    <col min="4" max="5" width="9.5546875" bestFit="1" customWidth="1"/>
    <col min="6" max="6" width="9.44140625" bestFit="1" customWidth="1"/>
    <col min="7" max="7" width="14.88671875" bestFit="1" customWidth="1"/>
  </cols>
  <sheetData>
    <row r="1" spans="1:8" x14ac:dyDescent="0.25">
      <c r="A1" s="11" t="s">
        <v>56</v>
      </c>
      <c r="B1" t="s">
        <v>84</v>
      </c>
      <c r="C1" s="11" t="s">
        <v>85</v>
      </c>
    </row>
    <row r="2" spans="1:8" x14ac:dyDescent="0.25">
      <c r="A2" s="11">
        <v>-17.101007166283434</v>
      </c>
      <c r="B2" s="11">
        <v>2.3000000000000001E-4</v>
      </c>
      <c r="C2" s="11">
        <v>9.2500300090978961E-6</v>
      </c>
      <c r="H2" s="11"/>
    </row>
    <row r="3" spans="1:8" x14ac:dyDescent="0.25">
      <c r="A3" s="11">
        <v>-15.450849718747369</v>
      </c>
      <c r="B3" s="11">
        <v>9.2500000000000004E-4</v>
      </c>
      <c r="C3" s="11">
        <v>7.4866972733639227E-5</v>
      </c>
      <c r="H3" s="11"/>
    </row>
    <row r="4" spans="1:8" x14ac:dyDescent="0.25">
      <c r="A4" s="11">
        <v>-13.781867790849958</v>
      </c>
      <c r="B4" s="11">
        <v>2.5499999999999997E-3</v>
      </c>
      <c r="C4" s="11">
        <v>4.5964187608456351E-4</v>
      </c>
      <c r="H4" s="11"/>
    </row>
    <row r="5" spans="1:8" x14ac:dyDescent="0.25">
      <c r="A5" s="11">
        <v>-12.096094779983387</v>
      </c>
      <c r="B5" s="11">
        <v>6.6299999999999996E-3</v>
      </c>
      <c r="C5" s="11">
        <v>2.184538392881108E-3</v>
      </c>
      <c r="H5" s="11"/>
    </row>
    <row r="6" spans="1:8" x14ac:dyDescent="0.25">
      <c r="A6" s="11">
        <v>-10.395584540887967</v>
      </c>
      <c r="B6" s="11">
        <v>1.5599999999999999E-2</v>
      </c>
      <c r="C6" s="11">
        <v>8.1748005325420828E-3</v>
      </c>
      <c r="H6" s="11"/>
    </row>
    <row r="7" spans="1:8" x14ac:dyDescent="0.25">
      <c r="A7" s="11">
        <v>-8.6824088833465165</v>
      </c>
      <c r="B7" s="11">
        <v>3.9299999999999995E-2</v>
      </c>
      <c r="C7" s="11">
        <v>2.442600572290517E-2</v>
      </c>
      <c r="H7" s="11"/>
    </row>
    <row r="8" spans="1:8" x14ac:dyDescent="0.25">
      <c r="A8" s="11">
        <v>-6.9586550480032718</v>
      </c>
      <c r="B8" s="11">
        <v>6.6500000000000004E-2</v>
      </c>
      <c r="C8" s="11">
        <v>5.8941363962834101E-2</v>
      </c>
      <c r="H8" s="11"/>
    </row>
    <row r="9" spans="1:8" x14ac:dyDescent="0.25">
      <c r="A9" s="11">
        <v>-5.2264231633826732</v>
      </c>
      <c r="B9" s="11">
        <v>0.13100000000000001</v>
      </c>
      <c r="C9" s="11">
        <v>0.11589906466693189</v>
      </c>
      <c r="H9" s="11"/>
    </row>
    <row r="10" spans="1:8" x14ac:dyDescent="0.25">
      <c r="A10" s="11">
        <v>-3.4878236872062649</v>
      </c>
      <c r="B10" s="11">
        <v>0.31</v>
      </c>
      <c r="C10" s="11">
        <v>0.18697419613274904</v>
      </c>
      <c r="H10" s="11"/>
    </row>
    <row r="11" spans="1:8" x14ac:dyDescent="0.25">
      <c r="A11" s="11">
        <v>-1.7449748351250485</v>
      </c>
      <c r="B11" s="11">
        <v>0.26700000000000002</v>
      </c>
      <c r="C11" s="11">
        <v>0.24865039384548865</v>
      </c>
      <c r="H11" s="11"/>
    </row>
    <row r="12" spans="1:8" x14ac:dyDescent="0.25">
      <c r="A12" s="11">
        <v>0</v>
      </c>
      <c r="B12" s="11">
        <v>0.27500000000000002</v>
      </c>
      <c r="C12" s="11">
        <v>0.27335282007571465</v>
      </c>
      <c r="H12" s="11"/>
    </row>
    <row r="13" spans="1:8" x14ac:dyDescent="0.25">
      <c r="A13" s="11">
        <v>1.7449748351250485</v>
      </c>
      <c r="B13" s="11">
        <v>0.255</v>
      </c>
      <c r="C13" s="11">
        <v>0.24865039384548865</v>
      </c>
      <c r="H13" s="11"/>
    </row>
    <row r="14" spans="1:8" x14ac:dyDescent="0.25">
      <c r="A14" s="11">
        <v>3.4878236872062649</v>
      </c>
      <c r="B14" s="11">
        <v>0.20100000000000001</v>
      </c>
      <c r="C14" s="11">
        <v>0.18697419613274904</v>
      </c>
      <c r="H14" s="11"/>
    </row>
    <row r="15" spans="1:8" x14ac:dyDescent="0.25">
      <c r="A15" s="11">
        <v>5.2264231633826705</v>
      </c>
      <c r="B15" s="11">
        <v>0.129</v>
      </c>
      <c r="C15" s="11">
        <v>0.11589906466693199</v>
      </c>
      <c r="H15" s="11"/>
    </row>
    <row r="16" spans="1:8" x14ac:dyDescent="0.25">
      <c r="A16" s="11">
        <v>6.958655048003294</v>
      </c>
      <c r="B16" s="11">
        <v>7.6200000000000004E-2</v>
      </c>
      <c r="C16" s="11">
        <v>5.8941363962833525E-2</v>
      </c>
      <c r="H16" s="11"/>
    </row>
    <row r="17" spans="1:8" x14ac:dyDescent="0.25">
      <c r="A17" s="11">
        <v>8.6824088833465201</v>
      </c>
      <c r="B17" s="11">
        <v>3.56E-2</v>
      </c>
      <c r="C17" s="11">
        <v>2.4426005722905104E-2</v>
      </c>
      <c r="H17" s="11"/>
    </row>
    <row r="18" spans="1:8" x14ac:dyDescent="0.25">
      <c r="A18" s="11">
        <v>10.395584540887993</v>
      </c>
      <c r="B18" s="11">
        <v>1.06E-2</v>
      </c>
      <c r="C18" s="11">
        <v>8.1748005325419319E-3</v>
      </c>
      <c r="H18" s="11"/>
    </row>
    <row r="19" spans="1:8" x14ac:dyDescent="0.25">
      <c r="A19" s="11">
        <v>12.096094779983394</v>
      </c>
      <c r="B19" s="11">
        <v>1.3600000000000001E-3</v>
      </c>
      <c r="C19" s="11">
        <v>2.1845383928810959E-3</v>
      </c>
      <c r="H19" s="11"/>
    </row>
    <row r="20" spans="1:8" x14ac:dyDescent="0.25">
      <c r="A20" s="11">
        <v>13.781867790849947</v>
      </c>
      <c r="B20" s="11">
        <v>1.1E-4</v>
      </c>
      <c r="C20" s="11">
        <v>4.5964187608456747E-4</v>
      </c>
      <c r="H20" s="11"/>
    </row>
    <row r="21" spans="1:8" x14ac:dyDescent="0.25">
      <c r="A21" s="11">
        <v>15.450849718747381</v>
      </c>
      <c r="B21" s="11">
        <v>2.5000000000000001E-5</v>
      </c>
      <c r="C21" s="11">
        <v>7.486697273363817E-5</v>
      </c>
      <c r="H21" s="11"/>
    </row>
    <row r="22" spans="1:8" x14ac:dyDescent="0.25">
      <c r="A22" s="11">
        <v>17.101007166283431</v>
      </c>
      <c r="B22" s="11">
        <v>4.4999999999999996E-5</v>
      </c>
      <c r="C22" s="11">
        <v>9.2500300090979283E-6</v>
      </c>
      <c r="H22" s="11"/>
    </row>
    <row r="23" spans="1:8" x14ac:dyDescent="0.25">
      <c r="A23" s="11"/>
      <c r="B23" s="11"/>
      <c r="C23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"/>
  <sheetViews>
    <sheetView workbookViewId="0">
      <selection sqref="A1:C17"/>
    </sheetView>
  </sheetViews>
  <sheetFormatPr defaultRowHeight="13.2" x14ac:dyDescent="0.25"/>
  <cols>
    <col min="1" max="1" width="12.6640625" bestFit="1" customWidth="1"/>
    <col min="2" max="2" width="18.44140625" bestFit="1" customWidth="1"/>
    <col min="3" max="3" width="10.33203125" bestFit="1" customWidth="1"/>
  </cols>
  <sheetData>
    <row r="1" spans="1:4" x14ac:dyDescent="0.25">
      <c r="A1" s="11" t="s">
        <v>56</v>
      </c>
      <c r="B1" s="11" t="s">
        <v>54</v>
      </c>
      <c r="C1" s="11" t="s">
        <v>76</v>
      </c>
      <c r="D1" s="11"/>
    </row>
    <row r="2" spans="1:4" x14ac:dyDescent="0.25">
      <c r="A2" s="11">
        <v>-27.563735581699916</v>
      </c>
      <c r="B2" s="11">
        <v>2.5000000000000001E-5</v>
      </c>
      <c r="C2" s="11">
        <v>1.2913672173083402E-4</v>
      </c>
      <c r="D2" s="11"/>
    </row>
    <row r="3" spans="1:4" x14ac:dyDescent="0.25">
      <c r="A3" s="11">
        <v>-24.192189559966774</v>
      </c>
      <c r="B3" s="11">
        <v>3.8000000000000002E-4</v>
      </c>
      <c r="C3" s="11">
        <v>6.1721529581145471E-4</v>
      </c>
      <c r="D3" s="11"/>
    </row>
    <row r="4" spans="1:4" x14ac:dyDescent="0.25">
      <c r="A4" s="11">
        <v>-20.791169081775934</v>
      </c>
      <c r="B4" s="11">
        <v>2.3900000000000002E-3</v>
      </c>
      <c r="C4" s="11">
        <v>2.3209953630672631E-3</v>
      </c>
      <c r="D4" s="11"/>
    </row>
    <row r="5" spans="1:4" x14ac:dyDescent="0.25">
      <c r="A5" s="11">
        <v>-17.364817766693033</v>
      </c>
      <c r="B5" s="11">
        <v>8.6999999999999994E-3</v>
      </c>
      <c r="C5" s="11">
        <v>6.9637497569520288E-3</v>
      </c>
      <c r="D5" s="11"/>
    </row>
    <row r="6" spans="1:4" x14ac:dyDescent="0.25">
      <c r="A6" s="11">
        <v>-13.917310096006544</v>
      </c>
      <c r="B6" s="11">
        <v>2.2499999999999999E-2</v>
      </c>
      <c r="C6" s="11">
        <v>1.6860798336058535E-2</v>
      </c>
      <c r="D6" s="11"/>
    </row>
    <row r="7" spans="1:4" x14ac:dyDescent="0.25">
      <c r="A7" s="11">
        <v>-10.452846326765346</v>
      </c>
      <c r="B7" s="11">
        <v>4.1000000000000002E-2</v>
      </c>
      <c r="C7" s="11">
        <v>3.3241371409562695E-2</v>
      </c>
      <c r="D7" s="11"/>
    </row>
    <row r="8" spans="1:4" x14ac:dyDescent="0.25">
      <c r="A8" s="11">
        <v>-6.9756473744125298</v>
      </c>
      <c r="B8" s="11">
        <v>6.59E-2</v>
      </c>
      <c r="C8" s="11">
        <v>5.3727376420339285E-2</v>
      </c>
      <c r="D8" s="11"/>
    </row>
    <row r="9" spans="1:4" x14ac:dyDescent="0.25">
      <c r="A9" s="11">
        <v>-3.4899496702500969</v>
      </c>
      <c r="B9" s="11">
        <v>9.1700000000000004E-2</v>
      </c>
      <c r="C9" s="11">
        <v>7.1530630683017252E-2</v>
      </c>
      <c r="D9" s="11"/>
    </row>
    <row r="10" spans="1:4" x14ac:dyDescent="0.25">
      <c r="A10" s="11">
        <v>0</v>
      </c>
      <c r="B10" s="11">
        <v>9.6599999999999991E-2</v>
      </c>
      <c r="C10" s="11">
        <v>7.8666429242501432E-2</v>
      </c>
      <c r="D10" s="11"/>
    </row>
    <row r="11" spans="1:4" x14ac:dyDescent="0.25">
      <c r="A11" s="11">
        <v>3.4899496702500969</v>
      </c>
      <c r="B11" s="11">
        <v>9.1499999999999998E-2</v>
      </c>
      <c r="C11" s="11">
        <v>7.1530630683017252E-2</v>
      </c>
      <c r="D11" s="11"/>
    </row>
    <row r="12" spans="1:4" x14ac:dyDescent="0.25">
      <c r="A12" s="11">
        <v>6.9756473744125298</v>
      </c>
      <c r="B12" s="11">
        <v>6.6299999999999998E-2</v>
      </c>
      <c r="C12" s="11">
        <v>5.3727376420339285E-2</v>
      </c>
      <c r="D12" s="11"/>
    </row>
    <row r="13" spans="1:4" x14ac:dyDescent="0.25">
      <c r="A13" s="11">
        <v>10.452846326765341</v>
      </c>
      <c r="B13" s="11">
        <v>3.4700000000000002E-2</v>
      </c>
      <c r="C13" s="11">
        <v>3.3241371409562723E-2</v>
      </c>
      <c r="D13" s="11"/>
    </row>
    <row r="14" spans="1:4" x14ac:dyDescent="0.25">
      <c r="A14" s="11">
        <v>13.917310096006588</v>
      </c>
      <c r="B14" s="11">
        <v>1.2E-2</v>
      </c>
      <c r="C14" s="11">
        <v>1.6860798336058368E-2</v>
      </c>
      <c r="D14" s="11"/>
    </row>
    <row r="15" spans="1:4" x14ac:dyDescent="0.25">
      <c r="A15" s="11">
        <v>17.36481776669304</v>
      </c>
      <c r="B15" s="11">
        <v>1.83E-3</v>
      </c>
      <c r="C15" s="11">
        <v>6.9637497569520132E-3</v>
      </c>
      <c r="D15" s="11"/>
    </row>
    <row r="16" spans="1:4" x14ac:dyDescent="0.25">
      <c r="A16" s="11">
        <v>20.791169081775987</v>
      </c>
      <c r="B16" s="11">
        <v>4.15E-4</v>
      </c>
      <c r="C16" s="11">
        <v>2.3209953630672184E-3</v>
      </c>
      <c r="D16" s="11"/>
    </row>
    <row r="17" spans="1:4" x14ac:dyDescent="0.25">
      <c r="A17" s="11">
        <v>24.192189559966788</v>
      </c>
      <c r="B17" s="11">
        <v>8.5000000000000006E-5</v>
      </c>
      <c r="C17" s="11">
        <v>6.1721529581145135E-4</v>
      </c>
      <c r="D17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>
      <selection activeCell="F25" sqref="F25"/>
    </sheetView>
  </sheetViews>
  <sheetFormatPr defaultRowHeight="13.2" x14ac:dyDescent="0.25"/>
  <cols>
    <col min="1" max="1" width="9.5546875" bestFit="1" customWidth="1"/>
    <col min="2" max="2" width="18.44140625" bestFit="1" customWidth="1"/>
    <col min="3" max="3" width="10.33203125" bestFit="1" customWidth="1"/>
  </cols>
  <sheetData>
    <row r="1" spans="1:3" x14ac:dyDescent="0.25">
      <c r="A1" s="11" t="s">
        <v>56</v>
      </c>
      <c r="B1" s="11" t="s">
        <v>54</v>
      </c>
      <c r="C1" s="11" t="s">
        <v>79</v>
      </c>
    </row>
    <row r="2" spans="1:3" x14ac:dyDescent="0.25">
      <c r="A2" s="11">
        <v>-41.582338163551867</v>
      </c>
      <c r="B2" s="11">
        <v>4.0000000000000003E-5</v>
      </c>
      <c r="C2" s="11">
        <v>6.1592834612018066E-4</v>
      </c>
    </row>
    <row r="3" spans="1:3" x14ac:dyDescent="0.25">
      <c r="A3" s="11">
        <v>-34.729635533386066</v>
      </c>
      <c r="B3" s="11">
        <v>9.7499999999999996E-4</v>
      </c>
      <c r="C3" s="11">
        <v>1.8676817205738848E-3</v>
      </c>
    </row>
    <row r="4" spans="1:3" x14ac:dyDescent="0.25">
      <c r="A4" s="11">
        <v>-27.834620192013087</v>
      </c>
      <c r="B4" s="11">
        <v>5.2900000000000004E-3</v>
      </c>
      <c r="C4" s="11">
        <v>4.5613229536261351E-3</v>
      </c>
    </row>
    <row r="5" spans="1:3" x14ac:dyDescent="0.25">
      <c r="A5" s="11">
        <v>-20.905692653530693</v>
      </c>
      <c r="B5" s="11">
        <v>1.1599999999999999E-2</v>
      </c>
      <c r="C5" s="11">
        <v>9.0532013976692503E-3</v>
      </c>
    </row>
    <row r="6" spans="1:3" x14ac:dyDescent="0.25">
      <c r="A6" s="11">
        <v>-13.95129474882506</v>
      </c>
      <c r="B6" s="11">
        <v>1.9100000000000002E-2</v>
      </c>
      <c r="C6" s="11">
        <v>1.4702574947673101E-2</v>
      </c>
    </row>
    <row r="7" spans="1:3" x14ac:dyDescent="0.25">
      <c r="A7" s="11">
        <v>-6.9798993405001939</v>
      </c>
      <c r="B7" s="11">
        <v>2.7100000000000003E-2</v>
      </c>
      <c r="C7" s="11">
        <v>1.9630563625326357E-2</v>
      </c>
    </row>
    <row r="8" spans="1:3" x14ac:dyDescent="0.25">
      <c r="A8" s="11">
        <v>0</v>
      </c>
      <c r="B8" s="11">
        <v>2.9600000000000001E-2</v>
      </c>
      <c r="C8" s="11">
        <v>2.1609472992055411E-2</v>
      </c>
    </row>
    <row r="9" spans="1:3" x14ac:dyDescent="0.25">
      <c r="A9" s="11">
        <v>6.9798993405001939</v>
      </c>
      <c r="B9" s="11">
        <v>2.7600000000000003E-2</v>
      </c>
      <c r="C9" s="11">
        <v>1.9630563625326357E-2</v>
      </c>
    </row>
    <row r="10" spans="1:3" x14ac:dyDescent="0.25">
      <c r="A10" s="11">
        <v>13.95129474882506</v>
      </c>
      <c r="B10" s="11">
        <v>1.7100000000000001E-2</v>
      </c>
      <c r="C10" s="11">
        <v>1.4702574947673101E-2</v>
      </c>
    </row>
    <row r="11" spans="1:3" x14ac:dyDescent="0.25">
      <c r="A11" s="11">
        <v>20.905692653530682</v>
      </c>
      <c r="B11" s="11">
        <v>4.9800000000000001E-3</v>
      </c>
      <c r="C11" s="11">
        <v>9.0532013976692589E-3</v>
      </c>
    </row>
    <row r="12" spans="1:3" x14ac:dyDescent="0.25">
      <c r="A12" s="11">
        <v>27.834620192013176</v>
      </c>
      <c r="B12" s="11">
        <v>1.5100000000000001E-3</v>
      </c>
      <c r="C12" s="11">
        <v>4.5613229536260892E-3</v>
      </c>
    </row>
    <row r="13" spans="1:3" x14ac:dyDescent="0.25">
      <c r="A13" s="11">
        <v>34.72963553338608</v>
      </c>
      <c r="B13" s="11">
        <v>1.4000000000000001E-4</v>
      </c>
      <c r="C13" s="11">
        <v>1.8676817205738794E-3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E24" sqref="E24"/>
    </sheetView>
  </sheetViews>
  <sheetFormatPr defaultRowHeight="13.2" x14ac:dyDescent="0.25"/>
  <cols>
    <col min="1" max="1" width="9.5546875" bestFit="1" customWidth="1"/>
    <col min="2" max="2" width="18.44140625" bestFit="1" customWidth="1"/>
    <col min="3" max="3" width="10.33203125" bestFit="1" customWidth="1"/>
  </cols>
  <sheetData>
    <row r="1" spans="1:3" x14ac:dyDescent="0.25">
      <c r="A1" t="s">
        <v>56</v>
      </c>
      <c r="B1" t="s">
        <v>54</v>
      </c>
      <c r="C1" t="s">
        <v>81</v>
      </c>
    </row>
    <row r="2" spans="1:3" x14ac:dyDescent="0.25">
      <c r="A2" s="11">
        <v>-69.459271066772132</v>
      </c>
      <c r="B2" s="11">
        <v>9.5000000000000005E-5</v>
      </c>
      <c r="C2" s="11">
        <v>5.019470885073271E-4</v>
      </c>
    </row>
    <row r="3" spans="1:3" x14ac:dyDescent="0.25">
      <c r="A3" s="11">
        <v>-55.669240384026175</v>
      </c>
      <c r="B3" s="11">
        <v>1.1100000000000001E-3</v>
      </c>
      <c r="C3" s="11">
        <v>1.2477016841670899E-3</v>
      </c>
    </row>
    <row r="4" spans="1:3" x14ac:dyDescent="0.25">
      <c r="A4" s="11">
        <v>-41.811385307061386</v>
      </c>
      <c r="B4" s="11">
        <v>3.2200000000000002E-3</v>
      </c>
      <c r="C4" s="11">
        <v>2.5105244690628884E-3</v>
      </c>
    </row>
    <row r="5" spans="1:3" x14ac:dyDescent="0.25">
      <c r="A5" s="11">
        <v>-27.902589497650119</v>
      </c>
      <c r="B5" s="11">
        <v>4.7199999999999994E-3</v>
      </c>
      <c r="C5" s="11">
        <v>4.1170869653564283E-3</v>
      </c>
    </row>
    <row r="6" spans="1:3" x14ac:dyDescent="0.25">
      <c r="A6" s="11">
        <v>-13.959798681000388</v>
      </c>
      <c r="B6" s="11">
        <v>8.369999999999999E-3</v>
      </c>
      <c r="C6" s="11">
        <v>5.5292470746900095E-3</v>
      </c>
    </row>
    <row r="7" spans="1:3" x14ac:dyDescent="0.25">
      <c r="A7" s="11">
        <v>0</v>
      </c>
      <c r="B7" s="11">
        <v>9.0299999999999998E-3</v>
      </c>
      <c r="C7" s="11">
        <v>6.0984892883826037E-3</v>
      </c>
    </row>
    <row r="8" spans="1:3" x14ac:dyDescent="0.25">
      <c r="A8" s="11">
        <v>13.959798681000388</v>
      </c>
      <c r="B8" s="11">
        <v>8.43E-3</v>
      </c>
      <c r="C8" s="11">
        <v>5.5292470746900095E-3</v>
      </c>
    </row>
    <row r="9" spans="1:3" x14ac:dyDescent="0.25">
      <c r="A9" s="11">
        <v>27.902589497650119</v>
      </c>
      <c r="B9" s="11">
        <v>2.1800000000000001E-3</v>
      </c>
      <c r="C9" s="11">
        <v>4.1170869653564283E-3</v>
      </c>
    </row>
    <row r="10" spans="1:3" x14ac:dyDescent="0.25">
      <c r="A10" s="11">
        <v>41.811385307061364</v>
      </c>
      <c r="B10" s="11">
        <v>4.8499999999999997E-4</v>
      </c>
      <c r="C10" s="11">
        <v>2.5105244690628906E-3</v>
      </c>
    </row>
    <row r="11" spans="1:3" x14ac:dyDescent="0.25">
      <c r="A11" s="11">
        <v>55.669240384026352</v>
      </c>
      <c r="B11" s="11">
        <v>3.5000000000000004E-5</v>
      </c>
      <c r="C11" s="11">
        <v>1.2477016841670775E-3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6"/>
  <sheetViews>
    <sheetView workbookViewId="0">
      <selection sqref="A1:C16"/>
    </sheetView>
  </sheetViews>
  <sheetFormatPr defaultRowHeight="13.2" x14ac:dyDescent="0.25"/>
  <cols>
    <col min="1" max="1" width="9.5546875" bestFit="1" customWidth="1"/>
    <col min="2" max="2" width="18.44140625" bestFit="1" customWidth="1"/>
    <col min="3" max="3" width="10.33203125" bestFit="1" customWidth="1"/>
  </cols>
  <sheetData>
    <row r="1" spans="1:3" x14ac:dyDescent="0.25">
      <c r="A1" t="s">
        <v>56</v>
      </c>
      <c r="B1" t="s">
        <v>54</v>
      </c>
      <c r="C1" t="s">
        <v>83</v>
      </c>
    </row>
    <row r="2" spans="1:3" x14ac:dyDescent="0.25">
      <c r="A2" s="11">
        <v>-125.1475720321847</v>
      </c>
      <c r="B2" s="11">
        <v>2.0000000000000002E-5</v>
      </c>
      <c r="C2" s="11">
        <v>2.2500007919418923E-4</v>
      </c>
    </row>
    <row r="3" spans="1:3" x14ac:dyDescent="0.25">
      <c r="A3" s="11">
        <v>-111.33848076805235</v>
      </c>
      <c r="B3" s="11">
        <v>2.1499999999999999E-4</v>
      </c>
      <c r="C3" s="11">
        <v>3.5107893679042524E-4</v>
      </c>
    </row>
    <row r="4" spans="1:3" x14ac:dyDescent="0.25">
      <c r="A4" s="11">
        <v>-97.495474724117983</v>
      </c>
      <c r="B4" s="11">
        <v>5.9499999999999993E-4</v>
      </c>
      <c r="C4" s="11">
        <v>5.1860334806998285E-4</v>
      </c>
    </row>
    <row r="5" spans="1:3" x14ac:dyDescent="0.25">
      <c r="A5" s="11">
        <v>-83.622770614122771</v>
      </c>
      <c r="B5" s="11">
        <v>9.1500000000000001E-4</v>
      </c>
      <c r="C5" s="11">
        <v>7.2590182075242017E-4</v>
      </c>
    </row>
    <row r="6" spans="1:3" x14ac:dyDescent="0.25">
      <c r="A6" s="11">
        <v>-69.724594198126539</v>
      </c>
      <c r="B6" s="11">
        <v>1.2600000000000001E-3</v>
      </c>
      <c r="C6" s="11">
        <v>9.63558425683265E-4</v>
      </c>
    </row>
    <row r="7" spans="1:3" x14ac:dyDescent="0.25">
      <c r="A7" s="11">
        <v>-55.805178995300238</v>
      </c>
      <c r="B7" s="11">
        <v>1.1100000000000001E-3</v>
      </c>
      <c r="C7" s="11">
        <v>1.2137387250771971E-3</v>
      </c>
    </row>
    <row r="8" spans="1:3" x14ac:dyDescent="0.25">
      <c r="A8" s="11">
        <v>-41.868764994355068</v>
      </c>
      <c r="B8" s="11">
        <v>1.4599999999999999E-3</v>
      </c>
      <c r="C8" s="11">
        <v>1.4516238265597536E-3</v>
      </c>
    </row>
    <row r="9" spans="1:3" x14ac:dyDescent="0.25">
      <c r="A9" s="11">
        <v>-27.919597362000776</v>
      </c>
      <c r="B9" s="11">
        <v>2.31E-3</v>
      </c>
      <c r="C9" s="11">
        <v>1.649096262279984E-3</v>
      </c>
    </row>
    <row r="10" spans="1:3" x14ac:dyDescent="0.25">
      <c r="A10" s="11">
        <v>-13.96192514982681</v>
      </c>
      <c r="B10" s="11">
        <v>3.0299999999999997E-3</v>
      </c>
      <c r="C10" s="11">
        <v>1.7800401929778645E-3</v>
      </c>
    </row>
    <row r="11" spans="1:3" x14ac:dyDescent="0.25">
      <c r="A11" s="11">
        <v>0</v>
      </c>
      <c r="B11" s="11">
        <v>3.2599999999999999E-3</v>
      </c>
      <c r="C11" s="11">
        <v>1.8259233008390812E-3</v>
      </c>
    </row>
    <row r="12" spans="1:3" x14ac:dyDescent="0.25">
      <c r="A12" s="11">
        <v>13.96192514982681</v>
      </c>
      <c r="B12" s="11">
        <v>2.9500000000000004E-3</v>
      </c>
      <c r="C12" s="11">
        <v>1.7800401929778645E-3</v>
      </c>
    </row>
    <row r="13" spans="1:3" x14ac:dyDescent="0.25">
      <c r="A13" s="11">
        <v>27.919597362000776</v>
      </c>
      <c r="B13" s="11">
        <v>1.99E-3</v>
      </c>
      <c r="C13" s="11">
        <v>1.649096262279984E-3</v>
      </c>
    </row>
    <row r="14" spans="1:3" x14ac:dyDescent="0.25">
      <c r="A14" s="11">
        <v>41.868764994355068</v>
      </c>
      <c r="B14" s="11">
        <v>9.5500000000000001E-4</v>
      </c>
      <c r="C14" s="11">
        <v>1.4516238265597536E-3</v>
      </c>
    </row>
    <row r="15" spans="1:3" x14ac:dyDescent="0.25">
      <c r="A15" s="11">
        <v>55.805178995300238</v>
      </c>
      <c r="B15" s="11">
        <v>2.8000000000000003E-4</v>
      </c>
      <c r="C15" s="11">
        <v>1.2137387250771971E-3</v>
      </c>
    </row>
    <row r="16" spans="1:3" x14ac:dyDescent="0.25">
      <c r="A16" s="11">
        <v>69.724594198126653</v>
      </c>
      <c r="B16" s="11">
        <v>7.4999999999999993E-5</v>
      </c>
      <c r="C16" s="11">
        <v>9.6355842568326294E-4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5"/>
  <sheetViews>
    <sheetView tabSelected="1" topLeftCell="A59" zoomScale="89" workbookViewId="0">
      <selection activeCell="L81" sqref="L81:L85"/>
    </sheetView>
  </sheetViews>
  <sheetFormatPr defaultRowHeight="13.2" x14ac:dyDescent="0.25"/>
  <cols>
    <col min="1" max="1" width="9.6640625" style="11" bestFit="1" customWidth="1"/>
    <col min="2" max="2" width="18.5546875" style="11" bestFit="1" customWidth="1"/>
    <col min="3" max="3" width="12.6640625" style="11" bestFit="1" customWidth="1"/>
    <col min="4" max="5" width="11.109375" style="11" bestFit="1" customWidth="1"/>
    <col min="6" max="6" width="12.6640625" style="11" bestFit="1" customWidth="1"/>
    <col min="7" max="7" width="15" style="11" bestFit="1" customWidth="1"/>
    <col min="8" max="9" width="9" style="11" bestFit="1" customWidth="1"/>
    <col min="10" max="11" width="8.88671875" style="11"/>
    <col min="12" max="12" width="9.21875" style="11" bestFit="1" customWidth="1"/>
    <col min="13" max="16384" width="8.88671875" style="11"/>
  </cols>
  <sheetData>
    <row r="1" spans="1:12" x14ac:dyDescent="0.25">
      <c r="A1" s="11" t="s">
        <v>91</v>
      </c>
    </row>
    <row r="2" spans="1:12" x14ac:dyDescent="0.25">
      <c r="A2" s="11" t="s">
        <v>56</v>
      </c>
      <c r="B2" s="11" t="s">
        <v>84</v>
      </c>
      <c r="C2" s="11" t="s">
        <v>85</v>
      </c>
      <c r="D2" s="11" t="s">
        <v>86</v>
      </c>
      <c r="E2" s="11" t="s">
        <v>87</v>
      </c>
      <c r="F2" s="11" t="s">
        <v>88</v>
      </c>
      <c r="G2" s="11" t="s">
        <v>89</v>
      </c>
      <c r="H2" s="11" t="s">
        <v>90</v>
      </c>
      <c r="I2" s="11" t="s">
        <v>100</v>
      </c>
    </row>
    <row r="3" spans="1:12" x14ac:dyDescent="0.25">
      <c r="A3" s="11">
        <v>-17.101007166283434</v>
      </c>
      <c r="B3" s="11">
        <v>2.3000000000000001E-4</v>
      </c>
      <c r="C3" s="11">
        <v>9.2500300090978961E-6</v>
      </c>
      <c r="D3" s="11">
        <f>LN(B3)</f>
        <v>-8.3774312490410789</v>
      </c>
      <c r="E3" s="11">
        <f>LN(C3)</f>
        <v>-11.590883762218404</v>
      </c>
      <c r="F3" s="11">
        <f>(C3-B3)^2</f>
        <v>4.8730549250984187E-8</v>
      </c>
      <c r="G3" s="11">
        <f>(E3-D3)^2</f>
        <v>10.326277054445665</v>
      </c>
      <c r="H3" s="11">
        <f>C3/B3</f>
        <v>4.0217521778686503E-2</v>
      </c>
      <c r="I3" s="11">
        <f>IF(AND(C3 &gt;= 0.5 * B3, C3 &lt;= 2 * B3), 1, 0)</f>
        <v>0</v>
      </c>
      <c r="K3" s="11" t="s">
        <v>96</v>
      </c>
      <c r="L3" s="11">
        <f>(C25-B25)/(0.5*(C25+B25))</f>
        <v>-0.15270773126308743</v>
      </c>
    </row>
    <row r="4" spans="1:12" x14ac:dyDescent="0.25">
      <c r="A4" s="11">
        <v>-15.450849718747369</v>
      </c>
      <c r="B4" s="11">
        <v>9.2500000000000004E-4</v>
      </c>
      <c r="C4" s="11">
        <v>7.4866972733639227E-5</v>
      </c>
      <c r="D4" s="11">
        <f t="shared" ref="D4:E23" si="0">LN(B4)</f>
        <v>-6.9857168204518487</v>
      </c>
      <c r="E4" s="11">
        <f t="shared" si="0"/>
        <v>-9.4997977161755891</v>
      </c>
      <c r="F4" s="11">
        <f t="shared" ref="F4:F23" si="1">(C4-B4)^2</f>
        <v>7.2272616404906695E-7</v>
      </c>
      <c r="G4" s="11">
        <f t="shared" ref="G4:G23" si="2">(E4-D4)^2</f>
        <v>6.3206027502430846</v>
      </c>
      <c r="H4" s="11">
        <f t="shared" ref="H4:H23" si="3">C4/B4</f>
        <v>8.093726782015051E-2</v>
      </c>
      <c r="I4" s="11">
        <f t="shared" ref="I4:I23" si="4">IF(AND(C4 &gt;= 0.5 * B4, C4 &lt;= 2 * B4), 1, 0)</f>
        <v>0</v>
      </c>
      <c r="K4" s="11" t="s">
        <v>97</v>
      </c>
      <c r="L4" s="11">
        <f>EXP(E25-D25)</f>
        <v>0.61589836865974368</v>
      </c>
    </row>
    <row r="5" spans="1:12" x14ac:dyDescent="0.25">
      <c r="A5" s="11">
        <v>-13.781867790849958</v>
      </c>
      <c r="B5" s="11">
        <v>2.5499999999999997E-3</v>
      </c>
      <c r="C5" s="11">
        <v>4.5964187608456351E-4</v>
      </c>
      <c r="D5" s="11">
        <f t="shared" si="0"/>
        <v>-5.9716619198118019</v>
      </c>
      <c r="E5" s="11">
        <f t="shared" si="0"/>
        <v>-7.6850629019441419</v>
      </c>
      <c r="F5" s="11">
        <f t="shared" si="1"/>
        <v>4.3695970862192615E-6</v>
      </c>
      <c r="G5" s="11">
        <f t="shared" si="2"/>
        <v>2.9357429255720673</v>
      </c>
      <c r="H5" s="11">
        <f t="shared" si="3"/>
        <v>0.18025171611159355</v>
      </c>
      <c r="I5" s="11">
        <f t="shared" si="4"/>
        <v>0</v>
      </c>
      <c r="K5" s="11" t="s">
        <v>98</v>
      </c>
      <c r="L5" s="11">
        <f>F25/(B25*C25)</f>
        <v>0.12434904164994896</v>
      </c>
    </row>
    <row r="6" spans="1:12" x14ac:dyDescent="0.25">
      <c r="A6" s="11">
        <v>-12.096094779983387</v>
      </c>
      <c r="B6" s="11">
        <v>6.6299999999999996E-3</v>
      </c>
      <c r="C6" s="11">
        <v>2.184538392881108E-3</v>
      </c>
      <c r="D6" s="11">
        <f t="shared" si="0"/>
        <v>-5.0161504747843662</v>
      </c>
      <c r="E6" s="11">
        <f t="shared" si="0"/>
        <v>-6.126350734592819</v>
      </c>
      <c r="F6" s="11">
        <f t="shared" si="1"/>
        <v>1.9762128900368076E-5</v>
      </c>
      <c r="G6" s="11">
        <f t="shared" si="2"/>
        <v>1.2325446168787562</v>
      </c>
      <c r="H6" s="11">
        <f t="shared" si="3"/>
        <v>0.32949297026864377</v>
      </c>
      <c r="I6" s="11">
        <f t="shared" si="4"/>
        <v>0</v>
      </c>
      <c r="K6" s="11" t="s">
        <v>99</v>
      </c>
      <c r="L6" s="11">
        <f>EXP(G25)</f>
        <v>3.7967789767167295</v>
      </c>
    </row>
    <row r="7" spans="1:12" x14ac:dyDescent="0.25">
      <c r="A7" s="11">
        <v>-10.395584540887967</v>
      </c>
      <c r="B7" s="11">
        <v>1.5599999999999999E-2</v>
      </c>
      <c r="C7" s="11">
        <v>8.1748005325420828E-3</v>
      </c>
      <c r="D7" s="11">
        <f t="shared" si="0"/>
        <v>-4.1604843647266456</v>
      </c>
      <c r="E7" s="11">
        <f t="shared" si="0"/>
        <v>-4.8066989621855392</v>
      </c>
      <c r="F7" s="11">
        <f t="shared" si="1"/>
        <v>5.5133587131537327E-5</v>
      </c>
      <c r="G7" s="11">
        <f t="shared" si="2"/>
        <v>0.41759330596895983</v>
      </c>
      <c r="H7" s="11">
        <f t="shared" si="3"/>
        <v>0.52402567516295406</v>
      </c>
      <c r="I7" s="11">
        <f t="shared" si="4"/>
        <v>1</v>
      </c>
      <c r="K7" s="11" t="s">
        <v>90</v>
      </c>
      <c r="L7" s="11">
        <f>SUM(I3:I23) / COUNTA(B3:B23)</f>
        <v>0.66666666666666663</v>
      </c>
    </row>
    <row r="8" spans="1:12" x14ac:dyDescent="0.25">
      <c r="A8" s="11">
        <v>-8.6824088833465165</v>
      </c>
      <c r="B8" s="11">
        <v>3.9299999999999995E-2</v>
      </c>
      <c r="C8" s="11">
        <v>2.442600572290517E-2</v>
      </c>
      <c r="D8" s="11">
        <f t="shared" si="0"/>
        <v>-3.2365307601069215</v>
      </c>
      <c r="E8" s="11">
        <f t="shared" si="0"/>
        <v>-3.7121069059376333</v>
      </c>
      <c r="F8" s="11">
        <f t="shared" si="1"/>
        <v>2.2123570575504958E-4</v>
      </c>
      <c r="G8" s="11">
        <f t="shared" si="2"/>
        <v>0.22617267048319439</v>
      </c>
      <c r="H8" s="11">
        <f t="shared" si="3"/>
        <v>0.62152686317824868</v>
      </c>
      <c r="I8" s="11">
        <f t="shared" si="4"/>
        <v>1</v>
      </c>
    </row>
    <row r="9" spans="1:12" x14ac:dyDescent="0.25">
      <c r="A9" s="11">
        <v>-6.9586550480032718</v>
      </c>
      <c r="B9" s="11">
        <v>6.6500000000000004E-2</v>
      </c>
      <c r="C9" s="11">
        <v>5.8941363962834101E-2</v>
      </c>
      <c r="D9" s="11">
        <f t="shared" si="0"/>
        <v>-2.7105533313203285</v>
      </c>
      <c r="E9" s="11">
        <f t="shared" si="0"/>
        <v>-2.8312121603924352</v>
      </c>
      <c r="F9" s="11">
        <f t="shared" si="1"/>
        <v>5.7132978742343066E-5</v>
      </c>
      <c r="G9" s="11">
        <f t="shared" si="2"/>
        <v>1.4558553033051855E-2</v>
      </c>
      <c r="H9" s="11">
        <f t="shared" si="3"/>
        <v>0.88633630019299392</v>
      </c>
      <c r="I9" s="11">
        <f t="shared" si="4"/>
        <v>1</v>
      </c>
    </row>
    <row r="10" spans="1:12" x14ac:dyDescent="0.25">
      <c r="A10" s="11">
        <v>-5.2264231633826732</v>
      </c>
      <c r="B10" s="11">
        <v>0.13100000000000001</v>
      </c>
      <c r="C10" s="11">
        <v>0.11589906466693189</v>
      </c>
      <c r="D10" s="11">
        <f t="shared" si="0"/>
        <v>-2.0325579557809856</v>
      </c>
      <c r="E10" s="11">
        <f t="shared" si="0"/>
        <v>-2.155035598842145</v>
      </c>
      <c r="F10" s="11">
        <f t="shared" si="1"/>
        <v>2.2803824793350488E-4</v>
      </c>
      <c r="G10" s="11">
        <f t="shared" si="2"/>
        <v>1.5000773049816762E-2</v>
      </c>
      <c r="H10" s="11">
        <f t="shared" si="3"/>
        <v>0.88472568448039612</v>
      </c>
      <c r="I10" s="11">
        <f t="shared" si="4"/>
        <v>1</v>
      </c>
    </row>
    <row r="11" spans="1:12" x14ac:dyDescent="0.25">
      <c r="A11" s="11">
        <v>-3.4878236872062649</v>
      </c>
      <c r="B11" s="11">
        <v>0.31</v>
      </c>
      <c r="C11" s="11">
        <v>0.18697419613274904</v>
      </c>
      <c r="D11" s="11">
        <f t="shared" si="0"/>
        <v>-1.1711829815029451</v>
      </c>
      <c r="E11" s="11">
        <f t="shared" si="0"/>
        <v>-1.6767846602437775</v>
      </c>
      <c r="F11" s="11">
        <f t="shared" si="1"/>
        <v>1.51353484171833E-2</v>
      </c>
      <c r="G11" s="11">
        <f t="shared" si="2"/>
        <v>0.25563305754554788</v>
      </c>
      <c r="H11" s="11">
        <f t="shared" si="3"/>
        <v>0.60314256817015821</v>
      </c>
      <c r="I11" s="11">
        <f t="shared" si="4"/>
        <v>1</v>
      </c>
    </row>
    <row r="12" spans="1:12" x14ac:dyDescent="0.25">
      <c r="A12" s="11">
        <v>-1.7449748351250485</v>
      </c>
      <c r="B12" s="11">
        <v>0.26700000000000002</v>
      </c>
      <c r="C12" s="11">
        <v>0.24865039384548865</v>
      </c>
      <c r="D12" s="11">
        <f t="shared" si="0"/>
        <v>-1.3205066205818874</v>
      </c>
      <c r="E12" s="11">
        <f t="shared" si="0"/>
        <v>-1.3917074098874391</v>
      </c>
      <c r="F12" s="11">
        <f t="shared" si="1"/>
        <v>3.3670804602568144E-4</v>
      </c>
      <c r="G12" s="11">
        <f t="shared" si="2"/>
        <v>5.0695523977335706E-3</v>
      </c>
      <c r="H12" s="11">
        <f t="shared" si="3"/>
        <v>0.93127488331643682</v>
      </c>
      <c r="I12" s="11">
        <f t="shared" si="4"/>
        <v>1</v>
      </c>
    </row>
    <row r="13" spans="1:12" x14ac:dyDescent="0.25">
      <c r="A13" s="11">
        <v>0</v>
      </c>
      <c r="B13" s="11">
        <v>0.27500000000000002</v>
      </c>
      <c r="C13" s="11">
        <v>0.27335282007571465</v>
      </c>
      <c r="D13" s="11">
        <f t="shared" si="0"/>
        <v>-1.2909841813155656</v>
      </c>
      <c r="E13" s="11">
        <f t="shared" si="0"/>
        <v>-1.2969919369732386</v>
      </c>
      <c r="F13" s="11">
        <f t="shared" si="1"/>
        <v>2.7132017029687543E-6</v>
      </c>
      <c r="G13" s="11">
        <f t="shared" si="2"/>
        <v>3.6093128042301644E-5</v>
      </c>
      <c r="H13" s="11">
        <f t="shared" si="3"/>
        <v>0.99401025482078043</v>
      </c>
      <c r="I13" s="11">
        <f t="shared" si="4"/>
        <v>1</v>
      </c>
    </row>
    <row r="14" spans="1:12" x14ac:dyDescent="0.25">
      <c r="A14" s="11">
        <v>1.7449748351250485</v>
      </c>
      <c r="B14" s="11">
        <v>0.255</v>
      </c>
      <c r="C14" s="11">
        <v>0.24865039384548865</v>
      </c>
      <c r="D14" s="11">
        <f t="shared" si="0"/>
        <v>-1.3664917338237108</v>
      </c>
      <c r="E14" s="11">
        <f t="shared" si="0"/>
        <v>-1.3917074098874391</v>
      </c>
      <c r="F14" s="11">
        <f t="shared" si="1"/>
        <v>4.031749831740849E-5</v>
      </c>
      <c r="G14" s="11">
        <f t="shared" si="2"/>
        <v>6.3583031935088134E-4</v>
      </c>
      <c r="H14" s="11">
        <f t="shared" si="3"/>
        <v>0.97509958370779859</v>
      </c>
      <c r="I14" s="11">
        <f t="shared" si="4"/>
        <v>1</v>
      </c>
    </row>
    <row r="15" spans="1:12" x14ac:dyDescent="0.25">
      <c r="A15" s="11">
        <v>3.4878236872062649</v>
      </c>
      <c r="B15" s="11">
        <v>0.20100000000000001</v>
      </c>
      <c r="C15" s="11">
        <v>0.18697419613274904</v>
      </c>
      <c r="D15" s="11">
        <f t="shared" si="0"/>
        <v>-1.6044503709230613</v>
      </c>
      <c r="E15" s="11">
        <f t="shared" si="0"/>
        <v>-1.6767846602437775</v>
      </c>
      <c r="F15" s="11">
        <f t="shared" si="1"/>
        <v>1.9672317412259223E-4</v>
      </c>
      <c r="G15" s="11">
        <f t="shared" si="2"/>
        <v>5.2322494115330737E-3</v>
      </c>
      <c r="H15" s="11">
        <f t="shared" si="3"/>
        <v>0.93021988125745791</v>
      </c>
      <c r="I15" s="11">
        <f t="shared" si="4"/>
        <v>1</v>
      </c>
    </row>
    <row r="16" spans="1:12" x14ac:dyDescent="0.25">
      <c r="A16" s="11">
        <v>5.2264231633826705</v>
      </c>
      <c r="B16" s="11">
        <v>0.129</v>
      </c>
      <c r="C16" s="11">
        <v>0.11589906466693199</v>
      </c>
      <c r="D16" s="11">
        <f t="shared" si="0"/>
        <v>-2.0479428746204649</v>
      </c>
      <c r="E16" s="11">
        <f t="shared" si="0"/>
        <v>-2.1550355988421446</v>
      </c>
      <c r="F16" s="11">
        <f t="shared" si="1"/>
        <v>1.7163450660122984E-4</v>
      </c>
      <c r="G16" s="11">
        <f t="shared" si="2"/>
        <v>1.1468851581220742E-2</v>
      </c>
      <c r="H16" s="11">
        <f t="shared" si="3"/>
        <v>0.8984423617591627</v>
      </c>
      <c r="I16" s="11">
        <f t="shared" si="4"/>
        <v>1</v>
      </c>
    </row>
    <row r="17" spans="1:12" x14ac:dyDescent="0.25">
      <c r="A17" s="11">
        <v>6.958655048003294</v>
      </c>
      <c r="B17" s="11">
        <v>7.6200000000000004E-2</v>
      </c>
      <c r="C17" s="11">
        <v>5.8941363962833525E-2</v>
      </c>
      <c r="D17" s="11">
        <f t="shared" si="0"/>
        <v>-2.5743938162895366</v>
      </c>
      <c r="E17" s="11">
        <f t="shared" si="0"/>
        <v>-2.8312121603924449</v>
      </c>
      <c r="F17" s="11">
        <f t="shared" si="1"/>
        <v>2.9786051786338146E-4</v>
      </c>
      <c r="G17" s="11">
        <f t="shared" si="2"/>
        <v>6.5955661867759849E-2</v>
      </c>
      <c r="H17" s="11">
        <f t="shared" si="3"/>
        <v>0.77350871342301208</v>
      </c>
      <c r="I17" s="11">
        <f t="shared" si="4"/>
        <v>1</v>
      </c>
    </row>
    <row r="18" spans="1:12" x14ac:dyDescent="0.25">
      <c r="A18" s="11">
        <v>8.6824088833465201</v>
      </c>
      <c r="B18" s="11">
        <v>3.56E-2</v>
      </c>
      <c r="C18" s="11">
        <v>2.4426005722905104E-2</v>
      </c>
      <c r="D18" s="11">
        <f t="shared" si="0"/>
        <v>-3.3354096411241523</v>
      </c>
      <c r="E18" s="11">
        <f t="shared" si="0"/>
        <v>-3.7121069059376359</v>
      </c>
      <c r="F18" s="11">
        <f t="shared" si="1"/>
        <v>1.2485814810454947E-4</v>
      </c>
      <c r="G18" s="11">
        <f t="shared" si="2"/>
        <v>0.14190082931795983</v>
      </c>
      <c r="H18" s="11">
        <f t="shared" si="3"/>
        <v>0.68612375626137934</v>
      </c>
      <c r="I18" s="11">
        <f t="shared" si="4"/>
        <v>1</v>
      </c>
    </row>
    <row r="19" spans="1:12" x14ac:dyDescent="0.25">
      <c r="A19" s="11">
        <v>10.395584540887993</v>
      </c>
      <c r="B19" s="11">
        <v>1.06E-2</v>
      </c>
      <c r="C19" s="11">
        <v>8.1748005325419319E-3</v>
      </c>
      <c r="D19" s="11">
        <f t="shared" si="0"/>
        <v>-4.5469012778641158</v>
      </c>
      <c r="E19" s="11">
        <f t="shared" si="0"/>
        <v>-4.8066989621855578</v>
      </c>
      <c r="F19" s="11">
        <f t="shared" si="1"/>
        <v>5.8815924569588975E-6</v>
      </c>
      <c r="G19" s="11">
        <f t="shared" si="2"/>
        <v>6.7494836778783637E-2</v>
      </c>
      <c r="H19" s="11">
        <f t="shared" si="3"/>
        <v>0.7712075974096162</v>
      </c>
      <c r="I19" s="11">
        <f t="shared" si="4"/>
        <v>1</v>
      </c>
    </row>
    <row r="20" spans="1:12" x14ac:dyDescent="0.25">
      <c r="A20" s="11">
        <v>12.096094779983394</v>
      </c>
      <c r="B20" s="11">
        <v>1.3600000000000001E-3</v>
      </c>
      <c r="C20" s="11">
        <v>2.1845383928810959E-3</v>
      </c>
      <c r="D20" s="11">
        <f t="shared" si="0"/>
        <v>-6.6002705792341763</v>
      </c>
      <c r="E20" s="11">
        <f t="shared" si="0"/>
        <v>-6.1263507345928252</v>
      </c>
      <c r="F20" s="11">
        <f t="shared" si="1"/>
        <v>6.7986356133494033E-7</v>
      </c>
      <c r="G20" s="11">
        <f t="shared" si="2"/>
        <v>0.22460001914488234</v>
      </c>
      <c r="H20" s="11">
        <f t="shared" si="3"/>
        <v>1.6062782300596292</v>
      </c>
      <c r="I20" s="11">
        <f t="shared" si="4"/>
        <v>1</v>
      </c>
    </row>
    <row r="21" spans="1:12" x14ac:dyDescent="0.25">
      <c r="A21" s="11">
        <v>13.781867790849947</v>
      </c>
      <c r="B21" s="11">
        <v>1.1E-4</v>
      </c>
      <c r="C21" s="11">
        <v>4.5964187608456747E-4</v>
      </c>
      <c r="D21" s="11">
        <f t="shared" si="0"/>
        <v>-9.1150301921718579</v>
      </c>
      <c r="E21" s="11">
        <f t="shared" si="0"/>
        <v>-7.685062901944133</v>
      </c>
      <c r="F21" s="11">
        <f t="shared" si="1"/>
        <v>1.2224944151193603E-7</v>
      </c>
      <c r="G21" s="11">
        <f t="shared" si="2"/>
        <v>2.0448064511212225</v>
      </c>
      <c r="H21" s="11">
        <f t="shared" si="3"/>
        <v>4.1785625098597041</v>
      </c>
      <c r="I21" s="11">
        <f t="shared" si="4"/>
        <v>0</v>
      </c>
    </row>
    <row r="22" spans="1:12" x14ac:dyDescent="0.25">
      <c r="A22" s="11">
        <v>15.450849718747381</v>
      </c>
      <c r="B22" s="11">
        <v>2.5000000000000001E-5</v>
      </c>
      <c r="C22" s="11">
        <v>7.486697273363817E-5</v>
      </c>
      <c r="D22" s="11">
        <f t="shared" si="0"/>
        <v>-10.596634733096073</v>
      </c>
      <c r="E22" s="11">
        <f t="shared" si="0"/>
        <v>-9.4997977161756033</v>
      </c>
      <c r="F22" s="11">
        <f t="shared" si="1"/>
        <v>2.4867149696174128E-9</v>
      </c>
      <c r="G22" s="11">
        <f t="shared" si="2"/>
        <v>1.203051441686994</v>
      </c>
      <c r="H22" s="11">
        <f t="shared" si="3"/>
        <v>2.9946789093455268</v>
      </c>
      <c r="I22" s="11">
        <f t="shared" si="4"/>
        <v>0</v>
      </c>
    </row>
    <row r="23" spans="1:12" x14ac:dyDescent="0.25">
      <c r="A23" s="11">
        <v>17.101007166283431</v>
      </c>
      <c r="B23" s="11">
        <v>4.4999999999999996E-5</v>
      </c>
      <c r="C23" s="11">
        <v>9.2500300090979283E-6</v>
      </c>
      <c r="D23" s="11">
        <f t="shared" si="0"/>
        <v>-10.008848068193954</v>
      </c>
      <c r="E23" s="11">
        <f t="shared" si="0"/>
        <v>-11.5908837622184</v>
      </c>
      <c r="F23" s="11">
        <f t="shared" si="1"/>
        <v>1.2780603543503982E-9</v>
      </c>
      <c r="G23" s="11">
        <f t="shared" si="2"/>
        <v>2.5028369371674111</v>
      </c>
      <c r="H23" s="11">
        <f t="shared" si="3"/>
        <v>0.20555622242439842</v>
      </c>
      <c r="I23" s="11">
        <f t="shared" si="4"/>
        <v>0</v>
      </c>
    </row>
    <row r="24" spans="1:12" x14ac:dyDescent="0.25">
      <c r="B24" s="11" t="s">
        <v>92</v>
      </c>
      <c r="C24" s="11" t="s">
        <v>93</v>
      </c>
      <c r="D24" s="11" t="s">
        <v>94</v>
      </c>
      <c r="E24" s="11" t="s">
        <v>95</v>
      </c>
    </row>
    <row r="25" spans="1:12" x14ac:dyDescent="0.25">
      <c r="B25" s="11">
        <f t="shared" ref="B25:G25" si="5">AVERAGE(B3:B23)</f>
        <v>8.6841666666666678E-2</v>
      </c>
      <c r="C25" s="11">
        <f t="shared" si="5"/>
        <v>7.45210030640968E-2</v>
      </c>
      <c r="D25" s="11">
        <f t="shared" si="5"/>
        <v>-4.4795301879412124</v>
      </c>
      <c r="E25" s="11">
        <f t="shared" si="5"/>
        <v>-4.9642035029434819</v>
      </c>
      <c r="F25" s="11">
        <f t="shared" si="5"/>
        <v>8.0472831821040757E-4</v>
      </c>
      <c r="G25" s="11">
        <f t="shared" si="5"/>
        <v>1.3341530695782404</v>
      </c>
    </row>
    <row r="27" spans="1:12" x14ac:dyDescent="0.25">
      <c r="A27" s="11" t="s">
        <v>101</v>
      </c>
    </row>
    <row r="28" spans="1:12" x14ac:dyDescent="0.25">
      <c r="A28" s="11" t="s">
        <v>56</v>
      </c>
      <c r="B28" s="11" t="s">
        <v>84</v>
      </c>
      <c r="C28" s="11" t="s">
        <v>85</v>
      </c>
      <c r="D28" s="11" t="s">
        <v>86</v>
      </c>
      <c r="E28" s="11" t="s">
        <v>87</v>
      </c>
      <c r="F28" s="11" t="s">
        <v>88</v>
      </c>
      <c r="G28" s="11" t="s">
        <v>89</v>
      </c>
      <c r="H28" s="11" t="s">
        <v>90</v>
      </c>
      <c r="I28" s="11" t="s">
        <v>100</v>
      </c>
    </row>
    <row r="29" spans="1:12" x14ac:dyDescent="0.25">
      <c r="A29" s="11">
        <v>-27.563735581699916</v>
      </c>
      <c r="B29" s="11">
        <v>2.5000000000000001E-5</v>
      </c>
      <c r="C29" s="11">
        <v>1.2913672173083402E-4</v>
      </c>
      <c r="D29" s="11">
        <f>LN(B29)</f>
        <v>-10.596634733096073</v>
      </c>
      <c r="E29" s="11">
        <f>LN(C29)</f>
        <v>-8.9546388564774038</v>
      </c>
      <c r="F29" s="11">
        <f>(C29-B29)^2</f>
        <v>1.084445681284516E-8</v>
      </c>
      <c r="G29" s="11">
        <f>(E29-D29)^2</f>
        <v>2.6961504588327108</v>
      </c>
      <c r="H29" s="11">
        <f>C29/B29</f>
        <v>5.1654688692333606</v>
      </c>
      <c r="I29" s="11">
        <f>IF(AND(C29 &gt;= 0.5 * B29, C29 &lt;= 2 * B29), 1, 0)</f>
        <v>0</v>
      </c>
      <c r="K29" s="11" t="s">
        <v>96</v>
      </c>
      <c r="L29" s="11">
        <f>(C45-B45)/(0.5*(C45+B45))</f>
        <v>-0.17598947280770225</v>
      </c>
    </row>
    <row r="30" spans="1:12" x14ac:dyDescent="0.25">
      <c r="A30" s="11">
        <v>-24.192189559966774</v>
      </c>
      <c r="B30" s="11">
        <v>3.8000000000000002E-4</v>
      </c>
      <c r="C30" s="11">
        <v>6.1721529581145471E-4</v>
      </c>
      <c r="D30" s="11">
        <f t="shared" ref="D30:D93" si="6">LN(B30)</f>
        <v>-7.875339305243843</v>
      </c>
      <c r="E30" s="11">
        <f t="shared" ref="E30:E93" si="7">LN(C30)</f>
        <v>-7.3902926551973636</v>
      </c>
      <c r="F30" s="11">
        <f t="shared" ref="F30:F93" si="8">(C30-B30)^2</f>
        <v>5.6271096566915954E-8</v>
      </c>
      <c r="G30" s="11">
        <f t="shared" ref="G30:G93" si="9">(E30-D30)^2</f>
        <v>0.23527025272131186</v>
      </c>
      <c r="H30" s="11">
        <f t="shared" ref="H30:H93" si="10">C30/B30</f>
        <v>1.6242507784511966</v>
      </c>
      <c r="I30" s="11">
        <f t="shared" ref="I30:I93" si="11">IF(AND(C30 &gt;= 0.5 * B30, C30 &lt;= 2 * B30), 1, 0)</f>
        <v>1</v>
      </c>
      <c r="K30" s="11" t="s">
        <v>97</v>
      </c>
      <c r="L30" s="11">
        <f>EXP(E45-D45)</f>
        <v>1.4190645585532249</v>
      </c>
    </row>
    <row r="31" spans="1:12" x14ac:dyDescent="0.25">
      <c r="A31" s="11">
        <v>-20.791169081775934</v>
      </c>
      <c r="B31" s="11">
        <v>2.3900000000000002E-3</v>
      </c>
      <c r="C31" s="11">
        <v>2.3209953630672631E-3</v>
      </c>
      <c r="D31" s="11">
        <f t="shared" si="6"/>
        <v>-6.0364619130387176</v>
      </c>
      <c r="E31" s="11">
        <f t="shared" si="7"/>
        <v>-6.0657591495086089</v>
      </c>
      <c r="F31" s="11">
        <f t="shared" si="8"/>
        <v>4.7616399182188698E-9</v>
      </c>
      <c r="G31" s="11">
        <f t="shared" si="9"/>
        <v>8.5832806477273188E-4</v>
      </c>
      <c r="H31" s="11">
        <f t="shared" si="10"/>
        <v>0.97112776697375014</v>
      </c>
      <c r="I31" s="11">
        <f t="shared" si="11"/>
        <v>1</v>
      </c>
      <c r="K31" s="11" t="s">
        <v>98</v>
      </c>
      <c r="L31" s="11">
        <f>F45/(B45*C45)</f>
        <v>0.10526501665542118</v>
      </c>
    </row>
    <row r="32" spans="1:12" x14ac:dyDescent="0.25">
      <c r="A32" s="11">
        <v>-17.364817766693033</v>
      </c>
      <c r="B32" s="11">
        <v>8.6999999999999994E-3</v>
      </c>
      <c r="C32" s="11">
        <v>6.9637497569520288E-3</v>
      </c>
      <c r="D32" s="11">
        <f t="shared" si="6"/>
        <v>-4.744432253321599</v>
      </c>
      <c r="E32" s="11">
        <f t="shared" si="7"/>
        <v>-4.96703719153113</v>
      </c>
      <c r="F32" s="11">
        <f t="shared" si="8"/>
        <v>3.0145649064841368E-6</v>
      </c>
      <c r="G32" s="11">
        <f t="shared" si="9"/>
        <v>4.9552958515269106E-2</v>
      </c>
      <c r="H32" s="11">
        <f t="shared" si="10"/>
        <v>0.80043100654621024</v>
      </c>
      <c r="I32" s="11">
        <f t="shared" si="11"/>
        <v>1</v>
      </c>
      <c r="K32" s="11" t="s">
        <v>99</v>
      </c>
      <c r="L32" s="11">
        <f>EXP(G45)</f>
        <v>2.137876416649934</v>
      </c>
    </row>
    <row r="33" spans="1:12" x14ac:dyDescent="0.25">
      <c r="A33" s="11">
        <v>-13.917310096006544</v>
      </c>
      <c r="B33" s="11">
        <v>2.2499999999999999E-2</v>
      </c>
      <c r="C33" s="11">
        <v>1.6860798336058535E-2</v>
      </c>
      <c r="D33" s="11">
        <f t="shared" si="6"/>
        <v>-3.7942399697717626</v>
      </c>
      <c r="E33" s="11">
        <f t="shared" si="7"/>
        <v>-4.0827639766362944</v>
      </c>
      <c r="F33" s="11">
        <f t="shared" si="8"/>
        <v>3.1800595406600177E-5</v>
      </c>
      <c r="G33" s="11">
        <f t="shared" si="9"/>
        <v>8.3246102537164413E-2</v>
      </c>
      <c r="H33" s="11">
        <f t="shared" si="10"/>
        <v>0.74936881493593488</v>
      </c>
      <c r="I33" s="11">
        <f t="shared" si="11"/>
        <v>1</v>
      </c>
      <c r="K33" s="11" t="s">
        <v>90</v>
      </c>
      <c r="L33" s="11">
        <f>SUM(I29:I44) / COUNTA(B29:B44)</f>
        <v>0.75</v>
      </c>
    </row>
    <row r="34" spans="1:12" x14ac:dyDescent="0.25">
      <c r="A34" s="11">
        <v>-10.452846326765346</v>
      </c>
      <c r="B34" s="11">
        <v>4.1000000000000002E-2</v>
      </c>
      <c r="C34" s="11">
        <v>3.3241371409562695E-2</v>
      </c>
      <c r="D34" s="11">
        <f t="shared" si="6"/>
        <v>-3.1941832122778293</v>
      </c>
      <c r="E34" s="11">
        <f t="shared" si="7"/>
        <v>-3.4039600520372244</v>
      </c>
      <c r="F34" s="11">
        <f t="shared" si="8"/>
        <v>6.0196317604351189E-5</v>
      </c>
      <c r="G34" s="11">
        <f t="shared" si="9"/>
        <v>4.4006322499438928E-2</v>
      </c>
      <c r="H34" s="11">
        <f t="shared" si="10"/>
        <v>0.81076515633079738</v>
      </c>
      <c r="I34" s="11">
        <f t="shared" si="11"/>
        <v>1</v>
      </c>
    </row>
    <row r="35" spans="1:12" x14ac:dyDescent="0.25">
      <c r="A35" s="11">
        <v>-6.9756473744125298</v>
      </c>
      <c r="B35" s="11">
        <v>6.59E-2</v>
      </c>
      <c r="C35" s="11">
        <v>5.3727376420339285E-2</v>
      </c>
      <c r="D35" s="11">
        <f t="shared" si="6"/>
        <v>-2.7196168374736756</v>
      </c>
      <c r="E35" s="11">
        <f t="shared" si="7"/>
        <v>-2.9238326043868774</v>
      </c>
      <c r="F35" s="11">
        <f t="shared" si="8"/>
        <v>1.4817276481211207E-4</v>
      </c>
      <c r="G35" s="11">
        <f t="shared" si="9"/>
        <v>4.1704079455947195E-2</v>
      </c>
      <c r="H35" s="11">
        <f t="shared" si="10"/>
        <v>0.81528644036933662</v>
      </c>
      <c r="I35" s="11">
        <f t="shared" si="11"/>
        <v>1</v>
      </c>
    </row>
    <row r="36" spans="1:12" x14ac:dyDescent="0.25">
      <c r="A36" s="11">
        <v>-3.4899496702500969</v>
      </c>
      <c r="B36" s="11">
        <v>9.1700000000000004E-2</v>
      </c>
      <c r="C36" s="11">
        <v>7.1530630683017252E-2</v>
      </c>
      <c r="D36" s="11">
        <f t="shared" si="6"/>
        <v>-2.3892328997197176</v>
      </c>
      <c r="E36" s="11">
        <f t="shared" si="7"/>
        <v>-2.6376295198586726</v>
      </c>
      <c r="F36" s="11">
        <f t="shared" si="8"/>
        <v>4.0680345864484526E-4</v>
      </c>
      <c r="G36" s="11">
        <f t="shared" si="9"/>
        <v>6.1700880896456263E-2</v>
      </c>
      <c r="H36" s="11">
        <f t="shared" si="10"/>
        <v>0.78005049817903216</v>
      </c>
      <c r="I36" s="11">
        <f t="shared" si="11"/>
        <v>1</v>
      </c>
    </row>
    <row r="37" spans="1:12" x14ac:dyDescent="0.25">
      <c r="A37" s="11">
        <v>0</v>
      </c>
      <c r="B37" s="11">
        <v>9.6599999999999991E-2</v>
      </c>
      <c r="C37" s="11">
        <v>7.8666429242501432E-2</v>
      </c>
      <c r="D37" s="11">
        <f t="shared" si="6"/>
        <v>-2.3371765377636646</v>
      </c>
      <c r="E37" s="11">
        <f t="shared" si="7"/>
        <v>-2.5425387807329867</v>
      </c>
      <c r="F37" s="11">
        <f t="shared" si="8"/>
        <v>3.2161296011420747E-4</v>
      </c>
      <c r="G37" s="11">
        <f t="shared" si="9"/>
        <v>4.2173650837390858E-2</v>
      </c>
      <c r="H37" s="11">
        <f t="shared" si="10"/>
        <v>0.81435226959111218</v>
      </c>
      <c r="I37" s="11">
        <f t="shared" si="11"/>
        <v>1</v>
      </c>
    </row>
    <row r="38" spans="1:12" x14ac:dyDescent="0.25">
      <c r="A38" s="11">
        <v>3.4899496702500969</v>
      </c>
      <c r="B38" s="11">
        <v>9.1499999999999998E-2</v>
      </c>
      <c r="C38" s="11">
        <v>7.1530630683017252E-2</v>
      </c>
      <c r="D38" s="11">
        <f t="shared" si="6"/>
        <v>-2.3914163067006613</v>
      </c>
      <c r="E38" s="11">
        <f t="shared" si="7"/>
        <v>-2.6376295198586726</v>
      </c>
      <c r="F38" s="11">
        <f t="shared" si="8"/>
        <v>3.9877571091805194E-4</v>
      </c>
      <c r="G38" s="11">
        <f t="shared" si="9"/>
        <v>6.0620946333592288E-2</v>
      </c>
      <c r="H38" s="11">
        <f t="shared" si="10"/>
        <v>0.78175552659035252</v>
      </c>
      <c r="I38" s="11">
        <f t="shared" si="11"/>
        <v>1</v>
      </c>
    </row>
    <row r="39" spans="1:12" x14ac:dyDescent="0.25">
      <c r="A39" s="11">
        <v>6.9756473744125298</v>
      </c>
      <c r="B39" s="11">
        <v>6.6299999999999998E-2</v>
      </c>
      <c r="C39" s="11">
        <v>5.3727376420339285E-2</v>
      </c>
      <c r="D39" s="11">
        <f t="shared" si="6"/>
        <v>-2.7135653817903203</v>
      </c>
      <c r="E39" s="11">
        <f t="shared" si="7"/>
        <v>-2.9238326043868774</v>
      </c>
      <c r="F39" s="11">
        <f t="shared" si="8"/>
        <v>1.5807086367584057E-4</v>
      </c>
      <c r="G39" s="11">
        <f t="shared" si="9"/>
        <v>4.4212304898470119E-2</v>
      </c>
      <c r="H39" s="11">
        <f t="shared" si="10"/>
        <v>0.81036766848173891</v>
      </c>
      <c r="I39" s="11">
        <f t="shared" si="11"/>
        <v>1</v>
      </c>
    </row>
    <row r="40" spans="1:12" x14ac:dyDescent="0.25">
      <c r="A40" s="11">
        <v>10.452846326765341</v>
      </c>
      <c r="B40" s="11">
        <v>3.4700000000000002E-2</v>
      </c>
      <c r="C40" s="11">
        <v>3.3241371409562723E-2</v>
      </c>
      <c r="D40" s="11">
        <f t="shared" si="6"/>
        <v>-3.3610155920293234</v>
      </c>
      <c r="E40" s="11">
        <f t="shared" si="7"/>
        <v>-3.4039600520372235</v>
      </c>
      <c r="F40" s="11">
        <f t="shared" si="8"/>
        <v>2.1275973648410431E-6</v>
      </c>
      <c r="G40" s="11">
        <f t="shared" si="9"/>
        <v>1.84422664537013E-3</v>
      </c>
      <c r="H40" s="11">
        <f t="shared" si="10"/>
        <v>0.95796459393552513</v>
      </c>
      <c r="I40" s="11">
        <f t="shared" si="11"/>
        <v>1</v>
      </c>
    </row>
    <row r="41" spans="1:12" x14ac:dyDescent="0.25">
      <c r="A41" s="11">
        <v>13.917310096006588</v>
      </c>
      <c r="B41" s="11">
        <v>1.2E-2</v>
      </c>
      <c r="C41" s="11">
        <v>1.6860798336058368E-2</v>
      </c>
      <c r="D41" s="11">
        <f t="shared" si="6"/>
        <v>-4.4228486291941369</v>
      </c>
      <c r="E41" s="11">
        <f t="shared" si="7"/>
        <v>-4.0827639766363042</v>
      </c>
      <c r="F41" s="11">
        <f t="shared" si="8"/>
        <v>2.3627360463827799E-5</v>
      </c>
      <c r="G41" s="11">
        <f t="shared" si="9"/>
        <v>0.1156575709053818</v>
      </c>
      <c r="H41" s="11">
        <f t="shared" si="10"/>
        <v>1.405066528004864</v>
      </c>
      <c r="I41" s="11">
        <f t="shared" si="11"/>
        <v>1</v>
      </c>
    </row>
    <row r="42" spans="1:12" x14ac:dyDescent="0.25">
      <c r="A42" s="11">
        <v>17.36481776669304</v>
      </c>
      <c r="B42" s="11">
        <v>1.83E-3</v>
      </c>
      <c r="C42" s="11">
        <v>6.9637497569520132E-3</v>
      </c>
      <c r="D42" s="11">
        <f t="shared" si="6"/>
        <v>-6.3034393121288073</v>
      </c>
      <c r="E42" s="11">
        <f t="shared" si="7"/>
        <v>-4.9670371915311327</v>
      </c>
      <c r="F42" s="11">
        <f t="shared" si="8"/>
        <v>2.6355386567004855E-5</v>
      </c>
      <c r="G42" s="11">
        <f t="shared" si="9"/>
        <v>1.7859706279379617</v>
      </c>
      <c r="H42" s="11">
        <f t="shared" si="10"/>
        <v>3.8053277360393514</v>
      </c>
      <c r="I42" s="11">
        <f t="shared" si="11"/>
        <v>0</v>
      </c>
    </row>
    <row r="43" spans="1:12" x14ac:dyDescent="0.25">
      <c r="A43" s="11">
        <v>20.791169081775987</v>
      </c>
      <c r="B43" s="11">
        <v>4.15E-4</v>
      </c>
      <c r="C43" s="11">
        <v>2.3209953630672184E-3</v>
      </c>
      <c r="D43" s="11">
        <f t="shared" si="6"/>
        <v>-7.7872320377335758</v>
      </c>
      <c r="E43" s="11">
        <f t="shared" si="7"/>
        <v>-6.0657591495086276</v>
      </c>
      <c r="F43" s="11">
        <f t="shared" si="8"/>
        <v>3.6328183240337375E-6</v>
      </c>
      <c r="G43" s="11">
        <f t="shared" si="9"/>
        <v>2.9634689048935448</v>
      </c>
      <c r="H43" s="11">
        <f t="shared" si="10"/>
        <v>5.5927599110053459</v>
      </c>
      <c r="I43" s="11">
        <f t="shared" si="11"/>
        <v>0</v>
      </c>
    </row>
    <row r="44" spans="1:12" x14ac:dyDescent="0.25">
      <c r="A44" s="11">
        <v>24.192189559966788</v>
      </c>
      <c r="B44" s="11">
        <v>8.5000000000000006E-5</v>
      </c>
      <c r="C44" s="11">
        <v>6.1721529581145135E-4</v>
      </c>
      <c r="D44" s="11">
        <f t="shared" si="6"/>
        <v>-9.372859301473957</v>
      </c>
      <c r="E44" s="11">
        <f t="shared" si="7"/>
        <v>-7.3902926551973689</v>
      </c>
      <c r="F44" s="11">
        <f t="shared" si="8"/>
        <v>2.8325312109567067E-7</v>
      </c>
      <c r="G44" s="11">
        <f t="shared" si="9"/>
        <v>3.9305705069283978</v>
      </c>
      <c r="H44" s="11">
        <f t="shared" si="10"/>
        <v>7.2613564213111914</v>
      </c>
      <c r="I44" s="11">
        <f t="shared" si="11"/>
        <v>0</v>
      </c>
    </row>
    <row r="45" spans="1:12" x14ac:dyDescent="0.25">
      <c r="B45" s="11">
        <f>AVERAGE(B29:B44)</f>
        <v>3.3501562500000005E-2</v>
      </c>
      <c r="C45" s="11">
        <f>AVERAGE(C29:C44)</f>
        <v>2.8082490030865569E-2</v>
      </c>
      <c r="D45" s="11">
        <f t="shared" ref="D45:G45" si="12">AVERAGE(D29:D44)</f>
        <v>-5.0024808889223538</v>
      </c>
      <c r="E45" s="11">
        <f t="shared" si="12"/>
        <v>-4.6524829959701721</v>
      </c>
      <c r="F45" s="11">
        <f t="shared" si="12"/>
        <v>9.9034095569787125E-5</v>
      </c>
      <c r="G45" s="11">
        <f t="shared" si="12"/>
        <v>0.75981300768144877</v>
      </c>
    </row>
    <row r="47" spans="1:12" x14ac:dyDescent="0.25">
      <c r="A47" s="11" t="s">
        <v>102</v>
      </c>
    </row>
    <row r="48" spans="1:12" x14ac:dyDescent="0.25">
      <c r="A48" s="11" t="s">
        <v>56</v>
      </c>
      <c r="B48" s="11" t="s">
        <v>84</v>
      </c>
      <c r="C48" s="11" t="s">
        <v>85</v>
      </c>
      <c r="D48" s="11" t="s">
        <v>86</v>
      </c>
      <c r="E48" s="11" t="s">
        <v>87</v>
      </c>
      <c r="F48" s="11" t="s">
        <v>88</v>
      </c>
      <c r="G48" s="11" t="s">
        <v>89</v>
      </c>
      <c r="H48" s="11" t="s">
        <v>90</v>
      </c>
    </row>
    <row r="49" spans="1:12" x14ac:dyDescent="0.25">
      <c r="A49" s="11">
        <v>-41.582338163551867</v>
      </c>
      <c r="B49" s="11">
        <v>4.0000000000000003E-5</v>
      </c>
      <c r="C49" s="11">
        <v>6.1592834612018066E-4</v>
      </c>
      <c r="D49" s="11">
        <f t="shared" si="6"/>
        <v>-10.126631103850338</v>
      </c>
      <c r="E49" s="11">
        <f t="shared" si="7"/>
        <v>-7.3923799224300666</v>
      </c>
      <c r="F49" s="11">
        <f t="shared" si="8"/>
        <v>3.3169345986472659E-7</v>
      </c>
      <c r="G49" s="11">
        <f t="shared" si="9"/>
        <v>7.476129523098149</v>
      </c>
      <c r="H49" s="11">
        <f t="shared" si="10"/>
        <v>15.398208653004515</v>
      </c>
      <c r="I49" s="11">
        <f t="shared" si="11"/>
        <v>0</v>
      </c>
      <c r="K49" s="11" t="s">
        <v>96</v>
      </c>
      <c r="L49" s="11">
        <f>(C61-B61)/(0.5*(C61+B61))</f>
        <v>-0.17369563980239403</v>
      </c>
    </row>
    <row r="50" spans="1:12" x14ac:dyDescent="0.25">
      <c r="A50" s="11">
        <v>-34.729635533386066</v>
      </c>
      <c r="B50" s="11">
        <v>9.7499999999999996E-4</v>
      </c>
      <c r="C50" s="11">
        <v>1.8676817205738848E-3</v>
      </c>
      <c r="D50" s="11">
        <f t="shared" si="6"/>
        <v>-6.9330730869664272</v>
      </c>
      <c r="E50" s="11">
        <f t="shared" si="7"/>
        <v>-6.2830573388244355</v>
      </c>
      <c r="F50" s="11">
        <f t="shared" si="8"/>
        <v>7.9688065424675135E-7</v>
      </c>
      <c r="G50" s="11">
        <f t="shared" si="9"/>
        <v>0.4225204728325932</v>
      </c>
      <c r="H50" s="11">
        <f t="shared" si="10"/>
        <v>1.9155709954603948</v>
      </c>
      <c r="I50" s="11">
        <f t="shared" si="11"/>
        <v>1</v>
      </c>
      <c r="K50" s="11" t="s">
        <v>97</v>
      </c>
      <c r="L50" s="11">
        <f>EXP(E61-D61)</f>
        <v>1.6339001960504116</v>
      </c>
    </row>
    <row r="51" spans="1:12" x14ac:dyDescent="0.25">
      <c r="A51" s="11">
        <v>-27.834620192013087</v>
      </c>
      <c r="B51" s="11">
        <v>5.2900000000000004E-3</v>
      </c>
      <c r="C51" s="11">
        <v>4.5613229536261351E-3</v>
      </c>
      <c r="D51" s="11">
        <f t="shared" si="6"/>
        <v>-5.2419370331119293</v>
      </c>
      <c r="E51" s="11">
        <f t="shared" si="7"/>
        <v>-5.3901425761236803</v>
      </c>
      <c r="F51" s="11">
        <f t="shared" si="8"/>
        <v>5.3097023791214025E-7</v>
      </c>
      <c r="G51" s="11">
        <f t="shared" si="9"/>
        <v>2.1964882979407987E-2</v>
      </c>
      <c r="H51" s="11">
        <f t="shared" si="10"/>
        <v>0.86225386646996871</v>
      </c>
      <c r="I51" s="11">
        <f t="shared" si="11"/>
        <v>1</v>
      </c>
      <c r="K51" s="11" t="s">
        <v>98</v>
      </c>
      <c r="L51" s="11">
        <f>F61/(B61*C61)</f>
        <v>0.16653508053385041</v>
      </c>
    </row>
    <row r="52" spans="1:12" x14ac:dyDescent="0.25">
      <c r="A52" s="11">
        <v>-20.905692653530693</v>
      </c>
      <c r="B52" s="11">
        <v>1.1599999999999999E-2</v>
      </c>
      <c r="C52" s="11">
        <v>9.0532013976692503E-3</v>
      </c>
      <c r="D52" s="11">
        <f t="shared" si="6"/>
        <v>-4.4567501808698182</v>
      </c>
      <c r="E52" s="11">
        <f t="shared" si="7"/>
        <v>-4.7046368382247126</v>
      </c>
      <c r="F52" s="11">
        <f t="shared" si="8"/>
        <v>6.4861831208338561E-6</v>
      </c>
      <c r="G52" s="11">
        <f t="shared" si="9"/>
        <v>6.1447794894582797E-2</v>
      </c>
      <c r="H52" s="11">
        <f t="shared" si="10"/>
        <v>0.78044839635079744</v>
      </c>
      <c r="I52" s="11">
        <f t="shared" si="11"/>
        <v>1</v>
      </c>
      <c r="K52" s="11" t="s">
        <v>99</v>
      </c>
      <c r="L52" s="11">
        <f>EXP(G61)</f>
        <v>4.0162172207223952</v>
      </c>
    </row>
    <row r="53" spans="1:12" x14ac:dyDescent="0.25">
      <c r="A53" s="11">
        <v>-13.95129474882506</v>
      </c>
      <c r="B53" s="11">
        <v>1.9100000000000002E-2</v>
      </c>
      <c r="C53" s="11">
        <v>1.4702574947673101E-2</v>
      </c>
      <c r="D53" s="11">
        <f t="shared" si="6"/>
        <v>-3.9580669439295528</v>
      </c>
      <c r="E53" s="11">
        <f t="shared" si="7"/>
        <v>-4.2197326340289338</v>
      </c>
      <c r="F53" s="11">
        <f t="shared" si="8"/>
        <v>1.9337347090832253E-5</v>
      </c>
      <c r="G53" s="11">
        <f t="shared" si="9"/>
        <v>6.8468933375185295E-2</v>
      </c>
      <c r="H53" s="11">
        <f t="shared" si="10"/>
        <v>0.7697683218677015</v>
      </c>
      <c r="I53" s="11">
        <f t="shared" si="11"/>
        <v>1</v>
      </c>
      <c r="K53" s="11" t="s">
        <v>90</v>
      </c>
      <c r="L53" s="11">
        <f>SUM(I49:I60) / COUNTA(B49:B60)</f>
        <v>0.75</v>
      </c>
    </row>
    <row r="54" spans="1:12" x14ac:dyDescent="0.25">
      <c r="A54" s="11">
        <v>-6.9798993405001939</v>
      </c>
      <c r="B54" s="11">
        <v>2.7100000000000003E-2</v>
      </c>
      <c r="C54" s="11">
        <v>1.9630563625326357E-2</v>
      </c>
      <c r="D54" s="11">
        <f t="shared" si="6"/>
        <v>-3.6082215510964817</v>
      </c>
      <c r="E54" s="11">
        <f t="shared" si="7"/>
        <v>-3.930667558659382</v>
      </c>
      <c r="F54" s="11">
        <f t="shared" si="8"/>
        <v>5.5792479755297776E-5</v>
      </c>
      <c r="G54" s="11">
        <f t="shared" si="9"/>
        <v>0.10397142779325397</v>
      </c>
      <c r="H54" s="11">
        <f t="shared" si="10"/>
        <v>0.7243750415249578</v>
      </c>
      <c r="I54" s="11">
        <f t="shared" si="11"/>
        <v>1</v>
      </c>
    </row>
    <row r="55" spans="1:12" x14ac:dyDescent="0.25">
      <c r="A55" s="11">
        <v>0</v>
      </c>
      <c r="B55" s="11">
        <v>2.9600000000000001E-2</v>
      </c>
      <c r="C55" s="11">
        <v>2.1609472992055411E-2</v>
      </c>
      <c r="D55" s="11">
        <f t="shared" si="6"/>
        <v>-3.5199809176521222</v>
      </c>
      <c r="E55" s="11">
        <f t="shared" si="7"/>
        <v>-3.8346234959862868</v>
      </c>
      <c r="F55" s="11">
        <f t="shared" si="8"/>
        <v>6.3848521864691925E-5</v>
      </c>
      <c r="G55" s="11">
        <f t="shared" si="9"/>
        <v>9.8999952100770935E-2</v>
      </c>
      <c r="H55" s="11">
        <f t="shared" si="10"/>
        <v>0.73004976324511517</v>
      </c>
      <c r="I55" s="11">
        <f t="shared" si="11"/>
        <v>1</v>
      </c>
    </row>
    <row r="56" spans="1:12" x14ac:dyDescent="0.25">
      <c r="A56" s="11">
        <v>6.9798993405001939</v>
      </c>
      <c r="B56" s="11">
        <v>2.7600000000000003E-2</v>
      </c>
      <c r="C56" s="11">
        <v>1.9630563625326357E-2</v>
      </c>
      <c r="D56" s="11">
        <f t="shared" si="6"/>
        <v>-3.5899395062590327</v>
      </c>
      <c r="E56" s="11">
        <f t="shared" si="7"/>
        <v>-3.930667558659382</v>
      </c>
      <c r="F56" s="11">
        <f t="shared" si="8"/>
        <v>6.3511916129971427E-5</v>
      </c>
      <c r="G56" s="11">
        <f t="shared" si="9"/>
        <v>0.11609560569253519</v>
      </c>
      <c r="H56" s="11">
        <f t="shared" si="10"/>
        <v>0.71125230526544758</v>
      </c>
      <c r="I56" s="11">
        <f t="shared" si="11"/>
        <v>1</v>
      </c>
    </row>
    <row r="57" spans="1:12" x14ac:dyDescent="0.25">
      <c r="A57" s="11">
        <v>13.95129474882506</v>
      </c>
      <c r="B57" s="11">
        <v>1.7100000000000001E-2</v>
      </c>
      <c r="C57" s="11">
        <v>1.4702574947673101E-2</v>
      </c>
      <c r="D57" s="11">
        <f t="shared" si="6"/>
        <v>-4.0686768154735224</v>
      </c>
      <c r="E57" s="11">
        <f t="shared" si="7"/>
        <v>-4.2197326340289338</v>
      </c>
      <c r="F57" s="11">
        <f t="shared" si="8"/>
        <v>5.7476468815246378E-6</v>
      </c>
      <c r="G57" s="11">
        <f t="shared" si="9"/>
        <v>2.2817860319445368E-2</v>
      </c>
      <c r="H57" s="11">
        <f t="shared" si="10"/>
        <v>0.8597997045422866</v>
      </c>
      <c r="I57" s="11">
        <f t="shared" si="11"/>
        <v>1</v>
      </c>
    </row>
    <row r="58" spans="1:12" x14ac:dyDescent="0.25">
      <c r="A58" s="11">
        <v>20.905692653530682</v>
      </c>
      <c r="B58" s="11">
        <v>4.9800000000000001E-3</v>
      </c>
      <c r="C58" s="11">
        <v>9.0532013976692589E-3</v>
      </c>
      <c r="D58" s="11">
        <f t="shared" si="6"/>
        <v>-5.3023253879455758</v>
      </c>
      <c r="E58" s="11">
        <f t="shared" si="7"/>
        <v>-4.7046368382247117</v>
      </c>
      <c r="F58" s="11">
        <f t="shared" si="8"/>
        <v>1.6590969625974803E-5</v>
      </c>
      <c r="G58" s="11">
        <f t="shared" si="9"/>
        <v>0.35723160246742991</v>
      </c>
      <c r="H58" s="11">
        <f t="shared" si="10"/>
        <v>1.817911927242823</v>
      </c>
      <c r="I58" s="11">
        <f t="shared" si="11"/>
        <v>1</v>
      </c>
    </row>
    <row r="59" spans="1:12" x14ac:dyDescent="0.25">
      <c r="A59" s="11">
        <v>27.834620192013176</v>
      </c>
      <c r="B59" s="11">
        <v>1.5100000000000001E-3</v>
      </c>
      <c r="C59" s="11">
        <v>4.5613229536260892E-3</v>
      </c>
      <c r="D59" s="11">
        <f t="shared" si="6"/>
        <v>-6.4956456281553043</v>
      </c>
      <c r="E59" s="11">
        <f t="shared" si="7"/>
        <v>-5.3901425761236901</v>
      </c>
      <c r="F59" s="11">
        <f t="shared" si="8"/>
        <v>9.3105717673254403E-6</v>
      </c>
      <c r="G59" s="11">
        <f t="shared" si="9"/>
        <v>1.222136998051214</v>
      </c>
      <c r="H59" s="11">
        <f t="shared" si="10"/>
        <v>3.0207436778980723</v>
      </c>
      <c r="I59" s="11">
        <f t="shared" si="11"/>
        <v>0</v>
      </c>
    </row>
    <row r="60" spans="1:12" x14ac:dyDescent="0.25">
      <c r="A60" s="11">
        <v>34.72963553338608</v>
      </c>
      <c r="B60" s="11">
        <v>1.4000000000000001E-4</v>
      </c>
      <c r="C60" s="11">
        <v>1.8676817205738794E-3</v>
      </c>
      <c r="D60" s="11">
        <f t="shared" si="6"/>
        <v>-8.8738681353549698</v>
      </c>
      <c r="E60" s="11">
        <f t="shared" si="7"/>
        <v>-6.2830573388244382</v>
      </c>
      <c r="F60" s="11">
        <f t="shared" si="8"/>
        <v>2.9848841276051205E-6</v>
      </c>
      <c r="G60" s="11">
        <f t="shared" si="9"/>
        <v>6.7123005834191671</v>
      </c>
      <c r="H60" s="11">
        <f t="shared" si="10"/>
        <v>13.340583718384851</v>
      </c>
      <c r="I60" s="11">
        <f t="shared" si="11"/>
        <v>0</v>
      </c>
    </row>
    <row r="61" spans="1:12" x14ac:dyDescent="0.25">
      <c r="B61" s="11">
        <f>AVERAGE(B49:B60)</f>
        <v>1.2086250000000002E-2</v>
      </c>
      <c r="C61" s="11">
        <f t="shared" ref="C61:G61" si="13">AVERAGE(C49:C60)</f>
        <v>1.0154674218992748E-2</v>
      </c>
      <c r="D61" s="11">
        <f t="shared" si="13"/>
        <v>-5.5145930242220897</v>
      </c>
      <c r="E61" s="11">
        <f t="shared" si="13"/>
        <v>-5.0236231091782209</v>
      </c>
      <c r="F61" s="11">
        <f t="shared" si="13"/>
        <v>2.0439172059673406E-5</v>
      </c>
      <c r="G61" s="11">
        <f t="shared" si="13"/>
        <v>1.3903404697519779</v>
      </c>
    </row>
    <row r="64" spans="1:12" x14ac:dyDescent="0.25">
      <c r="A64" s="11" t="s">
        <v>103</v>
      </c>
    </row>
    <row r="65" spans="1:12" x14ac:dyDescent="0.25">
      <c r="A65" s="11" t="s">
        <v>56</v>
      </c>
      <c r="B65" s="11" t="s">
        <v>84</v>
      </c>
      <c r="C65" s="11" t="s">
        <v>85</v>
      </c>
      <c r="D65" s="11" t="s">
        <v>86</v>
      </c>
      <c r="E65" s="11" t="s">
        <v>87</v>
      </c>
      <c r="F65" s="11" t="s">
        <v>88</v>
      </c>
      <c r="G65" s="11" t="s">
        <v>89</v>
      </c>
      <c r="H65" s="11" t="s">
        <v>90</v>
      </c>
    </row>
    <row r="66" spans="1:12" x14ac:dyDescent="0.25">
      <c r="A66" s="11">
        <v>-69.459271066772132</v>
      </c>
      <c r="B66" s="11">
        <v>9.5000000000000005E-5</v>
      </c>
      <c r="C66" s="11">
        <v>5.019470885073271E-4</v>
      </c>
      <c r="D66" s="11">
        <f t="shared" si="6"/>
        <v>-9.2616336663637338</v>
      </c>
      <c r="E66" s="11">
        <f t="shared" si="7"/>
        <v>-7.597015845207487</v>
      </c>
      <c r="F66" s="11">
        <f t="shared" si="8"/>
        <v>1.6560593284459029E-7</v>
      </c>
      <c r="G66" s="11">
        <f t="shared" si="9"/>
        <v>2.7709524905109704</v>
      </c>
      <c r="H66" s="11">
        <f t="shared" si="10"/>
        <v>5.2836535632350214</v>
      </c>
      <c r="I66" s="11">
        <f t="shared" si="11"/>
        <v>0</v>
      </c>
    </row>
    <row r="67" spans="1:12" x14ac:dyDescent="0.25">
      <c r="A67" s="11">
        <v>-55.669240384026175</v>
      </c>
      <c r="B67" s="11">
        <v>1.1100000000000001E-3</v>
      </c>
      <c r="C67" s="11">
        <v>1.2477016841670899E-3</v>
      </c>
      <c r="D67" s="11">
        <f t="shared" si="6"/>
        <v>-6.8033952636578938</v>
      </c>
      <c r="E67" s="11">
        <f t="shared" si="7"/>
        <v>-6.6864520727308738</v>
      </c>
      <c r="F67" s="11">
        <f t="shared" si="8"/>
        <v>1.8961753822452946E-8</v>
      </c>
      <c r="G67" s="11">
        <f t="shared" si="9"/>
        <v>1.367570990419345E-2</v>
      </c>
      <c r="H67" s="11">
        <f t="shared" si="10"/>
        <v>1.1240555713217024</v>
      </c>
      <c r="I67" s="11">
        <f t="shared" si="11"/>
        <v>1</v>
      </c>
      <c r="K67" s="11" t="s">
        <v>96</v>
      </c>
      <c r="L67" s="11">
        <f>(C76-B76)/(0.5*(C76+B76))</f>
        <v>-0.1200104053754433</v>
      </c>
    </row>
    <row r="68" spans="1:12" x14ac:dyDescent="0.25">
      <c r="A68" s="11">
        <v>-41.811385307061386</v>
      </c>
      <c r="B68" s="11">
        <v>3.2200000000000002E-3</v>
      </c>
      <c r="C68" s="11">
        <v>2.5105244690628884E-3</v>
      </c>
      <c r="D68" s="11">
        <f t="shared" si="6"/>
        <v>-5.7383739194258201</v>
      </c>
      <c r="E68" s="11">
        <f t="shared" si="7"/>
        <v>-5.987263595847951</v>
      </c>
      <c r="F68" s="11">
        <f t="shared" si="8"/>
        <v>5.0335552899849658E-7</v>
      </c>
      <c r="G68" s="11">
        <f t="shared" si="9"/>
        <v>6.1946071029513015E-2</v>
      </c>
      <c r="H68" s="11">
        <f t="shared" si="10"/>
        <v>0.77966598418102118</v>
      </c>
      <c r="I68" s="11">
        <f t="shared" si="11"/>
        <v>1</v>
      </c>
      <c r="K68" s="11" t="s">
        <v>97</v>
      </c>
      <c r="L68" s="11">
        <f>EXP(E76-D76)</f>
        <v>1.8259089634374479</v>
      </c>
    </row>
    <row r="69" spans="1:12" x14ac:dyDescent="0.25">
      <c r="A69" s="11">
        <v>-27.902589497650119</v>
      </c>
      <c r="B69" s="11">
        <v>4.7199999999999994E-3</v>
      </c>
      <c r="C69" s="11">
        <v>4.1170869653564283E-3</v>
      </c>
      <c r="D69" s="11">
        <f t="shared" si="6"/>
        <v>-5.3559464793846736</v>
      </c>
      <c r="E69" s="11">
        <f t="shared" si="7"/>
        <v>-5.492609412940074</v>
      </c>
      <c r="F69" s="11">
        <f t="shared" si="8"/>
        <v>3.635041273431199E-7</v>
      </c>
      <c r="G69" s="11">
        <f t="shared" si="9"/>
        <v>1.867675740796778E-2</v>
      </c>
      <c r="H69" s="11">
        <f t="shared" si="10"/>
        <v>0.8722641875755146</v>
      </c>
      <c r="I69" s="11">
        <f t="shared" si="11"/>
        <v>1</v>
      </c>
      <c r="K69" s="11" t="s">
        <v>98</v>
      </c>
      <c r="L69" s="11">
        <f>F76/(B76*C76)</f>
        <v>0.28167939536479675</v>
      </c>
    </row>
    <row r="70" spans="1:12" x14ac:dyDescent="0.25">
      <c r="A70" s="11">
        <v>-13.959798681000388</v>
      </c>
      <c r="B70" s="11">
        <v>8.369999999999999E-3</v>
      </c>
      <c r="C70" s="11">
        <v>5.5292470746900095E-3</v>
      </c>
      <c r="D70" s="11">
        <f t="shared" si="6"/>
        <v>-4.7831013944807532</v>
      </c>
      <c r="E70" s="11">
        <f t="shared" si="7"/>
        <v>-5.1977036255764846</v>
      </c>
      <c r="F70" s="11">
        <f t="shared" si="8"/>
        <v>8.069877182657262E-6</v>
      </c>
      <c r="G70" s="11">
        <f t="shared" si="9"/>
        <v>0.17189501002955823</v>
      </c>
      <c r="H70" s="11">
        <f t="shared" si="10"/>
        <v>0.66060299578136328</v>
      </c>
      <c r="I70" s="11">
        <f t="shared" si="11"/>
        <v>1</v>
      </c>
      <c r="K70" s="11" t="s">
        <v>99</v>
      </c>
      <c r="L70" s="11">
        <f>EXP(G76)</f>
        <v>6.8536496658717603</v>
      </c>
    </row>
    <row r="71" spans="1:12" x14ac:dyDescent="0.25">
      <c r="A71" s="11">
        <v>0</v>
      </c>
      <c r="B71" s="11">
        <v>9.0299999999999998E-3</v>
      </c>
      <c r="C71" s="11">
        <v>6.0984892883826037E-3</v>
      </c>
      <c r="D71" s="11">
        <f t="shared" si="6"/>
        <v>-4.7072029115532432</v>
      </c>
      <c r="E71" s="11">
        <f t="shared" si="7"/>
        <v>-5.0997141961172856</v>
      </c>
      <c r="F71" s="11">
        <f t="shared" si="8"/>
        <v>8.5937550523275313E-6</v>
      </c>
      <c r="G71" s="11">
        <f t="shared" si="9"/>
        <v>0.15406510851011465</v>
      </c>
      <c r="H71" s="11">
        <f t="shared" si="10"/>
        <v>0.67535872518079776</v>
      </c>
      <c r="I71" s="11">
        <f t="shared" si="11"/>
        <v>1</v>
      </c>
      <c r="K71" s="11" t="s">
        <v>90</v>
      </c>
      <c r="L71" s="11">
        <f>SUM(I66:I75) / COUNTA(B66:B75)</f>
        <v>0.7</v>
      </c>
    </row>
    <row r="72" spans="1:12" x14ac:dyDescent="0.25">
      <c r="A72" s="11">
        <v>13.959798681000388</v>
      </c>
      <c r="B72" s="11">
        <v>8.43E-3</v>
      </c>
      <c r="C72" s="11">
        <v>5.5292470746900095E-3</v>
      </c>
      <c r="D72" s="11">
        <f t="shared" si="6"/>
        <v>-4.7759585069683732</v>
      </c>
      <c r="E72" s="11">
        <f t="shared" si="7"/>
        <v>-5.1977036255764846</v>
      </c>
      <c r="F72" s="11">
        <f t="shared" si="8"/>
        <v>8.4143675336944672E-6</v>
      </c>
      <c r="G72" s="11">
        <f t="shared" si="9"/>
        <v>0.17786894506976994</v>
      </c>
      <c r="H72" s="11">
        <f t="shared" si="10"/>
        <v>0.65590119509964528</v>
      </c>
      <c r="I72" s="11">
        <f t="shared" si="11"/>
        <v>1</v>
      </c>
    </row>
    <row r="73" spans="1:12" x14ac:dyDescent="0.25">
      <c r="A73" s="11">
        <v>27.902589497650119</v>
      </c>
      <c r="B73" s="11">
        <v>2.1800000000000001E-3</v>
      </c>
      <c r="C73" s="11">
        <v>4.1170869653564283E-3</v>
      </c>
      <c r="D73" s="11">
        <f t="shared" si="6"/>
        <v>-6.1284304021811398</v>
      </c>
      <c r="E73" s="11">
        <f t="shared" si="7"/>
        <v>-5.492609412940074</v>
      </c>
      <c r="F73" s="11">
        <f t="shared" si="8"/>
        <v>3.752305911353776E-6</v>
      </c>
      <c r="G73" s="11">
        <f t="shared" si="9"/>
        <v>0.4042683303594875</v>
      </c>
      <c r="H73" s="11">
        <f t="shared" si="10"/>
        <v>1.8885720024570771</v>
      </c>
      <c r="I73" s="11">
        <f t="shared" si="11"/>
        <v>1</v>
      </c>
    </row>
    <row r="74" spans="1:12" x14ac:dyDescent="0.25">
      <c r="A74" s="11">
        <v>41.811385307061364</v>
      </c>
      <c r="B74" s="11">
        <v>4.8499999999999997E-4</v>
      </c>
      <c r="C74" s="11">
        <v>2.5105244690628906E-3</v>
      </c>
      <c r="D74" s="11">
        <f t="shared" si="6"/>
        <v>-7.6313616670267912</v>
      </c>
      <c r="E74" s="11">
        <f t="shared" si="7"/>
        <v>-5.9872635958479501</v>
      </c>
      <c r="F74" s="11">
        <f t="shared" si="8"/>
        <v>4.1027493747725062E-6</v>
      </c>
      <c r="G74" s="11">
        <f t="shared" si="9"/>
        <v>2.7030584676539857</v>
      </c>
      <c r="H74" s="11">
        <f t="shared" si="10"/>
        <v>5.1763391114698782</v>
      </c>
      <c r="I74" s="11">
        <f t="shared" si="11"/>
        <v>0</v>
      </c>
    </row>
    <row r="75" spans="1:12" x14ac:dyDescent="0.25">
      <c r="A75" s="11">
        <v>55.669240384026352</v>
      </c>
      <c r="B75" s="11">
        <v>3.5000000000000004E-5</v>
      </c>
      <c r="C75" s="11">
        <v>1.2477016841670775E-3</v>
      </c>
      <c r="D75" s="11">
        <f t="shared" si="6"/>
        <v>-10.260162496474861</v>
      </c>
      <c r="E75" s="11">
        <f t="shared" si="7"/>
        <v>-6.6864520727308836</v>
      </c>
      <c r="F75" s="11">
        <f t="shared" si="8"/>
        <v>1.4706453747816659E-6</v>
      </c>
      <c r="G75" s="11">
        <f t="shared" si="9"/>
        <v>12.771406192776356</v>
      </c>
      <c r="H75" s="11">
        <f t="shared" si="10"/>
        <v>35.64861954763078</v>
      </c>
      <c r="I75" s="11">
        <f t="shared" si="11"/>
        <v>0</v>
      </c>
    </row>
    <row r="76" spans="1:12" x14ac:dyDescent="0.25">
      <c r="B76" s="11">
        <f>AVERAGE(B66:B75)</f>
        <v>3.7675E-3</v>
      </c>
      <c r="C76" s="11">
        <f t="shared" ref="C76:H76" si="14">AVERAGE(C66:C75)</f>
        <v>3.3409556763442762E-3</v>
      </c>
      <c r="D76" s="11">
        <f t="shared" si="14"/>
        <v>-6.5445566707517271</v>
      </c>
      <c r="E76" s="11">
        <f t="shared" si="14"/>
        <v>-5.9424787455515542</v>
      </c>
      <c r="F76" s="11">
        <f t="shared" si="14"/>
        <v>3.5455127772595866E-6</v>
      </c>
      <c r="G76" s="11">
        <f t="shared" si="14"/>
        <v>1.9247813083251917</v>
      </c>
    </row>
    <row r="78" spans="1:12" x14ac:dyDescent="0.25">
      <c r="A78" s="11" t="s">
        <v>104</v>
      </c>
    </row>
    <row r="79" spans="1:12" x14ac:dyDescent="0.25">
      <c r="A79" s="11" t="s">
        <v>56</v>
      </c>
      <c r="B79" s="11" t="s">
        <v>84</v>
      </c>
      <c r="C79" s="11" t="s">
        <v>85</v>
      </c>
      <c r="D79" s="11" t="s">
        <v>86</v>
      </c>
      <c r="E79" s="11" t="s">
        <v>87</v>
      </c>
      <c r="F79" s="11" t="s">
        <v>88</v>
      </c>
      <c r="G79" s="11" t="s">
        <v>89</v>
      </c>
      <c r="H79" s="11" t="s">
        <v>90</v>
      </c>
    </row>
    <row r="80" spans="1:12" x14ac:dyDescent="0.25">
      <c r="A80" s="11">
        <v>-125.1475720321847</v>
      </c>
      <c r="B80" s="11">
        <v>2.0000000000000002E-5</v>
      </c>
      <c r="C80" s="11">
        <v>2.2500007919418923E-4</v>
      </c>
      <c r="D80" s="11">
        <f t="shared" si="6"/>
        <v>-10.819778284410283</v>
      </c>
      <c r="E80" s="11">
        <f t="shared" si="7"/>
        <v>-8.3994098037857423</v>
      </c>
      <c r="F80" s="11">
        <f t="shared" si="8"/>
        <v>4.2025032469623856E-8</v>
      </c>
      <c r="G80" s="11">
        <f t="shared" si="9"/>
        <v>5.8581835820007484</v>
      </c>
      <c r="H80" s="11">
        <f t="shared" si="10"/>
        <v>11.25000395970946</v>
      </c>
      <c r="I80" s="11">
        <f t="shared" si="11"/>
        <v>0</v>
      </c>
    </row>
    <row r="81" spans="1:12" x14ac:dyDescent="0.25">
      <c r="A81" s="11">
        <v>-111.33848076805235</v>
      </c>
      <c r="B81" s="11">
        <v>2.1499999999999999E-4</v>
      </c>
      <c r="C81" s="11">
        <v>3.5107893679042524E-4</v>
      </c>
      <c r="D81" s="11">
        <f t="shared" si="6"/>
        <v>-8.4448725298366121</v>
      </c>
      <c r="E81" s="11">
        <f t="shared" si="7"/>
        <v>-7.9544994686418171</v>
      </c>
      <c r="F81" s="11">
        <f t="shared" si="8"/>
        <v>1.8517477038012549E-8</v>
      </c>
      <c r="G81" s="11">
        <f t="shared" si="9"/>
        <v>0.24046573914555411</v>
      </c>
      <c r="H81" s="11">
        <f t="shared" si="10"/>
        <v>1.6329252873973268</v>
      </c>
      <c r="I81" s="11">
        <f t="shared" si="11"/>
        <v>1</v>
      </c>
      <c r="K81" s="11" t="s">
        <v>96</v>
      </c>
      <c r="L81" s="11">
        <f>(C95-B95)/(0.5*(C95+B95))</f>
        <v>-0.13943668054221456</v>
      </c>
    </row>
    <row r="82" spans="1:12" x14ac:dyDescent="0.25">
      <c r="A82" s="11">
        <v>-97.495474724117983</v>
      </c>
      <c r="B82" s="11">
        <v>5.9499999999999993E-4</v>
      </c>
      <c r="C82" s="11">
        <v>5.1860334806998285E-4</v>
      </c>
      <c r="D82" s="11">
        <f t="shared" si="6"/>
        <v>-7.4269491524186444</v>
      </c>
      <c r="E82" s="11">
        <f t="shared" si="7"/>
        <v>-7.5643712289029512</v>
      </c>
      <c r="F82" s="11">
        <f t="shared" si="8"/>
        <v>5.836448426116183E-9</v>
      </c>
      <c r="G82" s="11">
        <f t="shared" si="9"/>
        <v>1.8884827105258673E-2</v>
      </c>
      <c r="H82" s="11">
        <f t="shared" si="10"/>
        <v>0.87160226566383681</v>
      </c>
      <c r="I82" s="11">
        <f t="shared" si="11"/>
        <v>1</v>
      </c>
      <c r="K82" s="11" t="s">
        <v>97</v>
      </c>
      <c r="L82" s="11">
        <f>EXP(E95-D95)</f>
        <v>1.3637929566712319</v>
      </c>
    </row>
    <row r="83" spans="1:12" x14ac:dyDescent="0.25">
      <c r="A83" s="11">
        <v>-83.622770614122771</v>
      </c>
      <c r="B83" s="11">
        <v>9.1500000000000001E-4</v>
      </c>
      <c r="C83" s="11">
        <v>7.2590182075242017E-4</v>
      </c>
      <c r="D83" s="11">
        <f t="shared" si="6"/>
        <v>-6.9965864926887527</v>
      </c>
      <c r="E83" s="11">
        <f t="shared" si="7"/>
        <v>-7.2280957854076897</v>
      </c>
      <c r="F83" s="11">
        <f t="shared" si="8"/>
        <v>3.5758121394749836E-8</v>
      </c>
      <c r="G83" s="11">
        <f t="shared" si="9"/>
        <v>5.3596552615222483E-2</v>
      </c>
      <c r="H83" s="11">
        <f t="shared" si="10"/>
        <v>0.79333532322668865</v>
      </c>
      <c r="I83" s="11">
        <f t="shared" si="11"/>
        <v>1</v>
      </c>
      <c r="K83" s="11" t="s">
        <v>98</v>
      </c>
      <c r="L83" s="11">
        <f>F95/(B95*C95)</f>
        <v>0.31627522781105999</v>
      </c>
    </row>
    <row r="84" spans="1:12" x14ac:dyDescent="0.25">
      <c r="A84" s="11">
        <v>-69.724594198126539</v>
      </c>
      <c r="B84" s="11">
        <v>1.2600000000000001E-3</v>
      </c>
      <c r="C84" s="11">
        <v>9.63558425683265E-4</v>
      </c>
      <c r="D84" s="11">
        <f t="shared" si="6"/>
        <v>-6.6766435580187506</v>
      </c>
      <c r="E84" s="11">
        <f t="shared" si="7"/>
        <v>-6.9448774329413023</v>
      </c>
      <c r="F84" s="11">
        <f t="shared" si="8"/>
        <v>8.7877606983384355E-8</v>
      </c>
      <c r="G84" s="11">
        <f t="shared" si="9"/>
        <v>7.1949411655967105E-2</v>
      </c>
      <c r="H84" s="11">
        <f t="shared" si="10"/>
        <v>0.76472890927243253</v>
      </c>
      <c r="I84" s="11">
        <f t="shared" si="11"/>
        <v>1</v>
      </c>
      <c r="K84" s="11" t="s">
        <v>99</v>
      </c>
      <c r="L84" s="11">
        <f>EXP(G95)</f>
        <v>2.9288444399751006</v>
      </c>
    </row>
    <row r="85" spans="1:12" x14ac:dyDescent="0.25">
      <c r="A85" s="11">
        <v>-55.805178995300238</v>
      </c>
      <c r="B85" s="11">
        <v>1.1100000000000001E-3</v>
      </c>
      <c r="C85" s="11">
        <v>1.2137387250771971E-3</v>
      </c>
      <c r="D85" s="11">
        <f t="shared" si="6"/>
        <v>-6.8033952636578938</v>
      </c>
      <c r="E85" s="11">
        <f t="shared" si="7"/>
        <v>-6.7140498277306619</v>
      </c>
      <c r="F85" s="11">
        <f t="shared" si="8"/>
        <v>1.076172308064226E-8</v>
      </c>
      <c r="G85" s="11">
        <f t="shared" si="9"/>
        <v>7.9826069210270963E-3</v>
      </c>
      <c r="H85" s="11">
        <f t="shared" si="10"/>
        <v>1.0934583108803577</v>
      </c>
      <c r="I85" s="11">
        <f t="shared" si="11"/>
        <v>1</v>
      </c>
      <c r="K85" s="11" t="s">
        <v>90</v>
      </c>
      <c r="L85" s="11">
        <f>SUM(I80:I94) / COUNTA(B80:B94)</f>
        <v>0.8</v>
      </c>
    </row>
    <row r="86" spans="1:12" x14ac:dyDescent="0.25">
      <c r="A86" s="11">
        <v>-41.868764994355068</v>
      </c>
      <c r="B86" s="11">
        <v>1.4599999999999999E-3</v>
      </c>
      <c r="C86" s="11">
        <v>1.4516238265597536E-3</v>
      </c>
      <c r="D86" s="11">
        <f t="shared" si="6"/>
        <v>-6.5293188432618923</v>
      </c>
      <c r="E86" s="11">
        <f t="shared" si="7"/>
        <v>-6.5350724687618902</v>
      </c>
      <c r="F86" s="11">
        <f t="shared" si="8"/>
        <v>7.0160281501088638E-11</v>
      </c>
      <c r="G86" s="11">
        <f t="shared" si="9"/>
        <v>3.3104206394226275E-5</v>
      </c>
      <c r="H86" s="11">
        <f t="shared" si="10"/>
        <v>0.99426289490394082</v>
      </c>
      <c r="I86" s="11">
        <f t="shared" si="11"/>
        <v>1</v>
      </c>
    </row>
    <row r="87" spans="1:12" x14ac:dyDescent="0.25">
      <c r="A87" s="11">
        <v>-27.919597362000776</v>
      </c>
      <c r="B87" s="11">
        <v>2.31E-3</v>
      </c>
      <c r="C87" s="11">
        <v>1.649096262279984E-3</v>
      </c>
      <c r="D87" s="11">
        <f t="shared" si="6"/>
        <v>-6.0705077544484345</v>
      </c>
      <c r="E87" s="11">
        <f t="shared" si="7"/>
        <v>-6.4075278609532607</v>
      </c>
      <c r="F87" s="11">
        <f t="shared" si="8"/>
        <v>4.3679375053228761E-7</v>
      </c>
      <c r="G87" s="11">
        <f t="shared" si="9"/>
        <v>0.11358255218852437</v>
      </c>
      <c r="H87" s="11">
        <f t="shared" si="10"/>
        <v>0.71389448583549098</v>
      </c>
      <c r="I87" s="11">
        <f t="shared" si="11"/>
        <v>1</v>
      </c>
    </row>
    <row r="88" spans="1:12" x14ac:dyDescent="0.25">
      <c r="A88" s="11">
        <v>-13.96192514982681</v>
      </c>
      <c r="B88" s="11">
        <v>3.0299999999999997E-3</v>
      </c>
      <c r="C88" s="11">
        <v>1.7800401929778645E-3</v>
      </c>
      <c r="D88" s="11">
        <f t="shared" si="6"/>
        <v>-5.7991926594608589</v>
      </c>
      <c r="E88" s="11">
        <f t="shared" si="7"/>
        <v>-6.3311193346084318</v>
      </c>
      <c r="F88" s="11">
        <f t="shared" si="8"/>
        <v>1.5623995191708136E-6</v>
      </c>
      <c r="G88" s="11">
        <f t="shared" si="9"/>
        <v>0.28294598773355151</v>
      </c>
      <c r="H88" s="11">
        <f t="shared" si="10"/>
        <v>0.58747201088378376</v>
      </c>
      <c r="I88" s="11">
        <f t="shared" si="11"/>
        <v>1</v>
      </c>
    </row>
    <row r="89" spans="1:12" x14ac:dyDescent="0.25">
      <c r="A89" s="11">
        <v>0</v>
      </c>
      <c r="B89" s="11">
        <v>3.2599999999999999E-3</v>
      </c>
      <c r="C89" s="11">
        <v>1.8259233008390812E-3</v>
      </c>
      <c r="D89" s="11">
        <f t="shared" si="6"/>
        <v>-5.7260280836035209</v>
      </c>
      <c r="E89" s="11">
        <f t="shared" si="7"/>
        <v>-6.3056695016131918</v>
      </c>
      <c r="F89" s="11">
        <f t="shared" si="8"/>
        <v>2.0565759790762759E-6</v>
      </c>
      <c r="G89" s="11">
        <f t="shared" si="9"/>
        <v>0.33598417347226212</v>
      </c>
      <c r="H89" s="11">
        <f t="shared" si="10"/>
        <v>0.56009917203652804</v>
      </c>
      <c r="I89" s="11">
        <f t="shared" si="11"/>
        <v>1</v>
      </c>
    </row>
    <row r="90" spans="1:12" x14ac:dyDescent="0.25">
      <c r="A90" s="11">
        <v>13.96192514982681</v>
      </c>
      <c r="B90" s="11">
        <v>2.9500000000000004E-3</v>
      </c>
      <c r="C90" s="11">
        <v>1.7800401929778645E-3</v>
      </c>
      <c r="D90" s="11">
        <f t="shared" si="6"/>
        <v>-5.8259501086304084</v>
      </c>
      <c r="E90" s="11">
        <f t="shared" si="7"/>
        <v>-6.3311193346084318</v>
      </c>
      <c r="F90" s="11">
        <f t="shared" si="8"/>
        <v>1.3688059500472735E-6</v>
      </c>
      <c r="G90" s="11">
        <f t="shared" si="9"/>
        <v>0.25519594687523528</v>
      </c>
      <c r="H90" s="11">
        <f t="shared" si="10"/>
        <v>0.60340345524673367</v>
      </c>
      <c r="I90" s="11">
        <f t="shared" si="11"/>
        <v>1</v>
      </c>
    </row>
    <row r="91" spans="1:12" x14ac:dyDescent="0.25">
      <c r="A91" s="11">
        <v>27.919597362000776</v>
      </c>
      <c r="B91" s="11">
        <v>1.99E-3</v>
      </c>
      <c r="C91" s="11">
        <v>1.649096262279984E-3</v>
      </c>
      <c r="D91" s="11">
        <f t="shared" si="6"/>
        <v>-6.2196206402457364</v>
      </c>
      <c r="E91" s="11">
        <f t="shared" si="7"/>
        <v>-6.4075278609532607</v>
      </c>
      <c r="F91" s="11">
        <f t="shared" si="8"/>
        <v>1.1621535839147744E-7</v>
      </c>
      <c r="G91" s="11">
        <f t="shared" si="9"/>
        <v>3.530912359402625E-2</v>
      </c>
      <c r="H91" s="11">
        <f t="shared" si="10"/>
        <v>0.82869158908541907</v>
      </c>
      <c r="I91" s="11">
        <f t="shared" si="11"/>
        <v>1</v>
      </c>
    </row>
    <row r="92" spans="1:12" x14ac:dyDescent="0.25">
      <c r="A92" s="11">
        <v>41.868764994355068</v>
      </c>
      <c r="B92" s="11">
        <v>9.5500000000000001E-4</v>
      </c>
      <c r="C92" s="11">
        <v>1.4516238265597536E-3</v>
      </c>
      <c r="D92" s="11">
        <f t="shared" si="6"/>
        <v>-6.9537992174835441</v>
      </c>
      <c r="E92" s="11">
        <f t="shared" si="7"/>
        <v>-6.5350724687618902</v>
      </c>
      <c r="F92" s="11">
        <f t="shared" si="8"/>
        <v>2.4663522510685218E-7</v>
      </c>
      <c r="G92" s="11">
        <f t="shared" si="9"/>
        <v>0.17533209009500711</v>
      </c>
      <c r="H92" s="11">
        <f t="shared" si="10"/>
        <v>1.5200249492772289</v>
      </c>
      <c r="I92" s="11">
        <f t="shared" si="11"/>
        <v>1</v>
      </c>
    </row>
    <row r="93" spans="1:12" x14ac:dyDescent="0.25">
      <c r="A93" s="11">
        <v>55.805178995300238</v>
      </c>
      <c r="B93" s="11">
        <v>2.8000000000000003E-4</v>
      </c>
      <c r="C93" s="11">
        <v>1.2137387250771971E-3</v>
      </c>
      <c r="D93" s="11">
        <f t="shared" si="6"/>
        <v>-8.1807209547950244</v>
      </c>
      <c r="E93" s="11">
        <f t="shared" si="7"/>
        <v>-6.7140498277306619</v>
      </c>
      <c r="F93" s="11">
        <f t="shared" si="8"/>
        <v>8.7186800670878929E-7</v>
      </c>
      <c r="G93" s="11">
        <f t="shared" si="9"/>
        <v>2.1511241949642472</v>
      </c>
      <c r="H93" s="11">
        <f t="shared" si="10"/>
        <v>4.3347811609899889</v>
      </c>
      <c r="I93" s="11">
        <f t="shared" si="11"/>
        <v>0</v>
      </c>
    </row>
    <row r="94" spans="1:12" x14ac:dyDescent="0.25">
      <c r="A94" s="11">
        <v>69.724594198126653</v>
      </c>
      <c r="B94" s="11">
        <v>7.4999999999999993E-5</v>
      </c>
      <c r="C94" s="11">
        <v>9.6355842568326294E-4</v>
      </c>
      <c r="D94" s="11">
        <f t="shared" ref="D94:E94" si="15">LN(B94)</f>
        <v>-9.4980224444279635</v>
      </c>
      <c r="E94" s="11">
        <f t="shared" si="15"/>
        <v>-6.9448774329413041</v>
      </c>
      <c r="F94" s="11">
        <f t="shared" ref="F94" si="16">(C94-B94)^2</f>
        <v>7.8953607585271878E-7</v>
      </c>
      <c r="G94" s="11">
        <f t="shared" ref="G94" si="17">(E94-D94)^2</f>
        <v>6.518549449679214</v>
      </c>
      <c r="H94" s="11">
        <f t="shared" ref="H94" si="18">C94/B94</f>
        <v>12.847445675776841</v>
      </c>
      <c r="I94" s="11">
        <f t="shared" ref="I94" si="19">IF(AND(C94 &gt;= 0.5 * B94, C94 &lt;= 2 * B94), 1, 0)</f>
        <v>0</v>
      </c>
    </row>
    <row r="95" spans="1:12" x14ac:dyDescent="0.25">
      <c r="B95" s="11">
        <f>AVERAGE(B80:B94)</f>
        <v>1.3616666666666666E-3</v>
      </c>
      <c r="C95" s="11">
        <f t="shared" ref="C95:G95" si="20">AVERAGE(C80:C94)</f>
        <v>1.1841748233868152E-3</v>
      </c>
      <c r="D95" s="11">
        <f t="shared" si="20"/>
        <v>-7.1980923991592221</v>
      </c>
      <c r="E95" s="11">
        <f t="shared" si="20"/>
        <v>-6.8878226425561673</v>
      </c>
      <c r="F95" s="11">
        <f t="shared" si="20"/>
        <v>5.0997842897070122E-7</v>
      </c>
      <c r="G95" s="11">
        <f t="shared" si="20"/>
        <v>1.0746079561501494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Stability</vt:lpstr>
      <vt:lpstr>Wind speed graph</vt:lpstr>
      <vt:lpstr>simulations</vt:lpstr>
      <vt:lpstr>Arc 50</vt:lpstr>
      <vt:lpstr>Arc 100</vt:lpstr>
      <vt:lpstr>Arc 200</vt:lpstr>
      <vt:lpstr>Arc 400</vt:lpstr>
      <vt:lpstr>Arc 800</vt:lpstr>
      <vt:lpstr>Performance</vt:lpstr>
      <vt:lpstr>Stability!Print_Area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Djirou</dc:creator>
  <cp:keywords/>
  <dc:description/>
  <cp:lastModifiedBy>Reine Nornormey</cp:lastModifiedBy>
  <cp:lastPrinted>2015-06-09T09:09:22Z</cp:lastPrinted>
  <dcterms:created xsi:type="dcterms:W3CDTF">2013-04-21T22:12:52Z</dcterms:created>
  <dcterms:modified xsi:type="dcterms:W3CDTF">2024-05-23T19:27:21Z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511B3F6F398C4D9E946716A4E7776016</vt:lpwstr>
  </property>
  <property fmtid="{D5CDD505-2E9C-101B-9397-08002B2CF9AE}" pid="3" name="KSOProductBuildVer">
    <vt:lpwstr>1033-11.2.0.11042</vt:lpwstr>
  </property>
</Properties>
</file>