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T\Amb303\"/>
    </mc:Choice>
  </mc:AlternateContent>
  <xr:revisionPtr revIDLastSave="0" documentId="8_{D93075D4-5755-401F-930B-6D3063B0209D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1. Additional Op. Info" sheetId="6" r:id="rId1"/>
    <sheet name="2. Production &amp; Market Entry" sheetId="4" r:id="rId2"/>
    <sheet name="3a. Operational Costs" sheetId="9" r:id="rId3"/>
    <sheet name="3b. Labour Costs" sheetId="15" r:id="rId4"/>
    <sheet name="4. Operational Income" sheetId="10" r:id="rId5"/>
    <sheet name="5. Investment Outcomes" sheetId="8" r:id="rId6"/>
    <sheet name="6. Strategic Profit Model" sheetId="1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8" l="1"/>
  <c r="D28" i="14"/>
  <c r="C10" i="8"/>
  <c r="B16" i="14" s="1"/>
  <c r="C13" i="15"/>
  <c r="C11" i="15"/>
  <c r="C10" i="15"/>
  <c r="C7" i="15"/>
  <c r="C8" i="8"/>
  <c r="B26" i="14"/>
  <c r="G27" i="4"/>
  <c r="E12" i="10"/>
  <c r="C5" i="8"/>
  <c r="C23" i="9"/>
  <c r="D16" i="14"/>
  <c r="B13" i="14"/>
  <c r="B7" i="14"/>
  <c r="C9" i="8"/>
  <c r="C6" i="8"/>
  <c r="C16" i="8"/>
  <c r="C22" i="10"/>
  <c r="G30" i="4"/>
  <c r="G32" i="4" s="1"/>
  <c r="E25" i="9"/>
  <c r="C5" i="10" s="1"/>
  <c r="C7" i="10" s="1"/>
  <c r="C8" i="10" s="1"/>
  <c r="C6" i="10"/>
  <c r="G28" i="4"/>
  <c r="G26" i="4"/>
  <c r="F12" i="10"/>
  <c r="C10" i="10"/>
  <c r="C6" i="15"/>
  <c r="E11" i="9"/>
  <c r="C36" i="4"/>
  <c r="C35" i="4"/>
  <c r="C34" i="4"/>
  <c r="C33" i="4"/>
  <c r="C32" i="4"/>
  <c r="C31" i="4"/>
  <c r="C30" i="4"/>
  <c r="C29" i="4"/>
  <c r="C28" i="4"/>
  <c r="C27" i="4"/>
  <c r="C25" i="4"/>
  <c r="C24" i="4"/>
  <c r="C23" i="4"/>
  <c r="C22" i="4"/>
  <c r="C21" i="4"/>
  <c r="C20" i="4"/>
  <c r="C19" i="4"/>
  <c r="C18" i="4"/>
  <c r="C17" i="4"/>
  <c r="E23" i="9"/>
  <c r="E9" i="9"/>
  <c r="C9" i="9"/>
  <c r="G25" i="4"/>
  <c r="G19" i="4"/>
  <c r="G18" i="4"/>
  <c r="G17" i="4"/>
  <c r="C12" i="4"/>
  <c r="C13" i="4" s="1"/>
  <c r="G12" i="4"/>
  <c r="G11" i="4"/>
  <c r="G9" i="4"/>
  <c r="G8" i="4"/>
  <c r="G7" i="4"/>
  <c r="C5" i="4"/>
  <c r="C6" i="4"/>
  <c r="B19" i="14" l="1"/>
  <c r="G31" i="4"/>
  <c r="G33" i="4" s="1"/>
  <c r="B10" i="14"/>
  <c r="C12" i="8"/>
  <c r="C11" i="10"/>
  <c r="C23" i="10"/>
  <c r="C24" i="10" s="1"/>
  <c r="C29" i="10" s="1"/>
  <c r="C30" i="10" s="1"/>
  <c r="C31" i="10" s="1"/>
  <c r="C16" i="10"/>
  <c r="C17" i="10" s="1"/>
  <c r="C18" i="10" s="1"/>
  <c r="C25" i="10"/>
  <c r="C9" i="10"/>
  <c r="C12" i="10" s="1"/>
  <c r="C14" i="15"/>
  <c r="C14" i="4"/>
  <c r="G34" i="4" l="1"/>
  <c r="B23" i="14"/>
  <c r="C7" i="8"/>
  <c r="C29" i="8"/>
  <c r="B4" i="14"/>
  <c r="D6" i="14" l="1"/>
  <c r="F23" i="14"/>
  <c r="F11" i="14"/>
  <c r="C14" i="8"/>
  <c r="C17" i="8" s="1"/>
  <c r="C22" i="8"/>
  <c r="C30" i="8"/>
  <c r="C31" i="8" l="1"/>
  <c r="B29" i="14"/>
  <c r="D24" i="14" s="1"/>
  <c r="C23" i="8"/>
  <c r="J17" i="14" l="1"/>
  <c r="F27" i="14"/>
  <c r="H25" i="14" s="1"/>
  <c r="D19" i="14"/>
  <c r="D9" i="14" s="1"/>
  <c r="F7" i="14" s="1"/>
  <c r="H9" i="14" s="1"/>
  <c r="C18" i="8"/>
  <c r="C32" i="8" l="1"/>
  <c r="C24" i="8"/>
</calcChain>
</file>

<file path=xl/sharedStrings.xml><?xml version="1.0" encoding="utf-8"?>
<sst xmlns="http://schemas.openxmlformats.org/spreadsheetml/2006/main" count="323" uniqueCount="256">
  <si>
    <t>metric tons</t>
  </si>
  <si>
    <t>percentage</t>
  </si>
  <si>
    <t>SKU</t>
  </si>
  <si>
    <t>Weight/ SKU</t>
  </si>
  <si>
    <t>grams</t>
  </si>
  <si>
    <t>boxes</t>
  </si>
  <si>
    <t>pcs/box</t>
  </si>
  <si>
    <t>kg</t>
  </si>
  <si>
    <t>Needed # pallets</t>
  </si>
  <si>
    <t>Total Production (boxes)</t>
  </si>
  <si>
    <t>Total Production (weight)</t>
  </si>
  <si>
    <t># boxes</t>
  </si>
  <si>
    <t># pallets/year</t>
  </si>
  <si>
    <t>metric tons/year</t>
  </si>
  <si>
    <t>Customers needed for total sales</t>
  </si>
  <si>
    <t>Sorbet Sales volume:</t>
  </si>
  <si>
    <t>on EBIT</t>
  </si>
  <si>
    <t>Current Production:</t>
  </si>
  <si>
    <t>Production Utilization:</t>
  </si>
  <si>
    <t>SKU's / box</t>
  </si>
  <si>
    <t>Load / pallet</t>
  </si>
  <si>
    <t>boxes/pallet</t>
  </si>
  <si>
    <t>boxes per week</t>
  </si>
  <si>
    <t>boxes per annum</t>
  </si>
  <si>
    <t>Total tons/year</t>
  </si>
  <si>
    <t>Raw material costs / SKU (fruit)</t>
  </si>
  <si>
    <t>Raw material costs / SKU (all other)</t>
  </si>
  <si>
    <t>Storage &amp; Logistic costs / SKU</t>
  </si>
  <si>
    <t>Marketing costs / SKU</t>
  </si>
  <si>
    <t>Overhead costs / SKU</t>
  </si>
  <si>
    <t>Revenue</t>
  </si>
  <si>
    <t>COGS</t>
  </si>
  <si>
    <t>Gross Profit</t>
  </si>
  <si>
    <t>Transportation cost</t>
  </si>
  <si>
    <t>Warehousing cost</t>
  </si>
  <si>
    <t>Inventory Carrying cost</t>
  </si>
  <si>
    <t>Other Op. Expenses</t>
  </si>
  <si>
    <t>EBIT</t>
  </si>
  <si>
    <t>Interest</t>
  </si>
  <si>
    <t>Taxes</t>
  </si>
  <si>
    <t>Net Profit</t>
  </si>
  <si>
    <t>Income Statement</t>
  </si>
  <si>
    <t>Sales price $ /SKU</t>
  </si>
  <si>
    <t>RRP (retail) $ / SKU</t>
  </si>
  <si>
    <t>a</t>
  </si>
  <si>
    <t>b</t>
  </si>
  <si>
    <t>c</t>
  </si>
  <si>
    <t>d</t>
  </si>
  <si>
    <t>e</t>
  </si>
  <si>
    <t>f</t>
  </si>
  <si>
    <t>Total Costs / SKU (from p. 3)</t>
  </si>
  <si>
    <t>Total COGS / SKU:</t>
  </si>
  <si>
    <t>NOTES TO ABOVE 'a, b, c, d, e, f and g':</t>
  </si>
  <si>
    <t>Total Inventory @ IRP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</si>
  <si>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</si>
  <si>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</si>
  <si>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</si>
  <si>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</si>
  <si>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</si>
  <si>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</si>
  <si>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</si>
  <si>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</si>
  <si>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</si>
  <si>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</si>
  <si>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</si>
  <si>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</si>
  <si>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</si>
  <si>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N/A</t>
  </si>
  <si>
    <t>Gross Profit / SKU (AUD)</t>
  </si>
  <si>
    <t>Total Gross Profit (AUD)</t>
  </si>
  <si>
    <t xml:space="preserve"> /</t>
  </si>
  <si>
    <t xml:space="preserve"> X</t>
  </si>
  <si>
    <t>+</t>
  </si>
  <si>
    <t xml:space="preserve"> +</t>
  </si>
  <si>
    <t>Units</t>
  </si>
  <si>
    <t>14)</t>
  </si>
  <si>
    <t>Inventory &amp; Asset values:</t>
  </si>
  <si>
    <t>This is the total cost per SKU to include/use where applicable (e.g. other spread sheets/boxes).</t>
  </si>
  <si>
    <t>TABLE 1</t>
  </si>
  <si>
    <t>TABLE 2</t>
  </si>
  <si>
    <t>Cost for all road transportation in applicable country/countries (regardless of distance).</t>
  </si>
  <si>
    <t>Retailers Sales</t>
  </si>
  <si>
    <t>2 weeks supply</t>
  </si>
  <si>
    <t>4 weeks supply</t>
  </si>
  <si>
    <t>FOREX conversion</t>
  </si>
  <si>
    <t>Total Operating Costs</t>
  </si>
  <si>
    <t xml:space="preserve">Minimum (safety) Inventory  </t>
  </si>
  <si>
    <t>$</t>
  </si>
  <si>
    <t>%</t>
  </si>
  <si>
    <t>$ per FY</t>
  </si>
  <si>
    <t>Other direct costs / SKU (Home Market)</t>
  </si>
  <si>
    <t>GP margin</t>
  </si>
  <si>
    <t>EBIT margin</t>
  </si>
  <si>
    <t>Net Profit margin</t>
  </si>
  <si>
    <t>Total cost from point of production to 'location of HQ storage' in Host Market (sea).</t>
  </si>
  <si>
    <t>Total cost from point of production to 'location of HQ storage' in Host Market (air).</t>
  </si>
  <si>
    <t>Sales Volume # SKU:</t>
  </si>
  <si>
    <t>Host Market Operational outcome</t>
  </si>
  <si>
    <r>
      <t xml:space="preserve">Total </t>
    </r>
    <r>
      <rPr>
        <b/>
        <sz val="11"/>
        <color rgb="FFFF0000"/>
        <rFont val="新細明體"/>
        <family val="2"/>
        <scheme val="minor"/>
      </rPr>
      <t>Base Cost/SKU when sold in Host Market:</t>
    </r>
  </si>
  <si>
    <t>MU 'C' in % / SKU</t>
  </si>
  <si>
    <t>MU 'C' in $ / SKU</t>
  </si>
  <si>
    <t>a) complete an Income Statement for WoS (with air shipments from Home Market); and,</t>
  </si>
  <si>
    <t>Weight / pallet (total)</t>
  </si>
  <si>
    <t>Other operating costs (admin)</t>
  </si>
  <si>
    <t>Transport 1 costs / SKU (Raw Material)</t>
  </si>
  <si>
    <t>Transport 2 costs / SKU (FGI) by road</t>
  </si>
  <si>
    <t>Transport 3 costs / SKU (FGI) by sea</t>
  </si>
  <si>
    <t>TABLE 3</t>
  </si>
  <si>
    <t>TABLE 4</t>
  </si>
  <si>
    <t>-</t>
  </si>
  <si>
    <t>Gross Margin</t>
  </si>
  <si>
    <t>Total Expenses</t>
  </si>
  <si>
    <t>Net Profit Margin</t>
  </si>
  <si>
    <t>Transport. Costs</t>
  </si>
  <si>
    <t>Warehousing costs</t>
  </si>
  <si>
    <t>ROA</t>
  </si>
  <si>
    <t>Inventory Carrying</t>
  </si>
  <si>
    <t>Interests</t>
  </si>
  <si>
    <t>Other Oper. Costs</t>
  </si>
  <si>
    <t>Inventory</t>
  </si>
  <si>
    <t>Tot. Curr. Assets</t>
  </si>
  <si>
    <t>Asset Turnover</t>
  </si>
  <si>
    <t>Accts. Receivables</t>
  </si>
  <si>
    <t>Total Assets</t>
  </si>
  <si>
    <r>
      <t xml:space="preserve">EBIT </t>
    </r>
    <r>
      <rPr>
        <sz val="12"/>
        <rFont val="新細明體"/>
        <family val="2"/>
        <scheme val="minor"/>
      </rPr>
      <t>(Earnings Before Interests &amp; Tax)</t>
    </r>
  </si>
  <si>
    <t>FOREX Rates</t>
  </si>
  <si>
    <t>d) compare the NPM and ROA and reflect upon the outcomes vs. the Income Statements.</t>
  </si>
  <si>
    <t>Tamarillo</t>
  </si>
  <si>
    <t>Curuba</t>
  </si>
  <si>
    <t>Lucuma</t>
  </si>
  <si>
    <t>Cost from point of sourcing to point of storage/production.</t>
  </si>
  <si>
    <t>g</t>
  </si>
  <si>
    <t xml:space="preserve">Human Resources </t>
  </si>
  <si>
    <t># of needed FTE's:</t>
  </si>
  <si>
    <t>Monthly Salary / FTE Bs:</t>
  </si>
  <si>
    <t>Monthly Salary / FTE $:</t>
  </si>
  <si>
    <t>Social Costs %:</t>
  </si>
  <si>
    <t>Total Monthly Labour Costs ($BOL)</t>
  </si>
  <si>
    <t>Total Monthly Labour Costs (AUD)</t>
  </si>
  <si>
    <t>Total Annual Labour Costs ($BOL)</t>
  </si>
  <si>
    <t>Total Annual Labour Costs (AUD)</t>
  </si>
  <si>
    <t>FOREX: AUD-BOL                              =</t>
  </si>
  <si>
    <t>FOREX: BOL-AUD                              =</t>
  </si>
  <si>
    <t>Retailers Profit Contribution</t>
  </si>
  <si>
    <t xml:space="preserve">FOREX: AUD-BOL                                                 =   </t>
  </si>
  <si>
    <t>FOREX: BOL-AUD                                                 =</t>
  </si>
  <si>
    <t>Sales price Bs / SKU</t>
  </si>
  <si>
    <t>Sales Revenue Bs total</t>
  </si>
  <si>
    <t>RRP (retail) Bs / SKU</t>
  </si>
  <si>
    <t>MU (the applicable) $ / SKU</t>
  </si>
  <si>
    <t>Total Profit contribution (BOL)</t>
  </si>
  <si>
    <t>Alt. D: WoS</t>
  </si>
  <si>
    <t>Air Cargo (to Host Market)</t>
  </si>
  <si>
    <t xml:space="preserve">   ['AR$' = ((('# Deliver. per week' * SKU per box) *(% of '# Customers '))* # weeks))) * 'Sales Price SKU$']</t>
  </si>
  <si>
    <t>Other Current Assets</t>
  </si>
  <si>
    <t xml:space="preserve"> </t>
  </si>
  <si>
    <t xml:space="preserve">   ['Other Current Assets $' = 'Monthly average of EBIT in one fiscal year']</t>
  </si>
  <si>
    <t>Transport 4 costs / SKU (Raw Material) by air</t>
  </si>
  <si>
    <t>Financial Comparison:</t>
  </si>
  <si>
    <t>b) calculate the GP-margin, EBIT-margin, and NP-margin; and,</t>
  </si>
  <si>
    <t>c) complete the Strategic Profit Model; and</t>
  </si>
  <si>
    <r>
      <rPr>
        <b/>
        <i/>
        <sz val="11"/>
        <rFont val="新細明體"/>
        <family val="2"/>
        <scheme val="minor"/>
      </rPr>
      <t>Blue boxes</t>
    </r>
    <r>
      <rPr>
        <sz val="11"/>
        <rFont val="新細明體"/>
        <family val="2"/>
        <scheme val="minor"/>
      </rPr>
      <t xml:space="preserve"> = a field where you need to create the formula / insert the correct value.</t>
    </r>
  </si>
  <si>
    <t># Retailers</t>
  </si>
  <si>
    <t>Capacity needed in Host market x1</t>
  </si>
  <si>
    <t>Capacity needed in Host markets x2</t>
  </si>
  <si>
    <t>Capacity needed in Host markets x3</t>
  </si>
  <si>
    <t>Capacity needed in Host markets x4</t>
  </si>
  <si>
    <t>Capacity needed in Host markets x5</t>
  </si>
  <si>
    <t>Capacity needed in Host markets x6</t>
  </si>
  <si>
    <t>Capacity needed in Host markets x7</t>
  </si>
  <si>
    <t>Capacity needed in Host markets x8</t>
  </si>
  <si>
    <t>Capacity needed in Host markets x9</t>
  </si>
  <si>
    <t>Capacity needed in Host markets x10</t>
  </si>
  <si>
    <t>Tot. cap. needed Home + Host market x1</t>
  </si>
  <si>
    <t>Tot. cap. needed Home + Host markets x2</t>
  </si>
  <si>
    <t>Tot. cap. needed Home + Host markets x3</t>
  </si>
  <si>
    <t>Tot. cap. needed Home + Host markets x4</t>
  </si>
  <si>
    <t>Tot. cap. needed Home + Host markets x5</t>
  </si>
  <si>
    <t>Tot. cap. needed Home + Host markets x6</t>
  </si>
  <si>
    <t>Tot. cap. needed Home + Host markets x7</t>
  </si>
  <si>
    <t>Tot. cap. needed Home + Host markets x8</t>
  </si>
  <si>
    <t>Tot. cap. needed Home + Host markets x9</t>
  </si>
  <si>
    <t>Tot. cap. needed Home + Host markets x10</t>
  </si>
  <si>
    <t>Capital requirement:</t>
  </si>
  <si>
    <t xml:space="preserve">Cost of capital: </t>
  </si>
  <si>
    <t>Interest costs:</t>
  </si>
  <si>
    <t>Tax rate:</t>
  </si>
  <si>
    <t>Average customer freq. Product 1</t>
  </si>
  <si>
    <t>Average customer freq. Product 2</t>
  </si>
  <si>
    <t>Average customer freq. Product 3</t>
  </si>
  <si>
    <t>Needed # pallets: Total INV. @ IRP</t>
  </si>
  <si>
    <t># pallets</t>
  </si>
  <si>
    <t>Decide which costs to include here for this entry mode.</t>
  </si>
  <si>
    <t>Capacity expanded plant (APAC): x3</t>
  </si>
  <si>
    <r>
      <rPr>
        <b/>
        <sz val="11"/>
        <rFont val="新細明體"/>
        <family val="2"/>
        <scheme val="minor"/>
      </rPr>
      <t xml:space="preserve"> - Inventory</t>
    </r>
    <r>
      <rPr>
        <sz val="11"/>
        <rFont val="新細明體"/>
        <family val="2"/>
        <scheme val="minor"/>
      </rPr>
      <t>: ['Inventory $' = ('Total IRP Inventory * SKU#') * 'Sales Price SKU$']</t>
    </r>
  </si>
  <si>
    <r>
      <t xml:space="preserve"> - </t>
    </r>
    <r>
      <rPr>
        <b/>
        <sz val="11"/>
        <rFont val="新細明體"/>
        <family val="2"/>
        <scheme val="minor"/>
      </rPr>
      <t>Other current assets:</t>
    </r>
  </si>
  <si>
    <t>Page 1. Additional Operative Information: WoS</t>
  </si>
  <si>
    <t>Mode of Market Entry: WoS</t>
  </si>
  <si>
    <t>Mode of entry: WoS</t>
  </si>
  <si>
    <t>Production volume Product 1</t>
  </si>
  <si>
    <t>Production volume Product 2</t>
  </si>
  <si>
    <t>Production volume Product 3</t>
  </si>
  <si>
    <t>Total Production all products</t>
  </si>
  <si>
    <t>Customer demand Product 1</t>
  </si>
  <si>
    <t>Customer demand Product 2</t>
  </si>
  <si>
    <t>Customer demand Product 3</t>
  </si>
  <si>
    <t>Total customer demand all Products</t>
  </si>
  <si>
    <t>Delivery needs per Customer</t>
  </si>
  <si>
    <t>Distribution needs 'The last Km':</t>
  </si>
  <si>
    <t>Calculations</t>
  </si>
  <si>
    <t>Task/Category</t>
  </si>
  <si>
    <t>cost per SKU</t>
  </si>
  <si>
    <t>Cost of goods sold           (Home Market)</t>
  </si>
  <si>
    <t>Cost of goods sold           (Host Market)</t>
  </si>
  <si>
    <t>Operating Expenses per SKU (Home Market)</t>
  </si>
  <si>
    <t>Operating Expenses per SKU (Host Market)</t>
  </si>
  <si>
    <t>HR Needs</t>
  </si>
  <si>
    <t>Profit Contribution</t>
  </si>
  <si>
    <t>Host subsidiary (AUD)</t>
  </si>
  <si>
    <t>Host subsidiary (BOL)</t>
  </si>
  <si>
    <t>Host subsidiary SALES</t>
  </si>
  <si>
    <t>Host subsidiary Margins</t>
  </si>
  <si>
    <r>
      <t xml:space="preserve">FOREX rates: </t>
    </r>
    <r>
      <rPr>
        <i/>
        <sz val="11"/>
        <rFont val="新細明體"/>
        <family val="2"/>
        <scheme val="minor"/>
      </rPr>
      <t>AUD $1-BOL Bs 4.58 ;</t>
    </r>
    <r>
      <rPr>
        <b/>
        <i/>
        <sz val="11"/>
        <rFont val="新細明體"/>
        <family val="2"/>
        <scheme val="minor"/>
      </rPr>
      <t xml:space="preserve"> </t>
    </r>
    <r>
      <rPr>
        <i/>
        <sz val="11"/>
        <rFont val="新細明體"/>
        <family val="2"/>
        <scheme val="minor"/>
      </rPr>
      <t>BOL Bs1-AUD $0,218 (fixed rates).</t>
    </r>
    <phoneticPr fontId="36" type="noConversion"/>
  </si>
  <si>
    <r>
      <rPr>
        <b/>
        <i/>
        <sz val="11"/>
        <rFont val="新細明體"/>
        <family val="2"/>
        <scheme val="minor"/>
      </rPr>
      <t>Once off- and up-front costs Entry Mode:</t>
    </r>
    <r>
      <rPr>
        <b/>
        <sz val="11"/>
        <rFont val="新細明體"/>
        <family val="2"/>
        <scheme val="minor"/>
      </rPr>
      <t xml:space="preserve"> </t>
    </r>
    <r>
      <rPr>
        <sz val="11"/>
        <rFont val="新細明體"/>
        <family val="2"/>
        <scheme val="minor"/>
      </rPr>
      <t>Capital requirements to erect a Wholly owned Subsidiary (WoS) in the Host Market is $5,950K. The WoS will be capable of operations exceeding the Home Market production capacity by 3x (times) for local supply. This investment amount is a shared Fixed Assets (FA) with the Home Market operations (50%), yet, the MENA operations pays interest on the full investment amount. There is no over-head, production, or marketing costs per SKU from the Home Market to include in this alternative.</t>
    </r>
    <phoneticPr fontId="36" type="noConversion"/>
  </si>
  <si>
    <r>
      <rPr>
        <b/>
        <i/>
        <sz val="11"/>
        <rFont val="新細明體"/>
        <family val="2"/>
        <scheme val="minor"/>
      </rPr>
      <t>Cost of Capital:</t>
    </r>
    <r>
      <rPr>
        <i/>
        <sz val="11"/>
        <rFont val="新細明體"/>
        <family val="2"/>
        <scheme val="minor"/>
      </rPr>
      <t xml:space="preserve"> </t>
    </r>
    <r>
      <rPr>
        <sz val="11"/>
        <rFont val="新細明體"/>
        <family val="2"/>
        <scheme val="minor"/>
      </rPr>
      <t>the market provides the funds at the nominal interest rate 4.35% (RBA) +9.4% in risk premium and adjustment for local inflation.</t>
    </r>
    <phoneticPr fontId="36" type="noConversion"/>
  </si>
  <si>
    <r>
      <rPr>
        <b/>
        <i/>
        <sz val="11"/>
        <rFont val="新細明體"/>
        <family val="2"/>
        <scheme val="minor"/>
      </rPr>
      <t>Sorbet servings</t>
    </r>
    <r>
      <rPr>
        <b/>
        <sz val="11"/>
        <rFont val="新細明體"/>
        <family val="2"/>
        <scheme val="minor"/>
      </rPr>
      <t>:</t>
    </r>
    <r>
      <rPr>
        <sz val="11"/>
        <rFont val="新細明體"/>
        <family val="2"/>
        <scheme val="minor"/>
      </rPr>
      <t xml:space="preserve"> each serving equals one SKU; each SKU weighs 125 gram; SKU’s are packaged in boxes of 4; one standard pallet takes 125 boxes. The box size is 200mm x 200mm x 200mm. Each fully loaded pallet equals 1m3 in volume. The three product types are similar in all and every aspects (e.g. cost, size) apart from flavour.</t>
    </r>
    <phoneticPr fontId="36" type="noConversion"/>
  </si>
  <si>
    <r>
      <rPr>
        <b/>
        <i/>
        <sz val="11"/>
        <rFont val="新細明體"/>
        <family val="2"/>
        <scheme val="minor"/>
      </rPr>
      <t xml:space="preserve">Current production: </t>
    </r>
    <r>
      <rPr>
        <sz val="11"/>
        <rFont val="新細明體"/>
        <family val="2"/>
        <scheme val="minor"/>
      </rPr>
      <t>55% of total capacity (home base utilization).</t>
    </r>
    <phoneticPr fontId="36" type="noConversion"/>
  </si>
  <si>
    <r>
      <rPr>
        <b/>
        <i/>
        <sz val="11"/>
        <rFont val="新細明體"/>
        <family val="2"/>
        <scheme val="minor"/>
      </rPr>
      <t xml:space="preserve">Company Tax Rate: </t>
    </r>
    <r>
      <rPr>
        <i/>
        <sz val="11"/>
        <rFont val="新細明體"/>
        <family val="2"/>
        <scheme val="minor"/>
      </rPr>
      <t>25</t>
    </r>
    <r>
      <rPr>
        <sz val="11"/>
        <rFont val="新細明體"/>
        <family val="2"/>
        <scheme val="minor"/>
      </rPr>
      <t>% on EBIT.</t>
    </r>
    <phoneticPr fontId="36" type="noConversion"/>
  </si>
  <si>
    <r>
      <rPr>
        <b/>
        <i/>
        <sz val="11"/>
        <rFont val="新細明體"/>
        <family val="2"/>
        <scheme val="minor"/>
      </rPr>
      <t xml:space="preserve">Transportation concerns: </t>
    </r>
    <r>
      <rPr>
        <sz val="11"/>
        <rFont val="新細明體"/>
        <family val="2"/>
        <scheme val="minor"/>
      </rPr>
      <t xml:space="preserve">use the correct TEU's or ULD's (regardless of shipping method). </t>
    </r>
    <phoneticPr fontId="36" type="noConversion"/>
  </si>
  <si>
    <r>
      <t>Additional costs:</t>
    </r>
    <r>
      <rPr>
        <b/>
        <sz val="11"/>
        <rFont val="新細明體"/>
        <family val="2"/>
        <scheme val="minor"/>
      </rPr>
      <t xml:space="preserve"> </t>
    </r>
    <r>
      <rPr>
        <sz val="11"/>
        <rFont val="新細明體"/>
        <family val="2"/>
        <scheme val="minor"/>
      </rPr>
      <t>Include all costs associated with producing at the home production plant.</t>
    </r>
    <phoneticPr fontId="36" type="noConversion"/>
  </si>
  <si>
    <r>
      <rPr>
        <b/>
        <i/>
        <sz val="11"/>
        <rFont val="新細明體"/>
        <family val="2"/>
        <scheme val="minor"/>
      </rPr>
      <t xml:space="preserve">Mark-Up 'A': </t>
    </r>
    <r>
      <rPr>
        <sz val="11"/>
        <rFont val="新細明體"/>
        <family val="2"/>
        <scheme val="minor"/>
      </rPr>
      <t>(MU for Sea-cargo) is 120% for</t>
    </r>
    <r>
      <rPr>
        <b/>
        <i/>
        <sz val="11"/>
        <rFont val="新細明體"/>
        <family val="2"/>
        <scheme val="minor"/>
      </rPr>
      <t xml:space="preserve"> </t>
    </r>
    <r>
      <rPr>
        <sz val="11"/>
        <rFont val="新細明體"/>
        <family val="2"/>
        <scheme val="minor"/>
      </rPr>
      <t>products sold by CA in MENA.</t>
    </r>
    <phoneticPr fontId="36" type="noConversion"/>
  </si>
  <si>
    <r>
      <rPr>
        <b/>
        <i/>
        <sz val="11"/>
        <rFont val="新細明體"/>
        <family val="2"/>
        <scheme val="minor"/>
      </rPr>
      <t xml:space="preserve">Mark-Up 'B': </t>
    </r>
    <r>
      <rPr>
        <sz val="11"/>
        <rFont val="新細明體"/>
        <family val="2"/>
        <scheme val="minor"/>
      </rPr>
      <t>(MU for Air-cargo) is 80% of the MU 'A' for products sold by CA in MENA.</t>
    </r>
    <phoneticPr fontId="36" type="noConversion"/>
  </si>
  <si>
    <r>
      <rPr>
        <b/>
        <i/>
        <sz val="11"/>
        <rFont val="新細明體"/>
        <family val="2"/>
        <scheme val="minor"/>
      </rPr>
      <t xml:space="preserve">Mark-Up 'C': </t>
    </r>
    <r>
      <rPr>
        <sz val="11"/>
        <rFont val="新細明體"/>
        <family val="2"/>
        <scheme val="minor"/>
      </rPr>
      <t>(MU for products re-sold by MENA Retailers) is 100% (Sea) and 90% (Air) cargo.</t>
    </r>
    <phoneticPr fontId="36" type="noConversion"/>
  </si>
  <si>
    <r>
      <t xml:space="preserve">Customer Locations: </t>
    </r>
    <r>
      <rPr>
        <sz val="11"/>
        <rFont val="新細明體"/>
        <family val="2"/>
        <scheme val="minor"/>
      </rPr>
      <t>map the locations of the target market Customer clusters and assess their approximate distance (in Km) to where the headquarter (HQ) will be located.</t>
    </r>
    <phoneticPr fontId="36" type="noConversion"/>
  </si>
  <si>
    <r>
      <t xml:space="preserve"> - </t>
    </r>
    <r>
      <rPr>
        <b/>
        <sz val="11"/>
        <rFont val="新細明體"/>
        <family val="2"/>
        <scheme val="minor"/>
      </rPr>
      <t>Accounts Receivables:</t>
    </r>
    <r>
      <rPr>
        <sz val="11"/>
        <rFont val="新細明體"/>
        <family val="2"/>
        <scheme val="minor"/>
      </rPr>
      <t xml:space="preserve"> credit time is 21 days; applies to 45% of the customers; fresh produce.</t>
    </r>
    <phoneticPr fontId="36" type="noConversion"/>
  </si>
  <si>
    <t>Weight / box</t>
    <phoneticPr fontId="36" type="noConversion"/>
  </si>
  <si>
    <t>Production Capacity:</t>
    <phoneticPr fontId="36" type="noConversion"/>
  </si>
  <si>
    <t>Available Production capacity (surplus):</t>
    <phoneticPr fontId="36" type="noConversion"/>
  </si>
  <si>
    <t>Inventory Replenishment Point (IRP)</t>
    <phoneticPr fontId="36" type="noConversion"/>
  </si>
  <si>
    <t>AUD $1-BOL Bs 4.58 ; BOL Bs1-AUD $0,218 (fixed rates).</t>
    <phoneticPr fontId="36" type="noConversion"/>
  </si>
  <si>
    <t>Total COGS / SKU / Location</t>
    <phoneticPr fontId="36" type="noConversion"/>
  </si>
  <si>
    <r>
      <t xml:space="preserve">Allocated Operating Expenses </t>
    </r>
    <r>
      <rPr>
        <sz val="11"/>
        <color theme="1"/>
        <rFont val="新細明體"/>
        <family val="2"/>
        <scheme val="minor"/>
      </rPr>
      <t>(per Location)</t>
    </r>
    <r>
      <rPr>
        <b/>
        <sz val="11"/>
        <color theme="1"/>
        <rFont val="新細明體"/>
        <family val="2"/>
        <scheme val="minor"/>
      </rPr>
      <t>:</t>
    </r>
    <phoneticPr fontId="36" type="noConversion"/>
  </si>
  <si>
    <t>Production cost / SKU (labour)</t>
    <phoneticPr fontId="36" type="noConversion"/>
  </si>
  <si>
    <t xml:space="preserve">Inventory needs / week </t>
    <phoneticPr fontId="36" type="noConversion"/>
  </si>
  <si>
    <t>$ 0,218</t>
    <phoneticPr fontId="36" type="noConversion"/>
  </si>
  <si>
    <t>Sales Revenue $ total</t>
    <phoneticPr fontId="36" type="noConversion"/>
  </si>
  <si>
    <t>MU (the applicable) % / SKU</t>
    <phoneticPr fontId="36" type="noConversion"/>
  </si>
  <si>
    <t>Total Gross Profit (AUD) / Retailer</t>
    <phoneticPr fontId="36" type="noConversion"/>
  </si>
  <si>
    <t>COGS</t>
    <phoneticPr fontId="36" type="noConversion"/>
  </si>
  <si>
    <t>Fixed Assets</t>
    <phoneticPr fontId="36" type="noConversion"/>
  </si>
  <si>
    <t>Page 3. Operational Costs &amp; Product Cost Components</t>
    <phoneticPr fontId="36" type="noConversion"/>
  </si>
  <si>
    <t>Page 2. Production &amp; Market Entry Calculations</t>
    <phoneticPr fontId="36" type="noConversion"/>
  </si>
  <si>
    <t>Page 3b. Human Resources Costs</t>
    <phoneticPr fontId="36" type="noConversion"/>
  </si>
  <si>
    <t>Page 4. Operational Income</t>
    <phoneticPr fontId="36" type="noConversion"/>
  </si>
  <si>
    <t>Page 5: Investment Outcomes</t>
    <phoneticPr fontId="36" type="noConversion"/>
  </si>
  <si>
    <t>Page 6: Investment Outcomes Strategic Profit Model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</si>
</sst>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76" formatCode="_-&quot;$&quot;* #,##0_-;\-&quot;$&quot;* #,##0_-;_-&quot;$&quot;* &quot;-&quot;??_-;_-@_-"/>
    <numFmt numFmtId="177" formatCode="_-* #,##0_-;\-* #,##0_-;_-* &quot;-&quot;??_-;_-@_-"/>
    <numFmt numFmtId="178" formatCode="_-[$£-809]* #,##0_-;\-[$£-809]* #,##0_-;_-[$£-809]* &quot;-&quot;??_-;_-@_-"/>
    <numFmt numFmtId="179" formatCode="0.0"/>
    <numFmt numFmtId="180" formatCode="_-* #,##0.0_-;\-* #,##0.0_-;_-* &quot;-&quot;??_-;_-@_-"/>
    <numFmt numFmtId="181" formatCode="0.0%"/>
    <numFmt numFmtId="182" formatCode="_-[$$-C09]* #,##0_-;\-[$$-C09]* #,##0_-;_-[$$-C09]* &quot;-&quot;??_-;_-@_-"/>
    <numFmt numFmtId="183" formatCode="_-[$Bs-400A]* #,##0_-;\-[$Bs-400A]* #,##0_-;_-[$Bs-400A]* &quot;-&quot;??_-;_-@_-"/>
    <numFmt numFmtId="184" formatCode="_-[$Bs-400A]* #,##0.00_-;\-[$Bs-400A]* #,##0.00_-;_-[$Bs-400A]* &quot;-&quot;??_-;_-@_-"/>
    <numFmt numFmtId="185" formatCode="_-&quot;$&quot;* #,##0.000_-;\-&quot;$&quot;* #,##0.000_-;_-&quot;$&quot;* &quot;-&quot;??_-;_-@_-"/>
    <numFmt numFmtId="186" formatCode="_-[$Bs-400A]* #,##0.000_-;\-[$Bs-400A]* #,##0.000_-;_-[$Bs-400A]* &quot;-&quot;??_-;_-@_-"/>
  </numFmts>
  <fonts count="37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u/>
      <sz val="11"/>
      <color theme="1"/>
      <name val="新細明體"/>
      <family val="2"/>
      <scheme val="minor"/>
    </font>
    <font>
      <u/>
      <sz val="11"/>
      <color theme="1"/>
      <name val="新細明體"/>
      <family val="2"/>
      <scheme val="minor"/>
    </font>
    <font>
      <u val="singleAccounting"/>
      <sz val="11"/>
      <color theme="1"/>
      <name val="新細明體"/>
      <family val="2"/>
      <scheme val="minor"/>
    </font>
    <font>
      <b/>
      <u val="singleAccounting"/>
      <sz val="11"/>
      <color theme="1"/>
      <name val="新細明體"/>
      <family val="2"/>
      <scheme val="minor"/>
    </font>
    <font>
      <b/>
      <u/>
      <sz val="11"/>
      <color rgb="FFFF0000"/>
      <name val="新細明體"/>
      <family val="2"/>
      <scheme val="minor"/>
    </font>
    <font>
      <sz val="11"/>
      <name val="新細明體"/>
      <family val="2"/>
      <scheme val="minor"/>
    </font>
    <font>
      <b/>
      <sz val="12"/>
      <name val="新細明體"/>
      <family val="2"/>
      <scheme val="minor"/>
    </font>
    <font>
      <sz val="12"/>
      <name val="新細明體"/>
      <family val="2"/>
      <scheme val="minor"/>
    </font>
    <font>
      <b/>
      <u/>
      <sz val="12"/>
      <name val="新細明體"/>
      <family val="2"/>
      <scheme val="minor"/>
    </font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u val="singleAccounting"/>
      <sz val="11"/>
      <name val="新細明體"/>
      <family val="2"/>
      <scheme val="minor"/>
    </font>
    <font>
      <b/>
      <sz val="11"/>
      <color rgb="FFFF0000"/>
      <name val="新細明體"/>
      <family val="2"/>
      <scheme val="minor"/>
    </font>
    <font>
      <b/>
      <sz val="14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u/>
      <sz val="11"/>
      <color rgb="FFFF0000"/>
      <name val="新細明體"/>
      <family val="2"/>
      <scheme val="minor"/>
    </font>
    <font>
      <b/>
      <i/>
      <sz val="11"/>
      <name val="新細明體"/>
      <family val="2"/>
      <scheme val="minor"/>
    </font>
    <font>
      <b/>
      <u val="singleAccounting"/>
      <sz val="11"/>
      <color rgb="FFFF0000"/>
      <name val="新細明體"/>
      <family val="2"/>
      <scheme val="minor"/>
    </font>
    <font>
      <b/>
      <u/>
      <sz val="14"/>
      <color theme="1"/>
      <name val="新細明體"/>
      <family val="2"/>
      <scheme val="minor"/>
    </font>
    <font>
      <b/>
      <u val="singleAccounting"/>
      <sz val="12"/>
      <name val="新細明體"/>
      <family val="2"/>
      <scheme val="minor"/>
    </font>
    <font>
      <b/>
      <sz val="11"/>
      <name val="新細明體"/>
      <family val="2"/>
      <scheme val="minor"/>
    </font>
    <font>
      <i/>
      <sz val="11"/>
      <name val="新細明體"/>
      <family val="2"/>
      <scheme val="minor"/>
    </font>
    <font>
      <b/>
      <u/>
      <sz val="11"/>
      <name val="新細明體"/>
      <family val="2"/>
      <scheme val="minor"/>
    </font>
    <font>
      <u val="singleAccounting"/>
      <sz val="12"/>
      <name val="新細明體"/>
      <family val="2"/>
      <scheme val="minor"/>
    </font>
    <font>
      <b/>
      <sz val="14"/>
      <name val="新細明體"/>
      <family val="2"/>
      <scheme val="minor"/>
    </font>
    <font>
      <b/>
      <u val="singleAccounting"/>
      <sz val="14"/>
      <name val="新細明體"/>
      <family val="2"/>
      <scheme val="minor"/>
    </font>
    <font>
      <b/>
      <sz val="12"/>
      <color rgb="FF002060"/>
      <name val="新細明體"/>
      <family val="2"/>
      <scheme val="minor"/>
    </font>
    <font>
      <u val="doubleAccounting"/>
      <sz val="12"/>
      <name val="新細明體"/>
      <family val="2"/>
      <scheme val="minor"/>
    </font>
    <font>
      <b/>
      <sz val="12"/>
      <color rgb="FFFF0000"/>
      <name val="新細明體"/>
      <family val="2"/>
      <scheme val="minor"/>
    </font>
    <font>
      <b/>
      <sz val="18"/>
      <color rgb="FFFF0000"/>
      <name val="新細明體"/>
      <family val="2"/>
      <scheme val="minor"/>
    </font>
    <font>
      <b/>
      <sz val="14"/>
      <color rgb="FFFF0000"/>
      <name val="新細明體"/>
      <family val="2"/>
      <scheme val="minor"/>
    </font>
    <font>
      <b/>
      <sz val="16"/>
      <color rgb="FFFF0000"/>
      <name val="新細明體"/>
      <family val="2"/>
      <scheme val="minor"/>
    </font>
    <font>
      <sz val="11"/>
      <color rgb="FF00206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3">
    <xf numFmtId="0" fontId="0" fillId="0" borderId="0" xfId="0"/>
    <xf numFmtId="176" fontId="0" fillId="0" borderId="0" xfId="2" applyNumberFormat="1" applyFont="1"/>
    <xf numFmtId="0" fontId="4" fillId="0" borderId="0" xfId="0" applyFont="1"/>
    <xf numFmtId="0" fontId="0" fillId="0" borderId="1" xfId="0" applyBorder="1"/>
    <xf numFmtId="176" fontId="2" fillId="0" borderId="0" xfId="2" applyNumberFormat="1" applyFont="1"/>
    <xf numFmtId="1" fontId="0" fillId="2" borderId="1" xfId="0" applyNumberFormat="1" applyFill="1" applyBorder="1"/>
    <xf numFmtId="2" fontId="0" fillId="2" borderId="1" xfId="0" applyNumberFormat="1" applyFill="1" applyBorder="1"/>
    <xf numFmtId="177" fontId="0" fillId="2" borderId="1" xfId="1" applyNumberFormat="1" applyFont="1" applyFill="1" applyBorder="1"/>
    <xf numFmtId="44" fontId="0" fillId="0" borderId="1" xfId="2" applyFont="1" applyBorder="1"/>
    <xf numFmtId="176" fontId="0" fillId="2" borderId="1" xfId="2" applyNumberFormat="1" applyFont="1" applyFill="1" applyBorder="1"/>
    <xf numFmtId="177" fontId="1" fillId="0" borderId="1" xfId="1" applyNumberFormat="1" applyFont="1" applyBorder="1"/>
    <xf numFmtId="0" fontId="0" fillId="0" borderId="0" xfId="0" applyAlignment="1">
      <alignment horizontal="center"/>
    </xf>
    <xf numFmtId="0" fontId="2" fillId="0" borderId="0" xfId="0" applyFont="1"/>
    <xf numFmtId="44" fontId="5" fillId="0" borderId="6" xfId="2" applyFont="1" applyBorder="1"/>
    <xf numFmtId="0" fontId="2" fillId="3" borderId="5" xfId="0" applyFont="1" applyFill="1" applyBorder="1" applyAlignment="1">
      <alignment horizontal="center" vertical="center" wrapText="1"/>
    </xf>
    <xf numFmtId="44" fontId="1" fillId="0" borderId="6" xfId="2" applyFont="1" applyBorder="1"/>
    <xf numFmtId="0" fontId="2" fillId="0" borderId="5" xfId="0" applyFont="1" applyBorder="1" applyAlignment="1">
      <alignment horizontal="center" wrapText="1"/>
    </xf>
    <xf numFmtId="44" fontId="8" fillId="0" borderId="6" xfId="2" applyFont="1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right"/>
    </xf>
    <xf numFmtId="0" fontId="2" fillId="0" borderId="8" xfId="0" applyFont="1" applyBorder="1"/>
    <xf numFmtId="0" fontId="2" fillId="0" borderId="12" xfId="0" applyFont="1" applyBorder="1"/>
    <xf numFmtId="0" fontId="0" fillId="0" borderId="6" xfId="0" applyBorder="1"/>
    <xf numFmtId="176" fontId="10" fillId="6" borderId="3" xfId="0" applyNumberFormat="1" applyFont="1" applyFill="1" applyBorder="1"/>
    <xf numFmtId="176" fontId="10" fillId="6" borderId="3" xfId="2" applyNumberFormat="1" applyFont="1" applyFill="1" applyBorder="1"/>
    <xf numFmtId="176" fontId="9" fillId="6" borderId="4" xfId="0" applyNumberFormat="1" applyFont="1" applyFill="1" applyBorder="1"/>
    <xf numFmtId="0" fontId="2" fillId="0" borderId="0" xfId="0" applyFont="1" applyAlignment="1">
      <alignment horizontal="center"/>
    </xf>
    <xf numFmtId="0" fontId="0" fillId="4" borderId="0" xfId="0" applyFill="1"/>
    <xf numFmtId="44" fontId="0" fillId="0" borderId="6" xfId="2" applyFont="1" applyBorder="1" applyAlignment="1">
      <alignment horizontal="center"/>
    </xf>
    <xf numFmtId="0" fontId="13" fillId="0" borderId="0" xfId="0" applyFont="1" applyAlignment="1">
      <alignment vertical="center"/>
    </xf>
    <xf numFmtId="0" fontId="12" fillId="0" borderId="0" xfId="0" applyFont="1"/>
    <xf numFmtId="0" fontId="1" fillId="0" borderId="0" xfId="0" applyFont="1"/>
    <xf numFmtId="0" fontId="5" fillId="0" borderId="0" xfId="0" applyFont="1"/>
    <xf numFmtId="177" fontId="2" fillId="2" borderId="1" xfId="1" applyNumberFormat="1" applyFont="1" applyFill="1" applyBorder="1"/>
    <xf numFmtId="10" fontId="0" fillId="2" borderId="1" xfId="3" applyNumberFormat="1" applyFont="1" applyFill="1" applyBorder="1"/>
    <xf numFmtId="0" fontId="17" fillId="0" borderId="0" xfId="0" applyFont="1"/>
    <xf numFmtId="0" fontId="17" fillId="0" borderId="0" xfId="0" applyFont="1" applyAlignment="1">
      <alignment horizontal="righ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4" borderId="0" xfId="0" applyFont="1" applyFill="1"/>
    <xf numFmtId="44" fontId="0" fillId="0" borderId="6" xfId="2" applyFont="1" applyBorder="1"/>
    <xf numFmtId="0" fontId="8" fillId="0" borderId="0" xfId="0" applyFont="1"/>
    <xf numFmtId="0" fontId="19" fillId="4" borderId="0" xfId="0" applyFont="1" applyFill="1"/>
    <xf numFmtId="44" fontId="14" fillId="0" borderId="6" xfId="2" applyFont="1" applyBorder="1" applyAlignment="1">
      <alignment horizontal="center"/>
    </xf>
    <xf numFmtId="176" fontId="0" fillId="6" borderId="7" xfId="2" applyNumberFormat="1" applyFont="1" applyFill="1" applyBorder="1"/>
    <xf numFmtId="0" fontId="10" fillId="4" borderId="2" xfId="0" applyFont="1" applyFill="1" applyBorder="1"/>
    <xf numFmtId="0" fontId="8" fillId="4" borderId="0" xfId="0" applyFont="1" applyFill="1" applyAlignment="1">
      <alignment horizontal="justify" vertical="center"/>
    </xf>
    <xf numFmtId="0" fontId="19" fillId="4" borderId="0" xfId="0" applyFont="1" applyFill="1" applyAlignment="1">
      <alignment horizontal="justify" vertical="center"/>
    </xf>
    <xf numFmtId="0" fontId="8" fillId="4" borderId="0" xfId="0" applyFont="1" applyFill="1"/>
    <xf numFmtId="0" fontId="23" fillId="4" borderId="0" xfId="0" applyFont="1" applyFill="1"/>
    <xf numFmtId="0" fontId="21" fillId="3" borderId="0" xfId="0" applyFont="1" applyFill="1" applyAlignment="1">
      <alignment horizontal="justify" vertical="center"/>
    </xf>
    <xf numFmtId="0" fontId="23" fillId="3" borderId="1" xfId="0" applyFont="1" applyFill="1" applyBorder="1" applyAlignment="1">
      <alignment horizontal="center" vertical="center" wrapText="1"/>
    </xf>
    <xf numFmtId="9" fontId="8" fillId="6" borderId="6" xfId="0" applyNumberFormat="1" applyFont="1" applyFill="1" applyBorder="1"/>
    <xf numFmtId="44" fontId="23" fillId="6" borderId="6" xfId="0" applyNumberFormat="1" applyFont="1" applyFill="1" applyBorder="1"/>
    <xf numFmtId="0" fontId="8" fillId="0" borderId="0" xfId="0" applyFont="1" applyAlignment="1">
      <alignment horizontal="center"/>
    </xf>
    <xf numFmtId="44" fontId="8" fillId="6" borderId="6" xfId="0" applyNumberFormat="1" applyFont="1" applyFill="1" applyBorder="1"/>
    <xf numFmtId="176" fontId="8" fillId="6" borderId="6" xfId="2" applyNumberFormat="1" applyFont="1" applyFill="1" applyBorder="1"/>
    <xf numFmtId="0" fontId="9" fillId="0" borderId="5" xfId="0" applyFont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76" fontId="22" fillId="6" borderId="18" xfId="0" applyNumberFormat="1" applyFont="1" applyFill="1" applyBorder="1"/>
    <xf numFmtId="0" fontId="12" fillId="4" borderId="11" xfId="0" applyFont="1" applyFill="1" applyBorder="1"/>
    <xf numFmtId="0" fontId="12" fillId="4" borderId="12" xfId="0" applyFont="1" applyFill="1" applyBorder="1"/>
    <xf numFmtId="0" fontId="0" fillId="4" borderId="8" xfId="0" applyFill="1" applyBorder="1"/>
    <xf numFmtId="0" fontId="25" fillId="0" borderId="0" xfId="0" applyFont="1" applyAlignment="1">
      <alignment vertical="center"/>
    </xf>
    <xf numFmtId="177" fontId="8" fillId="6" borderId="6" xfId="1" applyNumberFormat="1" applyFont="1" applyFill="1" applyBorder="1"/>
    <xf numFmtId="176" fontId="0" fillId="0" borderId="0" xfId="0" applyNumberFormat="1"/>
    <xf numFmtId="176" fontId="0" fillId="6" borderId="6" xfId="2" applyNumberFormat="1" applyFont="1" applyFill="1" applyBorder="1"/>
    <xf numFmtId="0" fontId="2" fillId="3" borderId="5" xfId="0" applyFont="1" applyFill="1" applyBorder="1" applyAlignment="1">
      <alignment horizontal="left" vertical="center"/>
    </xf>
    <xf numFmtId="0" fontId="0" fillId="0" borderId="7" xfId="0" applyBorder="1"/>
    <xf numFmtId="0" fontId="2" fillId="4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8" fillId="4" borderId="0" xfId="0" applyFont="1" applyFill="1" applyAlignment="1">
      <alignment horizontal="left" vertical="center" wrapText="1"/>
    </xf>
    <xf numFmtId="182" fontId="0" fillId="0" borderId="0" xfId="0" applyNumberFormat="1"/>
    <xf numFmtId="181" fontId="12" fillId="6" borderId="16" xfId="3" applyNumberFormat="1" applyFont="1" applyFill="1" applyBorder="1"/>
    <xf numFmtId="181" fontId="12" fillId="6" borderId="14" xfId="3" applyNumberFormat="1" applyFont="1" applyFill="1" applyBorder="1"/>
    <xf numFmtId="44" fontId="6" fillId="6" borderId="7" xfId="0" applyNumberFormat="1" applyFont="1" applyFill="1" applyBorder="1"/>
    <xf numFmtId="44" fontId="2" fillId="0" borderId="0" xfId="0" applyNumberFormat="1" applyFont="1"/>
    <xf numFmtId="0" fontId="8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76" fontId="26" fillId="8" borderId="7" xfId="2" applyNumberFormat="1" applyFont="1" applyFill="1" applyBorder="1" applyAlignment="1">
      <alignment horizontal="center" vertical="center"/>
    </xf>
    <xf numFmtId="176" fontId="10" fillId="4" borderId="0" xfId="0" applyNumberFormat="1" applyFont="1" applyFill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10" fontId="26" fillId="8" borderId="7" xfId="3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7" fillId="4" borderId="0" xfId="0" applyFont="1" applyFill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176" fontId="26" fillId="9" borderId="7" xfId="2" applyNumberFormat="1" applyFont="1" applyFill="1" applyBorder="1" applyAlignment="1">
      <alignment horizontal="center" vertical="center"/>
    </xf>
    <xf numFmtId="0" fontId="29" fillId="0" borderId="5" xfId="0" applyFont="1" applyBorder="1" applyAlignment="1">
      <alignment horizontal="center" vertical="center" wrapText="1"/>
    </xf>
    <xf numFmtId="43" fontId="30" fillId="9" borderId="7" xfId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4" fontId="6" fillId="6" borderId="1" xfId="0" applyNumberFormat="1" applyFont="1" applyFill="1" applyBorder="1"/>
    <xf numFmtId="44" fontId="20" fillId="6" borderId="1" xfId="0" applyNumberFormat="1" applyFont="1" applyFill="1" applyBorder="1"/>
    <xf numFmtId="0" fontId="25" fillId="3" borderId="1" xfId="0" applyFont="1" applyFill="1" applyBorder="1" applyAlignment="1">
      <alignment horizontal="center"/>
    </xf>
    <xf numFmtId="0" fontId="27" fillId="4" borderId="0" xfId="0" applyFont="1" applyFill="1" applyAlignment="1">
      <alignment vertical="center"/>
    </xf>
    <xf numFmtId="0" fontId="11" fillId="4" borderId="3" xfId="0" applyFont="1" applyFill="1" applyBorder="1" applyAlignment="1">
      <alignment horizontal="center"/>
    </xf>
    <xf numFmtId="0" fontId="9" fillId="0" borderId="0" xfId="0" applyFont="1"/>
    <xf numFmtId="178" fontId="12" fillId="0" borderId="0" xfId="0" applyNumberFormat="1" applyFont="1"/>
    <xf numFmtId="0" fontId="0" fillId="0" borderId="8" xfId="0" applyBorder="1"/>
    <xf numFmtId="0" fontId="0" fillId="0" borderId="10" xfId="0" applyBorder="1"/>
    <xf numFmtId="0" fontId="0" fillId="0" borderId="16" xfId="0" applyBorder="1"/>
    <xf numFmtId="0" fontId="0" fillId="0" borderId="14" xfId="0" applyBorder="1"/>
    <xf numFmtId="0" fontId="0" fillId="0" borderId="21" xfId="0" applyBorder="1"/>
    <xf numFmtId="0" fontId="0" fillId="0" borderId="22" xfId="0" applyBorder="1"/>
    <xf numFmtId="9" fontId="17" fillId="0" borderId="0" xfId="0" applyNumberFormat="1" applyFont="1"/>
    <xf numFmtId="0" fontId="8" fillId="0" borderId="5" xfId="0" applyFont="1" applyBorder="1"/>
    <xf numFmtId="0" fontId="8" fillId="0" borderId="6" xfId="0" applyFont="1" applyBorder="1"/>
    <xf numFmtId="0" fontId="0" fillId="0" borderId="5" xfId="0" applyBorder="1"/>
    <xf numFmtId="44" fontId="0" fillId="0" borderId="7" xfId="2" applyFont="1" applyBorder="1" applyAlignment="1">
      <alignment horizontal="center"/>
    </xf>
    <xf numFmtId="183" fontId="23" fillId="6" borderId="6" xfId="0" applyNumberFormat="1" applyFont="1" applyFill="1" applyBorder="1"/>
    <xf numFmtId="176" fontId="23" fillId="6" borderId="6" xfId="0" applyNumberFormat="1" applyFont="1" applyFill="1" applyBorder="1"/>
    <xf numFmtId="9" fontId="8" fillId="6" borderId="7" xfId="0" applyNumberFormat="1" applyFont="1" applyFill="1" applyBorder="1"/>
    <xf numFmtId="183" fontId="23" fillId="6" borderId="5" xfId="0" applyNumberFormat="1" applyFont="1" applyFill="1" applyBorder="1"/>
    <xf numFmtId="176" fontId="23" fillId="6" borderId="7" xfId="0" applyNumberFormat="1" applyFont="1" applyFill="1" applyBorder="1"/>
    <xf numFmtId="184" fontId="23" fillId="6" borderId="7" xfId="0" applyNumberFormat="1" applyFont="1" applyFill="1" applyBorder="1"/>
    <xf numFmtId="0" fontId="3" fillId="3" borderId="8" xfId="0" applyFont="1" applyFill="1" applyBorder="1" applyAlignment="1">
      <alignment horizontal="left"/>
    </xf>
    <xf numFmtId="183" fontId="8" fillId="6" borderId="7" xfId="0" applyNumberFormat="1" applyFont="1" applyFill="1" applyBorder="1"/>
    <xf numFmtId="183" fontId="23" fillId="6" borderId="7" xfId="0" applyNumberFormat="1" applyFont="1" applyFill="1" applyBorder="1"/>
    <xf numFmtId="0" fontId="15" fillId="0" borderId="0" xfId="0" applyFont="1"/>
    <xf numFmtId="0" fontId="9" fillId="0" borderId="15" xfId="0" applyFont="1" applyBorder="1" applyAlignment="1">
      <alignment vertical="center"/>
    </xf>
    <xf numFmtId="0" fontId="9" fillId="4" borderId="15" xfId="0" applyFont="1" applyFill="1" applyBorder="1" applyAlignment="1">
      <alignment vertical="center"/>
    </xf>
    <xf numFmtId="0" fontId="10" fillId="4" borderId="2" xfId="0" applyFont="1" applyFill="1" applyBorder="1" applyAlignment="1">
      <alignment vertical="center"/>
    </xf>
    <xf numFmtId="0" fontId="9" fillId="4" borderId="17" xfId="0" applyFont="1" applyFill="1" applyBorder="1" applyAlignment="1">
      <alignment vertical="center"/>
    </xf>
    <xf numFmtId="10" fontId="28" fillId="8" borderId="7" xfId="3" applyNumberFormat="1" applyFont="1" applyFill="1" applyBorder="1" applyAlignment="1">
      <alignment horizontal="center" vertical="center"/>
    </xf>
    <xf numFmtId="0" fontId="2" fillId="4" borderId="0" xfId="0" applyFont="1" applyFill="1"/>
    <xf numFmtId="0" fontId="31" fillId="4" borderId="0" xfId="0" applyFont="1" applyFill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35" fillId="4" borderId="0" xfId="0" quotePrefix="1" applyFont="1" applyFill="1" applyAlignment="1">
      <alignment wrapText="1"/>
    </xf>
    <xf numFmtId="0" fontId="35" fillId="4" borderId="0" xfId="0" applyFont="1" applyFill="1"/>
    <xf numFmtId="1" fontId="2" fillId="2" borderId="1" xfId="0" applyNumberFormat="1" applyFont="1" applyFill="1" applyBorder="1"/>
    <xf numFmtId="183" fontId="8" fillId="6" borderId="6" xfId="0" applyNumberFormat="1" applyFont="1" applyFill="1" applyBorder="1"/>
    <xf numFmtId="0" fontId="9" fillId="4" borderId="2" xfId="0" applyFont="1" applyFill="1" applyBorder="1" applyAlignment="1">
      <alignment vertical="center"/>
    </xf>
    <xf numFmtId="176" fontId="9" fillId="6" borderId="3" xfId="0" applyNumberFormat="1" applyFont="1" applyFill="1" applyBorder="1"/>
    <xf numFmtId="0" fontId="9" fillId="0" borderId="2" xfId="0" applyFont="1" applyBorder="1"/>
    <xf numFmtId="0" fontId="23" fillId="4" borderId="0" xfId="0" applyFont="1" applyFill="1" applyAlignment="1">
      <alignment horizontal="left" vertical="center" wrapText="1"/>
    </xf>
    <xf numFmtId="0" fontId="24" fillId="4" borderId="0" xfId="0" applyFont="1" applyFill="1" applyAlignment="1">
      <alignment horizontal="left" vertical="center" wrapText="1"/>
    </xf>
    <xf numFmtId="44" fontId="8" fillId="0" borderId="7" xfId="2" applyFont="1" applyBorder="1" applyAlignment="1">
      <alignment horizontal="center"/>
    </xf>
    <xf numFmtId="177" fontId="8" fillId="2" borderId="1" xfId="1" applyNumberFormat="1" applyFont="1" applyFill="1" applyBorder="1" applyAlignment="1">
      <alignment horizontal="center"/>
    </xf>
    <xf numFmtId="177" fontId="0" fillId="0" borderId="0" xfId="0" applyNumberFormat="1"/>
    <xf numFmtId="177" fontId="0" fillId="0" borderId="1" xfId="1" applyNumberFormat="1" applyFont="1" applyBorder="1"/>
    <xf numFmtId="177" fontId="0" fillId="2" borderId="1" xfId="3" applyNumberFormat="1" applyFont="1" applyFill="1" applyBorder="1"/>
    <xf numFmtId="179" fontId="0" fillId="0" borderId="0" xfId="0" applyNumberFormat="1"/>
    <xf numFmtId="176" fontId="23" fillId="6" borderId="5" xfId="0" applyNumberFormat="1" applyFont="1" applyFill="1" applyBorder="1"/>
    <xf numFmtId="0" fontId="8" fillId="4" borderId="0" xfId="0" quotePrefix="1" applyFont="1" applyFill="1"/>
    <xf numFmtId="0" fontId="8" fillId="4" borderId="0" xfId="0" quotePrefix="1" applyFont="1" applyFill="1" applyAlignment="1">
      <alignment wrapText="1"/>
    </xf>
    <xf numFmtId="9" fontId="0" fillId="0" borderId="1" xfId="3" applyFont="1" applyFill="1" applyBorder="1"/>
    <xf numFmtId="180" fontId="0" fillId="2" borderId="1" xfId="0" applyNumberFormat="1" applyFill="1" applyBorder="1"/>
    <xf numFmtId="0" fontId="23" fillId="3" borderId="5" xfId="0" applyFont="1" applyFill="1" applyBorder="1" applyAlignment="1">
      <alignment horizontal="center" vertical="center" wrapText="1"/>
    </xf>
    <xf numFmtId="43" fontId="0" fillId="2" borderId="1" xfId="1" applyFont="1" applyFill="1" applyBorder="1"/>
    <xf numFmtId="9" fontId="0" fillId="2" borderId="1" xfId="3" applyFont="1" applyFill="1" applyBorder="1"/>
    <xf numFmtId="43" fontId="23" fillId="6" borderId="5" xfId="1" applyFont="1" applyFill="1" applyBorder="1"/>
    <xf numFmtId="180" fontId="0" fillId="2" borderId="1" xfId="1" applyNumberFormat="1" applyFont="1" applyFill="1" applyBorder="1"/>
    <xf numFmtId="185" fontId="23" fillId="6" borderId="7" xfId="0" applyNumberFormat="1" applyFont="1" applyFill="1" applyBorder="1"/>
    <xf numFmtId="184" fontId="23" fillId="6" borderId="5" xfId="0" applyNumberFormat="1" applyFont="1" applyFill="1" applyBorder="1"/>
    <xf numFmtId="184" fontId="0" fillId="0" borderId="0" xfId="0" applyNumberFormat="1"/>
    <xf numFmtId="186" fontId="23" fillId="6" borderId="6" xfId="0" applyNumberFormat="1" applyFont="1" applyFill="1" applyBorder="1"/>
    <xf numFmtId="43" fontId="0" fillId="0" borderId="0" xfId="1" applyFont="1"/>
    <xf numFmtId="177" fontId="0" fillId="0" borderId="0" xfId="1" applyNumberFormat="1" applyFont="1"/>
    <xf numFmtId="9" fontId="0" fillId="0" borderId="0" xfId="0" applyNumberFormat="1"/>
    <xf numFmtId="44" fontId="23" fillId="6" borderId="1" xfId="0" applyNumberFormat="1" applyFont="1" applyFill="1" applyBorder="1"/>
    <xf numFmtId="44" fontId="10" fillId="6" borderId="3" xfId="2" applyFont="1" applyFill="1" applyBorder="1"/>
    <xf numFmtId="44" fontId="12" fillId="0" borderId="0" xfId="0" applyNumberFormat="1" applyFont="1"/>
    <xf numFmtId="181" fontId="12" fillId="6" borderId="10" xfId="3" applyNumberFormat="1" applyFont="1" applyFill="1" applyBorder="1"/>
    <xf numFmtId="180" fontId="2" fillId="2" borderId="1" xfId="0" applyNumberFormat="1" applyFont="1" applyFill="1" applyBorder="1"/>
    <xf numFmtId="0" fontId="16" fillId="7" borderId="0" xfId="0" applyFont="1" applyFill="1" applyAlignment="1">
      <alignment horizontal="center"/>
    </xf>
    <xf numFmtId="0" fontId="16" fillId="7" borderId="0" xfId="0" applyFont="1" applyFill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21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33" fillId="0" borderId="9" xfId="0" applyFont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33" fillId="0" borderId="9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3" fillId="4" borderId="0" xfId="0" applyFont="1" applyFill="1" applyAlignment="1">
      <alignment horizontal="center" vertical="center"/>
    </xf>
  </cellXfs>
  <cellStyles count="4">
    <cellStyle name="一般" xfId="0" builtinId="0"/>
    <cellStyle name="千分位" xfId="1" builtinId="3"/>
    <cellStyle name="百分比" xfId="3" builtinId="5"/>
    <cellStyle name="貨幣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114300</xdr:rowOff>
    </xdr:from>
    <xdr:to>
      <xdr:col>4</xdr:col>
      <xdr:colOff>590550</xdr:colOff>
      <xdr:row>6</xdr:row>
      <xdr:rowOff>95250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F4B0AD1-A958-456D-8038-CE87AC13A87E}"/>
            </a:ext>
          </a:extLst>
        </xdr:cNvPr>
        <xdr:cNvCxnSpPr/>
      </xdr:nvCxnSpPr>
      <xdr:spPr>
        <a:xfrm>
          <a:off x="3838575" y="1104900"/>
          <a:ext cx="5905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6</xdr:row>
      <xdr:rowOff>123825</xdr:rowOff>
    </xdr:from>
    <xdr:to>
      <xdr:col>6</xdr:col>
      <xdr:colOff>590550</xdr:colOff>
      <xdr:row>8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E7517FD-D5DF-4E90-A120-9927F29C21FE}"/>
            </a:ext>
          </a:extLst>
        </xdr:cNvPr>
        <xdr:cNvCxnSpPr/>
      </xdr:nvCxnSpPr>
      <xdr:spPr>
        <a:xfrm>
          <a:off x="5800725" y="1323975"/>
          <a:ext cx="57150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8</xdr:row>
      <xdr:rowOff>114300</xdr:rowOff>
    </xdr:from>
    <xdr:to>
      <xdr:col>6</xdr:col>
      <xdr:colOff>590550</xdr:colOff>
      <xdr:row>10</xdr:row>
      <xdr:rowOff>95251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6CAC1EC-6F73-46BE-B8B6-27EAE712D497}"/>
            </a:ext>
          </a:extLst>
        </xdr:cNvPr>
        <xdr:cNvCxnSpPr/>
      </xdr:nvCxnSpPr>
      <xdr:spPr>
        <a:xfrm flipV="1">
          <a:off x="5800725" y="1971675"/>
          <a:ext cx="571500" cy="400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133351</xdr:rowOff>
    </xdr:from>
    <xdr:to>
      <xdr:col>4</xdr:col>
      <xdr:colOff>581025</xdr:colOff>
      <xdr:row>8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E8A4535-89F6-489B-8A6C-0533CECF1486}"/>
            </a:ext>
          </a:extLst>
        </xdr:cNvPr>
        <xdr:cNvCxnSpPr/>
      </xdr:nvCxnSpPr>
      <xdr:spPr>
        <a:xfrm flipV="1">
          <a:off x="3857625" y="1333501"/>
          <a:ext cx="561975" cy="600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22</xdr:row>
      <xdr:rowOff>123825</xdr:rowOff>
    </xdr:from>
    <xdr:to>
      <xdr:col>6</xdr:col>
      <xdr:colOff>581025</xdr:colOff>
      <xdr:row>24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C935743-1734-4DE7-B339-3FDBF43E54D4}"/>
            </a:ext>
          </a:extLst>
        </xdr:cNvPr>
        <xdr:cNvCxnSpPr/>
      </xdr:nvCxnSpPr>
      <xdr:spPr>
        <a:xfrm>
          <a:off x="5800725" y="4848225"/>
          <a:ext cx="56197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24</xdr:row>
      <xdr:rowOff>123825</xdr:rowOff>
    </xdr:from>
    <xdr:to>
      <xdr:col>7</xdr:col>
      <xdr:colOff>9525</xdr:colOff>
      <xdr:row>26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D31873A-040D-4071-B2E4-6CC2398A0E2B}"/>
            </a:ext>
          </a:extLst>
        </xdr:cNvPr>
        <xdr:cNvCxnSpPr/>
      </xdr:nvCxnSpPr>
      <xdr:spPr>
        <a:xfrm flipV="1">
          <a:off x="5791200" y="5267325"/>
          <a:ext cx="6096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23</xdr:row>
      <xdr:rowOff>95250</xdr:rowOff>
    </xdr:from>
    <xdr:to>
      <xdr:col>4</xdr:col>
      <xdr:colOff>581025</xdr:colOff>
      <xdr:row>26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2921D8C-20A4-43E2-87CF-7BD9B6A368B1}"/>
            </a:ext>
          </a:extLst>
        </xdr:cNvPr>
        <xdr:cNvCxnSpPr/>
      </xdr:nvCxnSpPr>
      <xdr:spPr>
        <a:xfrm>
          <a:off x="3857625" y="5029200"/>
          <a:ext cx="56197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26</xdr:row>
      <xdr:rowOff>114300</xdr:rowOff>
    </xdr:from>
    <xdr:to>
      <xdr:col>4</xdr:col>
      <xdr:colOff>581025</xdr:colOff>
      <xdr:row>27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257F3ED-8DC6-46CE-A618-0189FB207B50}"/>
            </a:ext>
          </a:extLst>
        </xdr:cNvPr>
        <xdr:cNvCxnSpPr/>
      </xdr:nvCxnSpPr>
      <xdr:spPr>
        <a:xfrm flipV="1">
          <a:off x="3848100" y="5676900"/>
          <a:ext cx="5715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104775</xdr:rowOff>
    </xdr:from>
    <xdr:to>
      <xdr:col>2</xdr:col>
      <xdr:colOff>828675</xdr:colOff>
      <xdr:row>5</xdr:row>
      <xdr:rowOff>104775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4A88B0A-0CE7-449B-BA5C-1141B1B01557}"/>
            </a:ext>
          </a:extLst>
        </xdr:cNvPr>
        <xdr:cNvCxnSpPr/>
      </xdr:nvCxnSpPr>
      <xdr:spPr>
        <a:xfrm>
          <a:off x="1543050" y="676275"/>
          <a:ext cx="8286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5</xdr:row>
      <xdr:rowOff>161925</xdr:rowOff>
    </xdr:from>
    <xdr:to>
      <xdr:col>2</xdr:col>
      <xdr:colOff>819150</xdr:colOff>
      <xdr:row>6</xdr:row>
      <xdr:rowOff>85725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67A0992-45DF-407A-8163-230C457E6F8D}"/>
            </a:ext>
          </a:extLst>
        </xdr:cNvPr>
        <xdr:cNvCxnSpPr/>
      </xdr:nvCxnSpPr>
      <xdr:spPr>
        <a:xfrm flipV="1">
          <a:off x="1562100" y="1152525"/>
          <a:ext cx="80010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95250</xdr:rowOff>
    </xdr:from>
    <xdr:to>
      <xdr:col>2</xdr:col>
      <xdr:colOff>827171</xdr:colOff>
      <xdr:row>23</xdr:row>
      <xdr:rowOff>85224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CE33D0A-A444-4881-A380-0D01FA448EB1}"/>
            </a:ext>
          </a:extLst>
        </xdr:cNvPr>
        <xdr:cNvCxnSpPr/>
      </xdr:nvCxnSpPr>
      <xdr:spPr>
        <a:xfrm>
          <a:off x="1543050" y="4819650"/>
          <a:ext cx="827171" cy="19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23</xdr:row>
      <xdr:rowOff>115303</xdr:rowOff>
    </xdr:from>
    <xdr:to>
      <xdr:col>2</xdr:col>
      <xdr:colOff>817144</xdr:colOff>
      <xdr:row>25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B46C758-C4DC-4A0C-8E48-9DBD4C07B6EB}"/>
            </a:ext>
          </a:extLst>
        </xdr:cNvPr>
        <xdr:cNvCxnSpPr/>
      </xdr:nvCxnSpPr>
      <xdr:spPr>
        <a:xfrm flipV="1">
          <a:off x="1552575" y="5049253"/>
          <a:ext cx="807619" cy="4180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155408</xdr:rowOff>
    </xdr:from>
    <xdr:to>
      <xdr:col>2</xdr:col>
      <xdr:colOff>822158</xdr:colOff>
      <xdr:row>28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726739D-479D-432F-BD13-3D31791A8BB5}"/>
            </a:ext>
          </a:extLst>
        </xdr:cNvPr>
        <xdr:cNvCxnSpPr/>
      </xdr:nvCxnSpPr>
      <xdr:spPr>
        <a:xfrm flipV="1">
          <a:off x="1543050" y="5089358"/>
          <a:ext cx="822158" cy="997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145381</xdr:rowOff>
    </xdr:from>
    <xdr:to>
      <xdr:col>2</xdr:col>
      <xdr:colOff>837197</xdr:colOff>
      <xdr:row>12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84E3237-148A-4855-A05A-0E3896D65AF2}"/>
            </a:ext>
          </a:extLst>
        </xdr:cNvPr>
        <xdr:cNvCxnSpPr/>
      </xdr:nvCxnSpPr>
      <xdr:spPr>
        <a:xfrm flipV="1">
          <a:off x="1543050" y="2002756"/>
          <a:ext cx="837197" cy="8071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66675</xdr:rowOff>
    </xdr:from>
    <xdr:to>
      <xdr:col>2</xdr:col>
      <xdr:colOff>838200</xdr:colOff>
      <xdr:row>9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A1629D7-C606-43B5-85BB-F56A3CB9C3F1}"/>
            </a:ext>
          </a:extLst>
        </xdr:cNvPr>
        <xdr:cNvCxnSpPr/>
      </xdr:nvCxnSpPr>
      <xdr:spPr>
        <a:xfrm flipV="1">
          <a:off x="1543050" y="1924050"/>
          <a:ext cx="8382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45119</xdr:rowOff>
    </xdr:from>
    <xdr:to>
      <xdr:col>3</xdr:col>
      <xdr:colOff>35092</xdr:colOff>
      <xdr:row>15</xdr:row>
      <xdr:rowOff>76200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DA22CA0-FCAF-4E5A-B3F1-BCD776489CD0}"/>
            </a:ext>
          </a:extLst>
        </xdr:cNvPr>
        <xdr:cNvCxnSpPr/>
      </xdr:nvCxnSpPr>
      <xdr:spPr>
        <a:xfrm flipV="1">
          <a:off x="1543050" y="2112044"/>
          <a:ext cx="882817" cy="1288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45119</xdr:rowOff>
    </xdr:from>
    <xdr:to>
      <xdr:col>3</xdr:col>
      <xdr:colOff>125329</xdr:colOff>
      <xdr:row>18</xdr:row>
      <xdr:rowOff>28574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017F554-BD08-4165-A4F9-5974574F5646}"/>
            </a:ext>
          </a:extLst>
        </xdr:cNvPr>
        <xdr:cNvCxnSpPr/>
      </xdr:nvCxnSpPr>
      <xdr:spPr>
        <a:xfrm flipV="1">
          <a:off x="1543050" y="2112044"/>
          <a:ext cx="973054" cy="18694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9</xdr:row>
      <xdr:rowOff>40106</xdr:rowOff>
    </xdr:from>
    <xdr:to>
      <xdr:col>3</xdr:col>
      <xdr:colOff>381000</xdr:colOff>
      <xdr:row>13</xdr:row>
      <xdr:rowOff>209549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78FC58E-B440-47C0-94B3-BFE258D3016F}"/>
            </a:ext>
          </a:extLst>
        </xdr:cNvPr>
        <xdr:cNvCxnSpPr/>
      </xdr:nvCxnSpPr>
      <xdr:spPr>
        <a:xfrm flipV="1">
          <a:off x="2771775" y="2107031"/>
          <a:ext cx="0" cy="10076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215566</xdr:colOff>
      <xdr:row>9</xdr:row>
      <xdr:rowOff>40106</xdr:rowOff>
    </xdr:from>
    <xdr:to>
      <xdr:col>3</xdr:col>
      <xdr:colOff>219075</xdr:colOff>
      <xdr:row>16</xdr:row>
      <xdr:rowOff>209549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FC3022F-4C84-4F79-92D0-005B23B488D2}"/>
            </a:ext>
          </a:extLst>
        </xdr:cNvPr>
        <xdr:cNvCxnSpPr/>
      </xdr:nvCxnSpPr>
      <xdr:spPr>
        <a:xfrm flipH="1" flipV="1">
          <a:off x="2606341" y="2107031"/>
          <a:ext cx="3509" cy="1636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114300</xdr:rowOff>
    </xdr:from>
    <xdr:to>
      <xdr:col>4</xdr:col>
      <xdr:colOff>590550</xdr:colOff>
      <xdr:row>6</xdr:row>
      <xdr:rowOff>95250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413D742-A596-4224-9107-D18F5E5CC1C9}"/>
            </a:ext>
          </a:extLst>
        </xdr:cNvPr>
        <xdr:cNvCxnSpPr/>
      </xdr:nvCxnSpPr>
      <xdr:spPr>
        <a:xfrm>
          <a:off x="3838575" y="1104900"/>
          <a:ext cx="5905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133351</xdr:rowOff>
    </xdr:from>
    <xdr:to>
      <xdr:col>4</xdr:col>
      <xdr:colOff>581025</xdr:colOff>
      <xdr:row>8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5C4D686B-2DCB-4F68-B9A6-083A78CC2989}"/>
            </a:ext>
          </a:extLst>
        </xdr:cNvPr>
        <xdr:cNvCxnSpPr/>
      </xdr:nvCxnSpPr>
      <xdr:spPr>
        <a:xfrm flipV="1">
          <a:off x="3857625" y="1333501"/>
          <a:ext cx="561975" cy="600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114300</xdr:rowOff>
    </xdr:from>
    <xdr:to>
      <xdr:col>4</xdr:col>
      <xdr:colOff>590550</xdr:colOff>
      <xdr:row>6</xdr:row>
      <xdr:rowOff>95250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BC89FBDA-ADC7-4E6C-8441-FFEC530119C6}"/>
            </a:ext>
          </a:extLst>
        </xdr:cNvPr>
        <xdr:cNvCxnSpPr/>
      </xdr:nvCxnSpPr>
      <xdr:spPr>
        <a:xfrm>
          <a:off x="3838575" y="1104900"/>
          <a:ext cx="5905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133351</xdr:rowOff>
    </xdr:from>
    <xdr:to>
      <xdr:col>4</xdr:col>
      <xdr:colOff>581025</xdr:colOff>
      <xdr:row>8</xdr:row>
      <xdr:rowOff>76200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727EF990-18C1-4D58-AC2F-361187022422}"/>
            </a:ext>
          </a:extLst>
        </xdr:cNvPr>
        <xdr:cNvCxnSpPr/>
      </xdr:nvCxnSpPr>
      <xdr:spPr>
        <a:xfrm flipV="1">
          <a:off x="3857625" y="1333501"/>
          <a:ext cx="561975" cy="600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114300</xdr:rowOff>
    </xdr:from>
    <xdr:to>
      <xdr:col>4</xdr:col>
      <xdr:colOff>590550</xdr:colOff>
      <xdr:row>6</xdr:row>
      <xdr:rowOff>95250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2BC2CC-8223-4C17-9264-57D79F93860C}"/>
            </a:ext>
          </a:extLst>
        </xdr:cNvPr>
        <xdr:cNvCxnSpPr/>
      </xdr:nvCxnSpPr>
      <xdr:spPr>
        <a:xfrm>
          <a:off x="3838575" y="1104900"/>
          <a:ext cx="5905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8</xdr:row>
      <xdr:rowOff>95250</xdr:rowOff>
    </xdr:from>
    <xdr:to>
      <xdr:col>9</xdr:col>
      <xdr:colOff>561975</xdr:colOff>
      <xdr:row>14</xdr:row>
      <xdr:rowOff>171450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D60BABF5-78AB-4AE6-8414-604CE7F8750E}"/>
            </a:ext>
          </a:extLst>
        </xdr:cNvPr>
        <xdr:cNvCxnSpPr/>
      </xdr:nvCxnSpPr>
      <xdr:spPr>
        <a:xfrm>
          <a:off x="7581900" y="2019300"/>
          <a:ext cx="942975" cy="139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17</xdr:row>
      <xdr:rowOff>76200</xdr:rowOff>
    </xdr:from>
    <xdr:to>
      <xdr:col>9</xdr:col>
      <xdr:colOff>495300</xdr:colOff>
      <xdr:row>24</xdr:row>
      <xdr:rowOff>76200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5A982A09-A9DA-43EA-999A-28A5C0A2753B}"/>
            </a:ext>
          </a:extLst>
        </xdr:cNvPr>
        <xdr:cNvCxnSpPr/>
      </xdr:nvCxnSpPr>
      <xdr:spPr>
        <a:xfrm flipV="1">
          <a:off x="7572375" y="4029075"/>
          <a:ext cx="885825" cy="159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133351</xdr:rowOff>
    </xdr:from>
    <xdr:to>
      <xdr:col>4</xdr:col>
      <xdr:colOff>581025</xdr:colOff>
      <xdr:row>8</xdr:row>
      <xdr:rowOff>76200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D8AA38E0-C9AB-46BD-9E99-CFCCCD00EBF5}"/>
            </a:ext>
          </a:extLst>
        </xdr:cNvPr>
        <xdr:cNvCxnSpPr/>
      </xdr:nvCxnSpPr>
      <xdr:spPr>
        <a:xfrm flipV="1">
          <a:off x="3857625" y="1333501"/>
          <a:ext cx="561975" cy="600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zoomScaleNormal="100" workbookViewId="0">
      <selection activeCell="D4" sqref="D4"/>
    </sheetView>
  </sheetViews>
  <sheetFormatPr defaultRowHeight="15" x14ac:dyDescent="0.3"/>
  <cols>
    <col min="1" max="1" width="3.75" style="43" customWidth="1"/>
    <col min="2" max="2" width="86.875" customWidth="1"/>
  </cols>
  <sheetData>
    <row r="1" spans="1:8" ht="21" customHeight="1" x14ac:dyDescent="0.3">
      <c r="A1" s="42"/>
      <c r="B1" s="55" t="s">
        <v>196</v>
      </c>
      <c r="H1" s="20"/>
    </row>
    <row r="2" spans="1:8" ht="15" customHeight="1" x14ac:dyDescent="0.3">
      <c r="A2" s="41"/>
      <c r="B2" s="52"/>
      <c r="H2" s="20"/>
    </row>
    <row r="3" spans="1:8" ht="15" customHeight="1" x14ac:dyDescent="0.3">
      <c r="A3" s="41" t="s">
        <v>54</v>
      </c>
      <c r="B3" s="52" t="s">
        <v>222</v>
      </c>
    </row>
    <row r="4" spans="1:8" ht="111.75" customHeight="1" x14ac:dyDescent="0.3">
      <c r="A4" s="41" t="s">
        <v>55</v>
      </c>
      <c r="B4" s="140" t="s">
        <v>223</v>
      </c>
    </row>
    <row r="5" spans="1:8" ht="37.5" customHeight="1" x14ac:dyDescent="0.3">
      <c r="A5" s="41" t="s">
        <v>56</v>
      </c>
      <c r="B5" s="141" t="s">
        <v>224</v>
      </c>
    </row>
    <row r="6" spans="1:8" ht="68.25" customHeight="1" x14ac:dyDescent="0.3">
      <c r="A6" s="41" t="s">
        <v>57</v>
      </c>
      <c r="B6" s="76" t="s">
        <v>225</v>
      </c>
    </row>
    <row r="7" spans="1:8" ht="26.25" customHeight="1" x14ac:dyDescent="0.3">
      <c r="A7" s="41" t="s">
        <v>58</v>
      </c>
      <c r="B7" s="51" t="s">
        <v>226</v>
      </c>
    </row>
    <row r="8" spans="1:8" ht="26.25" customHeight="1" x14ac:dyDescent="0.3">
      <c r="A8" s="41" t="s">
        <v>59</v>
      </c>
      <c r="B8" s="51" t="s">
        <v>227</v>
      </c>
    </row>
    <row r="9" spans="1:8" ht="26.25" customHeight="1" x14ac:dyDescent="0.3">
      <c r="A9" s="41" t="s">
        <v>60</v>
      </c>
      <c r="B9" s="51" t="s">
        <v>228</v>
      </c>
    </row>
    <row r="10" spans="1:8" ht="26.25" customHeight="1" x14ac:dyDescent="0.3">
      <c r="A10" s="41" t="s">
        <v>61</v>
      </c>
      <c r="B10" s="52" t="s">
        <v>229</v>
      </c>
    </row>
    <row r="11" spans="1:8" ht="26.25" customHeight="1" x14ac:dyDescent="0.3">
      <c r="A11" s="41" t="s">
        <v>62</v>
      </c>
      <c r="B11" s="51" t="s">
        <v>230</v>
      </c>
    </row>
    <row r="12" spans="1:8" s="75" customFormat="1" ht="26.25" customHeight="1" x14ac:dyDescent="0.3">
      <c r="A12" s="74"/>
      <c r="B12" s="76" t="s">
        <v>231</v>
      </c>
    </row>
    <row r="13" spans="1:8" ht="26.25" customHeight="1" x14ac:dyDescent="0.3">
      <c r="A13" s="41" t="s">
        <v>63</v>
      </c>
      <c r="B13" s="51" t="s">
        <v>232</v>
      </c>
    </row>
    <row r="14" spans="1:8" ht="15" customHeight="1" x14ac:dyDescent="0.3">
      <c r="A14" s="41" t="s">
        <v>64</v>
      </c>
      <c r="B14" s="47" t="s">
        <v>158</v>
      </c>
    </row>
    <row r="15" spans="1:8" ht="15" customHeight="1" x14ac:dyDescent="0.3">
      <c r="A15" s="41"/>
      <c r="B15" s="53" t="s">
        <v>101</v>
      </c>
    </row>
    <row r="16" spans="1:8" ht="15" customHeight="1" x14ac:dyDescent="0.3">
      <c r="A16" s="41"/>
      <c r="B16" s="53" t="s">
        <v>159</v>
      </c>
    </row>
    <row r="17" spans="1:2" ht="15" customHeight="1" x14ac:dyDescent="0.3">
      <c r="A17" s="41"/>
      <c r="B17" s="53" t="s">
        <v>160</v>
      </c>
    </row>
    <row r="18" spans="1:2" ht="15" customHeight="1" x14ac:dyDescent="0.3">
      <c r="A18" s="41"/>
      <c r="B18" s="53" t="s">
        <v>126</v>
      </c>
    </row>
    <row r="19" spans="1:2" ht="43.5" customHeight="1" x14ac:dyDescent="0.3">
      <c r="A19" s="41" t="s">
        <v>65</v>
      </c>
      <c r="B19" s="140" t="s">
        <v>233</v>
      </c>
    </row>
    <row r="20" spans="1:2" ht="15" customHeight="1" x14ac:dyDescent="0.3">
      <c r="A20" s="41" t="s">
        <v>66</v>
      </c>
      <c r="B20" s="54" t="s">
        <v>76</v>
      </c>
    </row>
    <row r="21" spans="1:2" ht="15" customHeight="1" x14ac:dyDescent="0.3">
      <c r="A21" s="41"/>
      <c r="B21" s="149" t="s">
        <v>194</v>
      </c>
    </row>
    <row r="22" spans="1:2" ht="13.5" customHeight="1" x14ac:dyDescent="0.3">
      <c r="A22" s="41"/>
      <c r="B22" s="150" t="s">
        <v>234</v>
      </c>
    </row>
    <row r="23" spans="1:2" x14ac:dyDescent="0.3">
      <c r="A23" s="41"/>
      <c r="B23" s="53" t="s">
        <v>153</v>
      </c>
    </row>
    <row r="24" spans="1:2" ht="15" customHeight="1" x14ac:dyDescent="0.3">
      <c r="A24" s="41"/>
      <c r="B24" s="150" t="s">
        <v>195</v>
      </c>
    </row>
    <row r="25" spans="1:2" x14ac:dyDescent="0.3">
      <c r="A25" s="42"/>
      <c r="B25" s="53" t="s">
        <v>156</v>
      </c>
    </row>
    <row r="26" spans="1:2" ht="15" customHeight="1" x14ac:dyDescent="0.3">
      <c r="A26" s="41"/>
      <c r="B26" s="129" t="s">
        <v>155</v>
      </c>
    </row>
    <row r="27" spans="1:2" x14ac:dyDescent="0.3">
      <c r="A27" s="41" t="s">
        <v>75</v>
      </c>
      <c r="B27" s="51" t="s">
        <v>161</v>
      </c>
    </row>
    <row r="28" spans="1:2" x14ac:dyDescent="0.3">
      <c r="A28" s="41"/>
      <c r="B28" s="129" t="s">
        <v>155</v>
      </c>
    </row>
    <row r="29" spans="1:2" x14ac:dyDescent="0.3">
      <c r="A29" s="41"/>
      <c r="B29" s="133"/>
    </row>
    <row r="30" spans="1:2" x14ac:dyDescent="0.3">
      <c r="A30" s="41"/>
      <c r="B30" s="134"/>
    </row>
    <row r="31" spans="1:2" x14ac:dyDescent="0.3">
      <c r="A31" s="41"/>
      <c r="B31" s="129" t="s">
        <v>155</v>
      </c>
    </row>
  </sheetData>
  <phoneticPr fontId="36" type="noConversion"/>
  <pageMargins left="0.51181102362204722" right="0.31496062992125984" top="0.74803149606299213" bottom="0.55118110236220474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43"/>
  <sheetViews>
    <sheetView topLeftCell="A12" workbookViewId="0">
      <selection activeCell="L15" sqref="L15"/>
    </sheetView>
  </sheetViews>
  <sheetFormatPr defaultRowHeight="15" x14ac:dyDescent="0.3"/>
  <cols>
    <col min="1" max="1" width="2.375" customWidth="1"/>
    <col min="2" max="2" width="38.25" customWidth="1"/>
    <col min="3" max="3" width="13.75" customWidth="1"/>
    <col min="4" max="4" width="17" customWidth="1"/>
    <col min="5" max="5" width="3.125" customWidth="1"/>
    <col min="6" max="6" width="34" customWidth="1"/>
    <col min="7" max="7" width="13.75" customWidth="1"/>
    <col min="8" max="8" width="17.375" customWidth="1"/>
  </cols>
  <sheetData>
    <row r="1" spans="2:8" ht="19.8" x14ac:dyDescent="0.4">
      <c r="B1" s="170" t="s">
        <v>251</v>
      </c>
      <c r="C1" s="170"/>
      <c r="D1" s="170"/>
      <c r="E1" s="170"/>
      <c r="F1" s="170"/>
      <c r="G1" s="170"/>
      <c r="H1" s="170"/>
    </row>
    <row r="2" spans="2:8" x14ac:dyDescent="0.3">
      <c r="B2" s="63" t="s">
        <v>210</v>
      </c>
      <c r="C2" s="63" t="s">
        <v>209</v>
      </c>
      <c r="D2" s="63" t="s">
        <v>74</v>
      </c>
      <c r="F2" s="63" t="s">
        <v>210</v>
      </c>
      <c r="G2" s="63" t="s">
        <v>209</v>
      </c>
      <c r="H2" s="63" t="s">
        <v>74</v>
      </c>
    </row>
    <row r="4" spans="2:8" x14ac:dyDescent="0.3">
      <c r="B4" s="103" t="s">
        <v>183</v>
      </c>
      <c r="C4" s="9">
        <v>5950000</v>
      </c>
      <c r="D4" s="104" t="s">
        <v>87</v>
      </c>
      <c r="F4" s="103" t="s">
        <v>15</v>
      </c>
      <c r="G4" s="10">
        <v>450000</v>
      </c>
      <c r="H4" s="104" t="s">
        <v>2</v>
      </c>
    </row>
    <row r="5" spans="2:8" x14ac:dyDescent="0.3">
      <c r="B5" s="18" t="s">
        <v>184</v>
      </c>
      <c r="C5" s="35">
        <f>0.0435+0.094</f>
        <v>0.13750000000000001</v>
      </c>
      <c r="D5" s="105" t="s">
        <v>88</v>
      </c>
      <c r="F5" s="18" t="s">
        <v>3</v>
      </c>
      <c r="G5" s="3">
        <v>125</v>
      </c>
      <c r="H5" s="105" t="s">
        <v>4</v>
      </c>
    </row>
    <row r="6" spans="2:8" x14ac:dyDescent="0.3">
      <c r="B6" s="19" t="s">
        <v>185</v>
      </c>
      <c r="C6" s="9">
        <f>C4*C5</f>
        <v>818125.00000000012</v>
      </c>
      <c r="D6" s="106" t="s">
        <v>89</v>
      </c>
      <c r="F6" s="18" t="s">
        <v>19</v>
      </c>
      <c r="G6" s="3">
        <v>4</v>
      </c>
      <c r="H6" s="105" t="s">
        <v>6</v>
      </c>
    </row>
    <row r="7" spans="2:8" x14ac:dyDescent="0.3">
      <c r="F7" s="18" t="s">
        <v>235</v>
      </c>
      <c r="G7" s="6">
        <f>G6*G5/1000</f>
        <v>0.5</v>
      </c>
      <c r="H7" s="105" t="s">
        <v>7</v>
      </c>
    </row>
    <row r="8" spans="2:8" x14ac:dyDescent="0.3">
      <c r="B8" s="107" t="s">
        <v>186</v>
      </c>
      <c r="C8" s="155">
        <v>0.25</v>
      </c>
      <c r="D8" s="108" t="s">
        <v>16</v>
      </c>
      <c r="F8" s="18" t="s">
        <v>9</v>
      </c>
      <c r="G8" s="7">
        <f>G4/G6</f>
        <v>112500</v>
      </c>
      <c r="H8" s="105" t="s">
        <v>11</v>
      </c>
    </row>
    <row r="9" spans="2:8" x14ac:dyDescent="0.3">
      <c r="F9" s="18" t="s">
        <v>10</v>
      </c>
      <c r="G9" s="154">
        <f>G8*G7/1000</f>
        <v>56.25</v>
      </c>
      <c r="H9" s="105" t="s">
        <v>0</v>
      </c>
    </row>
    <row r="10" spans="2:8" x14ac:dyDescent="0.3">
      <c r="B10" s="103" t="s">
        <v>17</v>
      </c>
      <c r="C10" s="5">
        <v>62</v>
      </c>
      <c r="D10" s="104" t="s">
        <v>0</v>
      </c>
      <c r="F10" s="18" t="s">
        <v>20</v>
      </c>
      <c r="G10" s="3">
        <v>125</v>
      </c>
      <c r="H10" s="105" t="s">
        <v>21</v>
      </c>
    </row>
    <row r="11" spans="2:8" x14ac:dyDescent="0.3">
      <c r="B11" s="18" t="s">
        <v>18</v>
      </c>
      <c r="C11" s="35">
        <v>0.55000000000000004</v>
      </c>
      <c r="D11" s="105" t="s">
        <v>1</v>
      </c>
      <c r="F11" s="18" t="s">
        <v>102</v>
      </c>
      <c r="G11" s="154">
        <f>G8/G10*G7</f>
        <v>450</v>
      </c>
      <c r="H11" s="105" t="s">
        <v>7</v>
      </c>
    </row>
    <row r="12" spans="2:8" x14ac:dyDescent="0.3">
      <c r="B12" s="18" t="s">
        <v>236</v>
      </c>
      <c r="C12" s="5">
        <f xml:space="preserve"> C10/C11</f>
        <v>112.72727272727272</v>
      </c>
      <c r="D12" s="105" t="s">
        <v>0</v>
      </c>
      <c r="F12" s="19" t="s">
        <v>8</v>
      </c>
      <c r="G12" s="7">
        <f xml:space="preserve"> G10*12</f>
        <v>1500</v>
      </c>
      <c r="H12" s="106" t="s">
        <v>12</v>
      </c>
    </row>
    <row r="13" spans="2:8" x14ac:dyDescent="0.3">
      <c r="B13" s="18" t="s">
        <v>237</v>
      </c>
      <c r="C13" s="5">
        <f>C12-C10</f>
        <v>50.72727272727272</v>
      </c>
      <c r="D13" s="105" t="s">
        <v>0</v>
      </c>
    </row>
    <row r="14" spans="2:8" x14ac:dyDescent="0.3">
      <c r="B14" s="19" t="s">
        <v>193</v>
      </c>
      <c r="C14" s="135">
        <f>C12*3</f>
        <v>338.18181818181813</v>
      </c>
      <c r="D14" s="106" t="s">
        <v>13</v>
      </c>
      <c r="F14" s="103" t="s">
        <v>187</v>
      </c>
      <c r="G14" s="151">
        <v>0.3</v>
      </c>
      <c r="H14" s="110" t="s">
        <v>127</v>
      </c>
    </row>
    <row r="15" spans="2:8" x14ac:dyDescent="0.3">
      <c r="F15" s="18" t="s">
        <v>188</v>
      </c>
      <c r="G15" s="151">
        <v>0.25</v>
      </c>
      <c r="H15" s="111" t="s">
        <v>128</v>
      </c>
    </row>
    <row r="16" spans="2:8" x14ac:dyDescent="0.3">
      <c r="B16" s="103" t="s">
        <v>163</v>
      </c>
      <c r="C16" s="7">
        <v>56</v>
      </c>
      <c r="D16" s="104" t="s">
        <v>24</v>
      </c>
      <c r="E16" s="46"/>
      <c r="F16" s="18" t="s">
        <v>189</v>
      </c>
      <c r="G16" s="151">
        <v>0.45</v>
      </c>
      <c r="H16" s="111" t="s">
        <v>129</v>
      </c>
    </row>
    <row r="17" spans="2:9" x14ac:dyDescent="0.3">
      <c r="B17" s="18" t="s">
        <v>164</v>
      </c>
      <c r="C17" s="7">
        <f>C16*2</f>
        <v>112</v>
      </c>
      <c r="D17" s="105" t="s">
        <v>24</v>
      </c>
      <c r="E17" s="46"/>
      <c r="F17" s="18" t="s">
        <v>199</v>
      </c>
      <c r="G17" s="7">
        <f xml:space="preserve"> G8*G14</f>
        <v>33750</v>
      </c>
      <c r="H17" s="105" t="s">
        <v>23</v>
      </c>
    </row>
    <row r="18" spans="2:9" x14ac:dyDescent="0.3">
      <c r="B18" s="18" t="s">
        <v>165</v>
      </c>
      <c r="C18" s="7">
        <f>C16*3</f>
        <v>168</v>
      </c>
      <c r="D18" s="105" t="s">
        <v>24</v>
      </c>
      <c r="E18" s="46"/>
      <c r="F18" s="18" t="s">
        <v>200</v>
      </c>
      <c r="G18" s="7">
        <f xml:space="preserve"> G8*G15</f>
        <v>28125</v>
      </c>
      <c r="H18" s="105" t="s">
        <v>23</v>
      </c>
      <c r="I18" s="144"/>
    </row>
    <row r="19" spans="2:9" x14ac:dyDescent="0.3">
      <c r="B19" s="18" t="s">
        <v>166</v>
      </c>
      <c r="C19" s="7">
        <f>C16*4</f>
        <v>224</v>
      </c>
      <c r="D19" s="105" t="s">
        <v>24</v>
      </c>
      <c r="F19" s="18" t="s">
        <v>201</v>
      </c>
      <c r="G19" s="7">
        <f xml:space="preserve"> G8*G16</f>
        <v>50625</v>
      </c>
      <c r="H19" s="105" t="s">
        <v>23</v>
      </c>
      <c r="I19" s="144"/>
    </row>
    <row r="20" spans="2:9" ht="13.5" customHeight="1" x14ac:dyDescent="0.3">
      <c r="B20" s="18" t="s">
        <v>167</v>
      </c>
      <c r="C20" s="7">
        <f>C16*5</f>
        <v>280</v>
      </c>
      <c r="D20" s="105" t="s">
        <v>24</v>
      </c>
      <c r="F20" s="19" t="s">
        <v>202</v>
      </c>
      <c r="G20" s="7">
        <v>112500</v>
      </c>
      <c r="H20" s="106" t="s">
        <v>23</v>
      </c>
      <c r="I20" s="144"/>
    </row>
    <row r="21" spans="2:9" x14ac:dyDescent="0.3">
      <c r="B21" s="18" t="s">
        <v>168</v>
      </c>
      <c r="C21" s="143">
        <f>C16*6</f>
        <v>336</v>
      </c>
      <c r="D21" s="105" t="s">
        <v>24</v>
      </c>
    </row>
    <row r="22" spans="2:9" x14ac:dyDescent="0.3">
      <c r="B22" s="18" t="s">
        <v>169</v>
      </c>
      <c r="C22" s="143">
        <f>C16*7</f>
        <v>392</v>
      </c>
      <c r="D22" s="105" t="s">
        <v>24</v>
      </c>
      <c r="F22" s="103" t="s">
        <v>203</v>
      </c>
      <c r="G22" s="145">
        <v>7</v>
      </c>
      <c r="H22" s="104" t="s">
        <v>22</v>
      </c>
    </row>
    <row r="23" spans="2:9" x14ac:dyDescent="0.3">
      <c r="B23" s="18" t="s">
        <v>170</v>
      </c>
      <c r="C23" s="143">
        <f>C16*8</f>
        <v>448</v>
      </c>
      <c r="D23" s="105" t="s">
        <v>24</v>
      </c>
      <c r="F23" s="18" t="s">
        <v>204</v>
      </c>
      <c r="G23" s="145">
        <v>4</v>
      </c>
      <c r="H23" s="105" t="s">
        <v>22</v>
      </c>
      <c r="I23" s="144"/>
    </row>
    <row r="24" spans="2:9" x14ac:dyDescent="0.3">
      <c r="B24" s="18" t="s">
        <v>171</v>
      </c>
      <c r="C24" s="143">
        <f>C16*9</f>
        <v>504</v>
      </c>
      <c r="D24" s="105" t="s">
        <v>24</v>
      </c>
      <c r="F24" s="18" t="s">
        <v>205</v>
      </c>
      <c r="G24" s="145">
        <v>6</v>
      </c>
      <c r="H24" s="105" t="s">
        <v>22</v>
      </c>
      <c r="I24" s="144"/>
    </row>
    <row r="25" spans="2:9" x14ac:dyDescent="0.3">
      <c r="B25" s="73" t="s">
        <v>172</v>
      </c>
      <c r="C25" s="143">
        <f>C16*10</f>
        <v>560</v>
      </c>
      <c r="D25" s="106" t="s">
        <v>24</v>
      </c>
      <c r="F25" s="18" t="s">
        <v>206</v>
      </c>
      <c r="G25" s="146">
        <f xml:space="preserve"> G24+G23+G22</f>
        <v>17</v>
      </c>
      <c r="H25" s="105" t="s">
        <v>22</v>
      </c>
      <c r="I25" s="144"/>
    </row>
    <row r="26" spans="2:9" x14ac:dyDescent="0.3">
      <c r="F26" s="23" t="s">
        <v>207</v>
      </c>
      <c r="G26" s="157">
        <f>G25*52</f>
        <v>884</v>
      </c>
      <c r="H26" s="105" t="s">
        <v>23</v>
      </c>
    </row>
    <row r="27" spans="2:9" x14ac:dyDescent="0.3">
      <c r="B27" s="103" t="s">
        <v>173</v>
      </c>
      <c r="C27" s="7">
        <f>C16+C10</f>
        <v>118</v>
      </c>
      <c r="D27" s="104" t="s">
        <v>24</v>
      </c>
      <c r="F27" s="18" t="s">
        <v>14</v>
      </c>
      <c r="G27" s="169">
        <f>127</f>
        <v>127</v>
      </c>
      <c r="H27" s="105" t="s">
        <v>162</v>
      </c>
    </row>
    <row r="28" spans="2:9" x14ac:dyDescent="0.3">
      <c r="B28" s="18" t="s">
        <v>174</v>
      </c>
      <c r="C28" s="7">
        <f>C27*2</f>
        <v>236</v>
      </c>
      <c r="D28" s="105" t="s">
        <v>24</v>
      </c>
      <c r="F28" s="19" t="s">
        <v>208</v>
      </c>
      <c r="G28" s="152">
        <f>G27*G25</f>
        <v>2159</v>
      </c>
      <c r="H28" s="106" t="s">
        <v>22</v>
      </c>
    </row>
    <row r="29" spans="2:9" x14ac:dyDescent="0.3">
      <c r="B29" s="18" t="s">
        <v>175</v>
      </c>
      <c r="C29" s="7">
        <f>C27*3</f>
        <v>354</v>
      </c>
      <c r="D29" s="105" t="s">
        <v>24</v>
      </c>
      <c r="F29" s="36"/>
    </row>
    <row r="30" spans="2:9" x14ac:dyDescent="0.3">
      <c r="B30" s="18" t="s">
        <v>176</v>
      </c>
      <c r="C30" s="7">
        <f>C27*4</f>
        <v>472</v>
      </c>
      <c r="D30" s="105" t="s">
        <v>24</v>
      </c>
      <c r="F30" s="103" t="s">
        <v>243</v>
      </c>
      <c r="G30" s="7">
        <f xml:space="preserve"> G28</f>
        <v>2159</v>
      </c>
      <c r="H30" s="104" t="s">
        <v>5</v>
      </c>
    </row>
    <row r="31" spans="2:9" x14ac:dyDescent="0.3">
      <c r="B31" s="18" t="s">
        <v>177</v>
      </c>
      <c r="C31" s="7">
        <f>C27*5</f>
        <v>590</v>
      </c>
      <c r="D31" s="105" t="s">
        <v>24</v>
      </c>
      <c r="F31" s="18" t="s">
        <v>86</v>
      </c>
      <c r="G31" s="7">
        <f>G30*4</f>
        <v>8636</v>
      </c>
      <c r="H31" s="105" t="s">
        <v>83</v>
      </c>
    </row>
    <row r="32" spans="2:9" x14ac:dyDescent="0.3">
      <c r="B32" s="18" t="s">
        <v>178</v>
      </c>
      <c r="C32" s="7">
        <f>C27*6</f>
        <v>708</v>
      </c>
      <c r="D32" s="105" t="s">
        <v>24</v>
      </c>
      <c r="F32" s="18" t="s">
        <v>238</v>
      </c>
      <c r="G32" s="7">
        <f>G30*2</f>
        <v>4318</v>
      </c>
      <c r="H32" s="105" t="s">
        <v>82</v>
      </c>
    </row>
    <row r="33" spans="2:8" x14ac:dyDescent="0.3">
      <c r="B33" s="18" t="s">
        <v>179</v>
      </c>
      <c r="C33" s="7">
        <f>C27*7</f>
        <v>826</v>
      </c>
      <c r="D33" s="105" t="s">
        <v>24</v>
      </c>
      <c r="F33" s="18" t="s">
        <v>53</v>
      </c>
      <c r="G33" s="34">
        <f>G32+G31</f>
        <v>12954</v>
      </c>
      <c r="H33" s="105" t="s">
        <v>5</v>
      </c>
    </row>
    <row r="34" spans="2:8" x14ac:dyDescent="0.3">
      <c r="B34" s="18" t="s">
        <v>180</v>
      </c>
      <c r="C34" s="7">
        <f>C27*8</f>
        <v>944</v>
      </c>
      <c r="D34" s="105" t="s">
        <v>24</v>
      </c>
      <c r="F34" s="19" t="s">
        <v>190</v>
      </c>
      <c r="G34" s="7">
        <f>G33/G10</f>
        <v>103.63200000000001</v>
      </c>
      <c r="H34" s="106" t="s">
        <v>191</v>
      </c>
    </row>
    <row r="35" spans="2:8" x14ac:dyDescent="0.3">
      <c r="B35" s="18" t="s">
        <v>181</v>
      </c>
      <c r="C35" s="7">
        <f>C27*9</f>
        <v>1062</v>
      </c>
      <c r="D35" s="105" t="s">
        <v>24</v>
      </c>
    </row>
    <row r="36" spans="2:8" x14ac:dyDescent="0.3">
      <c r="B36" s="73" t="s">
        <v>182</v>
      </c>
      <c r="C36" s="7">
        <f>C27*10</f>
        <v>1180</v>
      </c>
      <c r="D36" s="106" t="s">
        <v>24</v>
      </c>
      <c r="F36" s="107" t="s">
        <v>103</v>
      </c>
      <c r="G36" s="8">
        <v>0.75</v>
      </c>
      <c r="H36" s="108" t="s">
        <v>211</v>
      </c>
    </row>
    <row r="37" spans="2:8" x14ac:dyDescent="0.3">
      <c r="H37" s="1"/>
    </row>
    <row r="38" spans="2:8" x14ac:dyDescent="0.3">
      <c r="H38" s="1"/>
    </row>
    <row r="39" spans="2:8" x14ac:dyDescent="0.3">
      <c r="F39" s="2"/>
      <c r="G39" s="144"/>
      <c r="H39" s="1"/>
    </row>
    <row r="40" spans="2:8" x14ac:dyDescent="0.3">
      <c r="B40" s="37"/>
      <c r="C40" s="38"/>
      <c r="G40" s="4"/>
      <c r="H40" s="1"/>
    </row>
    <row r="41" spans="2:8" x14ac:dyDescent="0.3">
      <c r="B41" s="37"/>
      <c r="C41" s="38"/>
    </row>
    <row r="42" spans="2:8" x14ac:dyDescent="0.3">
      <c r="B42" s="37"/>
      <c r="C42" s="39"/>
    </row>
    <row r="43" spans="2:8" x14ac:dyDescent="0.3">
      <c r="B43" s="36"/>
      <c r="C43" s="40"/>
    </row>
  </sheetData>
  <mergeCells count="1">
    <mergeCell ref="B1:H1"/>
  </mergeCells>
  <phoneticPr fontId="36" type="noConversion"/>
  <pageMargins left="0.31496062992125984" right="0.31496062992125984" top="0.55118110236220474" bottom="0.1574803149606299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zoomScale="115" zoomScaleNormal="115" workbookViewId="0">
      <selection activeCell="B1" sqref="B1:E1"/>
    </sheetView>
  </sheetViews>
  <sheetFormatPr defaultRowHeight="15" x14ac:dyDescent="0.3"/>
  <cols>
    <col min="1" max="1" width="3.75" style="27" customWidth="1"/>
    <col min="2" max="2" width="40.875" customWidth="1"/>
    <col min="3" max="3" width="22.75" customWidth="1"/>
    <col min="4" max="4" width="4.75" customWidth="1"/>
    <col min="5" max="5" width="22.75" customWidth="1"/>
  </cols>
  <sheetData>
    <row r="1" spans="2:7" ht="19.8" x14ac:dyDescent="0.4">
      <c r="B1" s="170" t="s">
        <v>250</v>
      </c>
      <c r="C1" s="170"/>
      <c r="D1" s="170"/>
      <c r="E1" s="170"/>
    </row>
    <row r="3" spans="2:7" x14ac:dyDescent="0.3">
      <c r="C3" s="11" t="s">
        <v>78</v>
      </c>
      <c r="E3" s="11" t="s">
        <v>79</v>
      </c>
    </row>
    <row r="4" spans="2:7" ht="55.5" customHeight="1" x14ac:dyDescent="0.3">
      <c r="B4" s="30" t="s">
        <v>197</v>
      </c>
      <c r="C4" s="153" t="s">
        <v>212</v>
      </c>
      <c r="D4" s="46"/>
      <c r="E4" s="153" t="s">
        <v>213</v>
      </c>
    </row>
    <row r="5" spans="2:7" x14ac:dyDescent="0.3">
      <c r="B5" t="s">
        <v>25</v>
      </c>
      <c r="C5" s="17">
        <v>0.84</v>
      </c>
      <c r="E5" s="45">
        <v>0</v>
      </c>
    </row>
    <row r="6" spans="2:7" x14ac:dyDescent="0.3">
      <c r="B6" t="s">
        <v>26</v>
      </c>
      <c r="C6" s="17">
        <v>0</v>
      </c>
      <c r="D6" s="32"/>
      <c r="E6" s="15">
        <v>1.27</v>
      </c>
    </row>
    <row r="7" spans="2:7" x14ac:dyDescent="0.3">
      <c r="B7" t="s">
        <v>90</v>
      </c>
      <c r="C7" s="17">
        <v>0.28999999999999998</v>
      </c>
      <c r="D7" s="32"/>
      <c r="E7" s="29">
        <v>0.27</v>
      </c>
    </row>
    <row r="8" spans="2:7" ht="16.8" x14ac:dyDescent="0.45">
      <c r="B8" t="s">
        <v>152</v>
      </c>
      <c r="C8" s="48">
        <v>0</v>
      </c>
      <c r="D8" s="33"/>
      <c r="E8" s="13">
        <v>1.24</v>
      </c>
    </row>
    <row r="9" spans="2:7" ht="16.8" x14ac:dyDescent="0.45">
      <c r="B9" s="12" t="s">
        <v>240</v>
      </c>
      <c r="C9" s="80">
        <f>C5+C7</f>
        <v>1.1299999999999999</v>
      </c>
      <c r="E9" s="80">
        <f>E6+E7+E8</f>
        <v>2.7800000000000002</v>
      </c>
    </row>
    <row r="11" spans="2:7" ht="16.8" x14ac:dyDescent="0.45">
      <c r="B11" s="12" t="s">
        <v>51</v>
      </c>
      <c r="C11" s="81"/>
      <c r="E11" s="96">
        <f>C9+E9</f>
        <v>3.91</v>
      </c>
      <c r="G11" s="36"/>
    </row>
    <row r="12" spans="2:7" x14ac:dyDescent="0.3">
      <c r="B12" s="12"/>
      <c r="C12" s="81"/>
      <c r="E12" s="81"/>
    </row>
    <row r="13" spans="2:7" ht="14.25" customHeight="1" x14ac:dyDescent="0.3">
      <c r="C13" s="11" t="s">
        <v>107</v>
      </c>
      <c r="E13" s="11" t="s">
        <v>108</v>
      </c>
    </row>
    <row r="14" spans="2:7" ht="55.5" customHeight="1" x14ac:dyDescent="0.3">
      <c r="C14" s="14" t="s">
        <v>214</v>
      </c>
      <c r="E14" s="153" t="s">
        <v>215</v>
      </c>
    </row>
    <row r="15" spans="2:7" ht="19.5" customHeight="1" x14ac:dyDescent="0.3">
      <c r="B15" t="s">
        <v>242</v>
      </c>
      <c r="C15" s="17">
        <v>0.23</v>
      </c>
      <c r="E15" s="45">
        <v>0.92</v>
      </c>
      <c r="G15" s="36"/>
    </row>
    <row r="16" spans="2:7" x14ac:dyDescent="0.3">
      <c r="B16" t="s">
        <v>29</v>
      </c>
      <c r="C16" s="15">
        <v>0.28999999999999998</v>
      </c>
      <c r="E16" s="15">
        <v>0.35</v>
      </c>
      <c r="G16" s="36"/>
    </row>
    <row r="17" spans="1:7" x14ac:dyDescent="0.3">
      <c r="B17" t="s">
        <v>28</v>
      </c>
      <c r="C17" s="17">
        <v>0.33</v>
      </c>
      <c r="E17" s="15">
        <v>0.76</v>
      </c>
      <c r="G17" s="36"/>
    </row>
    <row r="18" spans="1:7" x14ac:dyDescent="0.3">
      <c r="B18" t="s">
        <v>27</v>
      </c>
      <c r="C18" s="17">
        <v>0.25</v>
      </c>
      <c r="E18" s="15">
        <v>1.04</v>
      </c>
      <c r="G18" s="36"/>
    </row>
    <row r="19" spans="1:7" x14ac:dyDescent="0.3">
      <c r="A19" s="27" t="s">
        <v>44</v>
      </c>
      <c r="B19" t="s">
        <v>104</v>
      </c>
      <c r="C19" s="29">
        <v>0.17</v>
      </c>
      <c r="E19" s="29">
        <v>7.0000000000000007E-2</v>
      </c>
      <c r="G19" s="36"/>
    </row>
    <row r="20" spans="1:7" x14ac:dyDescent="0.3">
      <c r="A20" s="27" t="s">
        <v>45</v>
      </c>
      <c r="B20" t="s">
        <v>105</v>
      </c>
      <c r="C20" s="15">
        <v>0.28000000000000003</v>
      </c>
      <c r="E20" s="15">
        <v>0.71</v>
      </c>
      <c r="G20" s="36"/>
    </row>
    <row r="21" spans="1:7" x14ac:dyDescent="0.3">
      <c r="A21" s="27" t="s">
        <v>46</v>
      </c>
      <c r="B21" t="s">
        <v>106</v>
      </c>
      <c r="C21" s="15">
        <v>0.54</v>
      </c>
      <c r="D21" s="27"/>
      <c r="E21" s="29">
        <v>0</v>
      </c>
      <c r="G21" s="36"/>
    </row>
    <row r="22" spans="1:7" x14ac:dyDescent="0.3">
      <c r="A22" s="27" t="s">
        <v>47</v>
      </c>
      <c r="B22" t="s">
        <v>157</v>
      </c>
      <c r="C22" s="142">
        <v>1.87</v>
      </c>
      <c r="D22" s="27"/>
      <c r="E22" s="113" t="s">
        <v>67</v>
      </c>
      <c r="G22" s="36"/>
    </row>
    <row r="23" spans="1:7" ht="16.8" x14ac:dyDescent="0.45">
      <c r="A23" s="27" t="s">
        <v>48</v>
      </c>
      <c r="B23" s="94" t="s">
        <v>241</v>
      </c>
      <c r="C23" s="96">
        <f>C22+C19+C18</f>
        <v>2.29</v>
      </c>
      <c r="D23" s="20" t="s">
        <v>49</v>
      </c>
      <c r="E23" s="96">
        <f>E15+E16+E17+E18+E19+E20</f>
        <v>3.85</v>
      </c>
      <c r="G23" s="123"/>
    </row>
    <row r="24" spans="1:7" x14ac:dyDescent="0.3">
      <c r="B24" s="12"/>
    </row>
    <row r="25" spans="1:7" ht="16.8" x14ac:dyDescent="0.45">
      <c r="A25" s="27" t="s">
        <v>131</v>
      </c>
      <c r="B25" s="95" t="s">
        <v>98</v>
      </c>
      <c r="E25" s="97">
        <f>C23+E23+C9+E9</f>
        <v>10.050000000000001</v>
      </c>
      <c r="G25" s="36"/>
    </row>
    <row r="29" spans="1:7" x14ac:dyDescent="0.3">
      <c r="B29" s="12" t="s">
        <v>52</v>
      </c>
    </row>
    <row r="30" spans="1:7" x14ac:dyDescent="0.3">
      <c r="A30" s="27" t="s">
        <v>44</v>
      </c>
      <c r="B30" s="46" t="s">
        <v>130</v>
      </c>
      <c r="F30" s="27"/>
      <c r="G30" s="46"/>
    </row>
    <row r="31" spans="1:7" x14ac:dyDescent="0.3">
      <c r="A31" s="27" t="s">
        <v>45</v>
      </c>
      <c r="B31" s="46" t="s">
        <v>80</v>
      </c>
      <c r="F31" s="27"/>
      <c r="G31" s="46"/>
    </row>
    <row r="32" spans="1:7" x14ac:dyDescent="0.3">
      <c r="A32" s="27" t="s">
        <v>46</v>
      </c>
      <c r="B32" s="46" t="s">
        <v>94</v>
      </c>
      <c r="F32" s="27"/>
      <c r="G32" s="46"/>
    </row>
    <row r="33" spans="1:7" x14ac:dyDescent="0.3">
      <c r="A33" s="27" t="s">
        <v>47</v>
      </c>
      <c r="B33" s="46" t="s">
        <v>95</v>
      </c>
      <c r="F33" s="27"/>
      <c r="G33" s="46"/>
    </row>
    <row r="34" spans="1:7" x14ac:dyDescent="0.3">
      <c r="A34" s="27" t="s">
        <v>48</v>
      </c>
      <c r="B34" s="46" t="s">
        <v>192</v>
      </c>
      <c r="F34" s="27"/>
      <c r="G34" s="46"/>
    </row>
    <row r="35" spans="1:7" x14ac:dyDescent="0.3">
      <c r="A35" s="27" t="s">
        <v>49</v>
      </c>
      <c r="B35" s="46" t="s">
        <v>192</v>
      </c>
      <c r="F35" s="27"/>
      <c r="G35" s="46"/>
    </row>
    <row r="36" spans="1:7" x14ac:dyDescent="0.3">
      <c r="A36" s="27" t="s">
        <v>131</v>
      </c>
      <c r="B36" s="46" t="s">
        <v>77</v>
      </c>
      <c r="F36" s="27"/>
      <c r="G36" s="46"/>
    </row>
  </sheetData>
  <mergeCells count="1">
    <mergeCell ref="B1:E1"/>
  </mergeCells>
  <phoneticPr fontId="36" type="noConversion"/>
  <pageMargins left="0.43307086614173229" right="3.937007874015748E-2" top="0.74803149606299213" bottom="0.15748031496062992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891C-2667-4CE4-A280-D91A03BFCAF7}">
  <dimension ref="B1:D20"/>
  <sheetViews>
    <sheetView workbookViewId="0">
      <selection activeCell="B1" sqref="B1:C1"/>
    </sheetView>
  </sheetViews>
  <sheetFormatPr defaultRowHeight="15" x14ac:dyDescent="0.3"/>
  <cols>
    <col min="1" max="1" width="3" customWidth="1"/>
    <col min="2" max="2" width="33.25" customWidth="1"/>
    <col min="3" max="3" width="36.375" customWidth="1"/>
    <col min="4" max="4" width="5" customWidth="1"/>
  </cols>
  <sheetData>
    <row r="1" spans="2:4" ht="19.8" x14ac:dyDescent="0.3">
      <c r="B1" s="171" t="s">
        <v>252</v>
      </c>
      <c r="C1" s="171"/>
    </row>
    <row r="3" spans="2:4" x14ac:dyDescent="0.3">
      <c r="C3" s="16" t="s">
        <v>198</v>
      </c>
      <c r="D3" s="12"/>
    </row>
    <row r="4" spans="2:4" x14ac:dyDescent="0.3">
      <c r="B4" s="72" t="s">
        <v>216</v>
      </c>
      <c r="C4" s="56" t="s">
        <v>132</v>
      </c>
      <c r="D4" s="68"/>
    </row>
    <row r="5" spans="2:4" ht="18" customHeight="1" x14ac:dyDescent="0.3">
      <c r="B5" s="23" t="s">
        <v>133</v>
      </c>
      <c r="C5" s="69">
        <v>21</v>
      </c>
      <c r="D5" s="46"/>
    </row>
    <row r="6" spans="2:4" ht="18" customHeight="1" x14ac:dyDescent="0.3">
      <c r="B6" s="23" t="s">
        <v>134</v>
      </c>
      <c r="C6" s="136">
        <f>C7*C17</f>
        <v>16373.5</v>
      </c>
    </row>
    <row r="7" spans="2:4" ht="18" customHeight="1" x14ac:dyDescent="0.3">
      <c r="B7" s="23" t="s">
        <v>135</v>
      </c>
      <c r="C7" s="115">
        <f xml:space="preserve"> 1650*26/12</f>
        <v>3575</v>
      </c>
      <c r="D7" s="46"/>
    </row>
    <row r="8" spans="2:4" ht="18" customHeight="1" x14ac:dyDescent="0.3">
      <c r="B8" s="19" t="s">
        <v>136</v>
      </c>
      <c r="C8" s="116">
        <v>0.25</v>
      </c>
      <c r="D8" s="46"/>
    </row>
    <row r="9" spans="2:4" ht="18" customHeight="1" x14ac:dyDescent="0.3">
      <c r="D9" s="46"/>
    </row>
    <row r="10" spans="2:4" ht="18" customHeight="1" x14ac:dyDescent="0.3">
      <c r="B10" s="112" t="s">
        <v>138</v>
      </c>
      <c r="C10" s="148">
        <f>(C7+(C7*C8))*21</f>
        <v>93843.75</v>
      </c>
      <c r="D10" s="46"/>
    </row>
    <row r="11" spans="2:4" ht="18" customHeight="1" x14ac:dyDescent="0.3">
      <c r="B11" s="73" t="s">
        <v>140</v>
      </c>
      <c r="C11" s="118">
        <f>C10*12</f>
        <v>1126125</v>
      </c>
      <c r="D11" s="46"/>
    </row>
    <row r="12" spans="2:4" ht="18" customHeight="1" x14ac:dyDescent="0.3">
      <c r="D12" s="46"/>
    </row>
    <row r="13" spans="2:4" x14ac:dyDescent="0.3">
      <c r="B13" s="112" t="s">
        <v>137</v>
      </c>
      <c r="C13" s="117">
        <f>C10*C17</f>
        <v>429804.375</v>
      </c>
    </row>
    <row r="14" spans="2:4" x14ac:dyDescent="0.3">
      <c r="B14" s="73" t="s">
        <v>139</v>
      </c>
      <c r="C14" s="122">
        <f>C13*12</f>
        <v>5157652.5</v>
      </c>
    </row>
    <row r="17" spans="2:3" x14ac:dyDescent="0.3">
      <c r="B17" s="21" t="s">
        <v>141</v>
      </c>
      <c r="C17" s="156">
        <v>4.58</v>
      </c>
    </row>
    <row r="18" spans="2:3" x14ac:dyDescent="0.3">
      <c r="B18" s="22" t="s">
        <v>142</v>
      </c>
      <c r="C18" s="118" t="s">
        <v>244</v>
      </c>
    </row>
    <row r="20" spans="2:3" x14ac:dyDescent="0.3">
      <c r="B20" t="s">
        <v>239</v>
      </c>
    </row>
  </sheetData>
  <mergeCells count="1">
    <mergeCell ref="B1:C1"/>
  </mergeCells>
  <phoneticPr fontId="36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5"/>
  <sheetViews>
    <sheetView zoomScale="115" zoomScaleNormal="115" workbookViewId="0">
      <selection activeCell="B1" sqref="B1:C1"/>
    </sheetView>
  </sheetViews>
  <sheetFormatPr defaultRowHeight="15" x14ac:dyDescent="0.3"/>
  <cols>
    <col min="1" max="1" width="3" customWidth="1"/>
    <col min="2" max="2" width="43.875" customWidth="1"/>
    <col min="3" max="3" width="31.25" customWidth="1"/>
    <col min="4" max="4" width="5" customWidth="1"/>
    <col min="5" max="5" width="21.125" customWidth="1"/>
    <col min="6" max="6" width="18.875" customWidth="1"/>
  </cols>
  <sheetData>
    <row r="1" spans="2:8" ht="22.5" customHeight="1" x14ac:dyDescent="0.3">
      <c r="B1" s="171" t="s">
        <v>253</v>
      </c>
      <c r="C1" s="171"/>
    </row>
    <row r="2" spans="2:8" ht="15" customHeight="1" x14ac:dyDescent="0.3"/>
    <row r="3" spans="2:8" x14ac:dyDescent="0.3">
      <c r="C3" s="16" t="s">
        <v>198</v>
      </c>
      <c r="D3" s="12"/>
    </row>
    <row r="4" spans="2:8" ht="19.5" customHeight="1" x14ac:dyDescent="0.3">
      <c r="B4" s="72" t="s">
        <v>220</v>
      </c>
      <c r="C4" s="56" t="s">
        <v>97</v>
      </c>
      <c r="D4" s="68"/>
    </row>
    <row r="5" spans="2:8" ht="20.25" customHeight="1" x14ac:dyDescent="0.3">
      <c r="B5" s="23" t="s">
        <v>50</v>
      </c>
      <c r="C5" s="165">
        <f>'3a. Operational Costs'!E25</f>
        <v>10.050000000000001</v>
      </c>
      <c r="D5" s="46"/>
      <c r="F5" s="164"/>
    </row>
    <row r="6" spans="2:8" x14ac:dyDescent="0.3">
      <c r="B6" s="23" t="s">
        <v>246</v>
      </c>
      <c r="C6" s="57">
        <f>120%*80%</f>
        <v>0.96</v>
      </c>
      <c r="E6" s="109"/>
      <c r="F6" s="109"/>
    </row>
    <row r="7" spans="2:8" x14ac:dyDescent="0.3">
      <c r="B7" s="23" t="s">
        <v>149</v>
      </c>
      <c r="C7" s="58">
        <f>C6*C5</f>
        <v>9.6479999999999997</v>
      </c>
      <c r="D7" s="46"/>
      <c r="F7" s="36"/>
    </row>
    <row r="8" spans="2:8" x14ac:dyDescent="0.3">
      <c r="B8" s="23" t="s">
        <v>42</v>
      </c>
      <c r="C8" s="58">
        <f>C7+C5</f>
        <v>19.698</v>
      </c>
      <c r="D8" s="46"/>
    </row>
    <row r="9" spans="2:8" x14ac:dyDescent="0.3">
      <c r="B9" s="23" t="s">
        <v>146</v>
      </c>
      <c r="C9" s="161">
        <f>C8*C34</f>
        <v>90.216840000000005</v>
      </c>
      <c r="D9" s="46"/>
    </row>
    <row r="10" spans="2:8" x14ac:dyDescent="0.3">
      <c r="B10" s="23" t="s">
        <v>96</v>
      </c>
      <c r="C10" s="69">
        <f>'2. Production &amp; Market Entry'!G4</f>
        <v>450000</v>
      </c>
      <c r="D10" s="46"/>
    </row>
    <row r="11" spans="2:8" ht="15" customHeight="1" x14ac:dyDescent="0.3">
      <c r="B11" s="23" t="s">
        <v>245</v>
      </c>
      <c r="C11" s="69">
        <f>C8*C10</f>
        <v>8864100</v>
      </c>
      <c r="D11" s="46"/>
      <c r="E11" s="144"/>
      <c r="F11" s="144"/>
    </row>
    <row r="12" spans="2:8" x14ac:dyDescent="0.3">
      <c r="B12" s="73" t="s">
        <v>147</v>
      </c>
      <c r="C12" s="121">
        <f>C9*C10</f>
        <v>40597578</v>
      </c>
      <c r="D12" s="46"/>
      <c r="E12" s="144">
        <f>E11*73</f>
        <v>0</v>
      </c>
      <c r="F12" s="144">
        <f>F11*101</f>
        <v>0</v>
      </c>
    </row>
    <row r="13" spans="2:8" x14ac:dyDescent="0.3">
      <c r="D13" s="46"/>
    </row>
    <row r="14" spans="2:8" ht="16.5" customHeight="1" x14ac:dyDescent="0.3">
      <c r="D14" s="46"/>
    </row>
    <row r="15" spans="2:8" x14ac:dyDescent="0.3">
      <c r="B15" s="72" t="s">
        <v>217</v>
      </c>
      <c r="C15" s="98" t="s">
        <v>151</v>
      </c>
      <c r="D15" s="59"/>
      <c r="E15" s="163"/>
      <c r="F15" s="163"/>
      <c r="G15" s="162"/>
      <c r="H15" s="163"/>
    </row>
    <row r="16" spans="2:8" x14ac:dyDescent="0.3">
      <c r="B16" s="23" t="s">
        <v>68</v>
      </c>
      <c r="C16" s="60">
        <f>C8-C5</f>
        <v>9.6479999999999997</v>
      </c>
      <c r="D16" s="46"/>
    </row>
    <row r="17" spans="1:6" x14ac:dyDescent="0.3">
      <c r="B17" s="23" t="s">
        <v>69</v>
      </c>
      <c r="C17" s="61">
        <f>C16*C10</f>
        <v>4341600</v>
      </c>
      <c r="D17" s="46"/>
    </row>
    <row r="18" spans="1:6" x14ac:dyDescent="0.3">
      <c r="A18" s="20"/>
      <c r="B18" s="73" t="s">
        <v>150</v>
      </c>
      <c r="C18" s="121">
        <f>C17*C34</f>
        <v>19884528</v>
      </c>
      <c r="D18" s="46"/>
    </row>
    <row r="19" spans="1:6" x14ac:dyDescent="0.3">
      <c r="A19" s="20"/>
      <c r="C19" s="46"/>
      <c r="D19" s="46"/>
    </row>
    <row r="20" spans="1:6" x14ac:dyDescent="0.3">
      <c r="A20" s="20"/>
      <c r="C20" s="46"/>
      <c r="D20" s="46"/>
    </row>
    <row r="21" spans="1:6" ht="17.25" customHeight="1" x14ac:dyDescent="0.3">
      <c r="B21" s="120" t="s">
        <v>81</v>
      </c>
      <c r="C21" s="98" t="s">
        <v>151</v>
      </c>
      <c r="D21" s="59"/>
    </row>
    <row r="22" spans="1:6" x14ac:dyDescent="0.3">
      <c r="B22" s="18" t="s">
        <v>99</v>
      </c>
      <c r="C22" s="57">
        <f>90%</f>
        <v>0.9</v>
      </c>
      <c r="D22" s="46"/>
      <c r="E22" s="109"/>
    </row>
    <row r="23" spans="1:6" ht="15.75" customHeight="1" x14ac:dyDescent="0.3">
      <c r="B23" s="18" t="s">
        <v>100</v>
      </c>
      <c r="C23" s="60">
        <f>C22*C8</f>
        <v>17.728200000000001</v>
      </c>
      <c r="D23" s="46"/>
    </row>
    <row r="24" spans="1:6" ht="15" customHeight="1" x14ac:dyDescent="0.3">
      <c r="A24" s="20"/>
      <c r="B24" s="18" t="s">
        <v>43</v>
      </c>
      <c r="C24" s="58">
        <f>C23+C8</f>
        <v>37.426200000000001</v>
      </c>
      <c r="D24" s="46"/>
      <c r="E24" s="160"/>
      <c r="F24" s="160"/>
    </row>
    <row r="25" spans="1:6" x14ac:dyDescent="0.3">
      <c r="A25" s="20"/>
      <c r="B25" s="19" t="s">
        <v>148</v>
      </c>
      <c r="C25" s="119">
        <f>C24*C34</f>
        <v>171.41199600000002</v>
      </c>
      <c r="D25" s="46"/>
    </row>
    <row r="26" spans="1:6" x14ac:dyDescent="0.3">
      <c r="A26" s="20"/>
      <c r="C26" s="46"/>
      <c r="D26" s="46"/>
    </row>
    <row r="27" spans="1:6" ht="15.75" customHeight="1" x14ac:dyDescent="0.3">
      <c r="A27" s="20"/>
      <c r="C27" s="46"/>
      <c r="D27" s="46"/>
    </row>
    <row r="28" spans="1:6" x14ac:dyDescent="0.3">
      <c r="A28" s="20"/>
      <c r="B28" s="120" t="s">
        <v>143</v>
      </c>
      <c r="C28" s="98" t="s">
        <v>151</v>
      </c>
      <c r="D28" s="59"/>
    </row>
    <row r="29" spans="1:6" x14ac:dyDescent="0.3">
      <c r="A29" s="20"/>
      <c r="B29" s="18" t="s">
        <v>68</v>
      </c>
      <c r="C29" s="60">
        <f>C24-C8</f>
        <v>17.728200000000001</v>
      </c>
      <c r="D29" s="46"/>
    </row>
    <row r="30" spans="1:6" x14ac:dyDescent="0.3">
      <c r="B30" s="18" t="s">
        <v>69</v>
      </c>
      <c r="C30" s="71">
        <f>C29*C10</f>
        <v>7977690.0000000009</v>
      </c>
    </row>
    <row r="31" spans="1:6" x14ac:dyDescent="0.3">
      <c r="B31" s="19" t="s">
        <v>247</v>
      </c>
      <c r="C31" s="49">
        <f>C30/'2. Production &amp; Market Entry'!G27</f>
        <v>62816.456692913394</v>
      </c>
      <c r="E31" s="36"/>
      <c r="F31" s="147"/>
    </row>
    <row r="32" spans="1:6" x14ac:dyDescent="0.3">
      <c r="E32" s="36"/>
    </row>
    <row r="34" spans="2:5" x14ac:dyDescent="0.3">
      <c r="B34" s="21" t="s">
        <v>144</v>
      </c>
      <c r="C34" s="159">
        <v>4.58</v>
      </c>
    </row>
    <row r="35" spans="2:5" ht="15.75" customHeight="1" x14ac:dyDescent="0.3">
      <c r="B35" s="22" t="s">
        <v>145</v>
      </c>
      <c r="C35" s="158">
        <v>0.218</v>
      </c>
      <c r="E35" s="77"/>
    </row>
  </sheetData>
  <mergeCells count="1">
    <mergeCell ref="B1:C1"/>
  </mergeCells>
  <phoneticPr fontId="36" type="noConversion"/>
  <pageMargins left="0.70866141732283472" right="0.70866141732283472" top="0.74803149606299213" bottom="0.35433070866141736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37"/>
  <sheetViews>
    <sheetView zoomScaleNormal="100" workbookViewId="0">
      <selection activeCell="F7" sqref="F7"/>
    </sheetView>
  </sheetViews>
  <sheetFormatPr defaultRowHeight="15" x14ac:dyDescent="0.3"/>
  <cols>
    <col min="1" max="1" width="9" customWidth="1"/>
    <col min="2" max="2" width="38" customWidth="1"/>
    <col min="3" max="3" width="23.875" customWidth="1"/>
  </cols>
  <sheetData>
    <row r="1" spans="2:3" ht="15.75" customHeight="1" x14ac:dyDescent="0.4">
      <c r="B1" s="170" t="s">
        <v>254</v>
      </c>
      <c r="C1" s="170"/>
    </row>
    <row r="2" spans="2:3" ht="15.75" customHeight="1" thickBot="1" x14ac:dyDescent="0.35"/>
    <row r="3" spans="2:3" ht="15.75" customHeight="1" thickBot="1" x14ac:dyDescent="0.35">
      <c r="B3" s="176" t="s">
        <v>41</v>
      </c>
      <c r="C3" s="177"/>
    </row>
    <row r="4" spans="2:3" ht="15.75" customHeight="1" x14ac:dyDescent="0.3">
      <c r="B4" s="50"/>
      <c r="C4" s="100" t="s">
        <v>218</v>
      </c>
    </row>
    <row r="5" spans="2:3" ht="15.75" customHeight="1" x14ac:dyDescent="0.3">
      <c r="B5" s="126" t="s">
        <v>30</v>
      </c>
      <c r="C5" s="24">
        <f>'4. Operational Income'!C11</f>
        <v>8864100</v>
      </c>
    </row>
    <row r="6" spans="2:3" ht="15.75" customHeight="1" x14ac:dyDescent="0.3">
      <c r="B6" s="126" t="s">
        <v>248</v>
      </c>
      <c r="C6" s="25">
        <f>'3a. Operational Costs'!E11*'4. Operational Income'!C10</f>
        <v>1759500</v>
      </c>
    </row>
    <row r="7" spans="2:3" ht="15.75" customHeight="1" x14ac:dyDescent="0.3">
      <c r="B7" s="125" t="s">
        <v>32</v>
      </c>
      <c r="C7" s="26">
        <f>C5-C6</f>
        <v>7104600</v>
      </c>
    </row>
    <row r="8" spans="2:3" ht="15.75" customHeight="1" x14ac:dyDescent="0.3">
      <c r="B8" s="126" t="s">
        <v>33</v>
      </c>
      <c r="C8" s="166">
        <f>('3a. Operational Costs'!C19+'3a. Operational Costs'!C22+'3a. Operational Costs'!E19+'3a. Operational Costs'!E20)*'2. Production &amp; Market Entry'!G4</f>
        <v>1269000</v>
      </c>
    </row>
    <row r="9" spans="2:3" ht="15.75" customHeight="1" x14ac:dyDescent="0.3">
      <c r="B9" s="126" t="s">
        <v>34</v>
      </c>
      <c r="C9" s="25">
        <f>('3a. Operational Costs'!E18+'3a. Operational Costs'!C18)*'4. Operational Income'!C10</f>
        <v>580500</v>
      </c>
    </row>
    <row r="10" spans="2:3" ht="15.75" customHeight="1" x14ac:dyDescent="0.3">
      <c r="B10" s="126" t="s">
        <v>35</v>
      </c>
      <c r="C10" s="25">
        <f>'6. Strategic Profit Model'!B23*20%</f>
        <v>204134.31359999999</v>
      </c>
    </row>
    <row r="11" spans="2:3" ht="15.75" customHeight="1" x14ac:dyDescent="0.3">
      <c r="B11" s="126" t="s">
        <v>36</v>
      </c>
      <c r="C11" s="25">
        <f>'4. Operational Income'!C10*('3a. Operational Costs'!E15+'3a. Operational Costs'!E16+'3a. Operational Costs'!E17+'2. Production &amp; Market Entry'!G36)+'3b. Labour Costs'!C11</f>
        <v>2377125</v>
      </c>
    </row>
    <row r="12" spans="2:3" ht="15.75" customHeight="1" x14ac:dyDescent="0.3">
      <c r="B12" s="124" t="s">
        <v>85</v>
      </c>
      <c r="C12" s="26">
        <f>C9+C8+C10+C11</f>
        <v>4430759.3136</v>
      </c>
    </row>
    <row r="13" spans="2:3" ht="15.75" customHeight="1" x14ac:dyDescent="0.3">
      <c r="B13" s="139"/>
      <c r="C13" s="138"/>
    </row>
    <row r="14" spans="2:3" ht="15.75" customHeight="1" x14ac:dyDescent="0.3">
      <c r="B14" s="125" t="s">
        <v>124</v>
      </c>
      <c r="C14" s="26">
        <f>C7-C12</f>
        <v>2673840.6864</v>
      </c>
    </row>
    <row r="15" spans="2:3" ht="15.75" customHeight="1" x14ac:dyDescent="0.3">
      <c r="B15" s="137"/>
      <c r="C15" s="138"/>
    </row>
    <row r="16" spans="2:3" ht="15.75" customHeight="1" x14ac:dyDescent="0.3">
      <c r="B16" s="126" t="s">
        <v>38</v>
      </c>
      <c r="C16" s="24">
        <f>'2. Production &amp; Market Entry'!C6</f>
        <v>818125.00000000012</v>
      </c>
    </row>
    <row r="17" spans="2:3" ht="15.75" customHeight="1" x14ac:dyDescent="0.3">
      <c r="B17" s="126" t="s">
        <v>39</v>
      </c>
      <c r="C17" s="25">
        <f>(C14 - C16) * '2. Production &amp; Market Entry'!C8</f>
        <v>463928.9216</v>
      </c>
    </row>
    <row r="18" spans="2:3" ht="15.75" customHeight="1" thickBot="1" x14ac:dyDescent="0.5">
      <c r="B18" s="127" t="s">
        <v>40</v>
      </c>
      <c r="C18" s="64">
        <f>C7-C12-C16-C17</f>
        <v>1391786.7648</v>
      </c>
    </row>
    <row r="19" spans="2:3" ht="15.75" customHeight="1" x14ac:dyDescent="0.3">
      <c r="B19" s="101"/>
      <c r="C19" s="101"/>
    </row>
    <row r="20" spans="2:3" ht="15.75" customHeight="1" x14ac:dyDescent="0.3">
      <c r="C20" s="70"/>
    </row>
    <row r="21" spans="2:3" ht="15.75" customHeight="1" x14ac:dyDescent="0.3">
      <c r="B21" s="172" t="s">
        <v>221</v>
      </c>
      <c r="C21" s="173"/>
    </row>
    <row r="22" spans="2:3" ht="15.75" customHeight="1" x14ac:dyDescent="0.3">
      <c r="B22" s="67" t="s">
        <v>91</v>
      </c>
      <c r="C22" s="168">
        <f>C7/C5</f>
        <v>0.80150269062849022</v>
      </c>
    </row>
    <row r="23" spans="2:3" ht="15.75" customHeight="1" x14ac:dyDescent="0.3">
      <c r="B23" s="65" t="s">
        <v>92</v>
      </c>
      <c r="C23" s="78">
        <f>C14/C5</f>
        <v>0.30164829891359529</v>
      </c>
    </row>
    <row r="24" spans="2:3" ht="15.75" customHeight="1" x14ac:dyDescent="0.3">
      <c r="B24" s="66" t="s">
        <v>93</v>
      </c>
      <c r="C24" s="79">
        <f>C18/C5</f>
        <v>0.1570138835076319</v>
      </c>
    </row>
    <row r="25" spans="2:3" ht="15.75" customHeight="1" x14ac:dyDescent="0.3">
      <c r="B25" s="31"/>
      <c r="C25" s="101"/>
    </row>
    <row r="26" spans="2:3" ht="15.75" customHeight="1" x14ac:dyDescent="0.3"/>
    <row r="27" spans="2:3" ht="15.75" customHeight="1" x14ac:dyDescent="0.3">
      <c r="B27" s="174" t="s">
        <v>84</v>
      </c>
      <c r="C27" s="175"/>
    </row>
    <row r="28" spans="2:3" ht="15.75" customHeight="1" x14ac:dyDescent="0.3">
      <c r="B28" s="65"/>
      <c r="C28" s="100" t="s">
        <v>219</v>
      </c>
    </row>
    <row r="29" spans="2:3" ht="15.75" customHeight="1" x14ac:dyDescent="0.3">
      <c r="B29" s="65" t="s">
        <v>30</v>
      </c>
      <c r="C29" s="114">
        <f>C5*C36</f>
        <v>40597578</v>
      </c>
    </row>
    <row r="30" spans="2:3" ht="15.75" customHeight="1" x14ac:dyDescent="0.3">
      <c r="B30" s="65" t="s">
        <v>32</v>
      </c>
      <c r="C30" s="114">
        <f>C7*C36</f>
        <v>32539068</v>
      </c>
    </row>
    <row r="31" spans="2:3" ht="15.75" customHeight="1" x14ac:dyDescent="0.3">
      <c r="B31" s="65" t="s">
        <v>37</v>
      </c>
      <c r="C31" s="114">
        <f>C14*C36</f>
        <v>12246190.343712</v>
      </c>
    </row>
    <row r="32" spans="2:3" ht="15.75" customHeight="1" x14ac:dyDescent="0.3">
      <c r="B32" s="66" t="s">
        <v>40</v>
      </c>
      <c r="C32" s="122">
        <f>C18*C36</f>
        <v>6374383.3827839997</v>
      </c>
    </row>
    <row r="33" spans="2:3" ht="15.75" customHeight="1" x14ac:dyDescent="0.3">
      <c r="B33" s="31"/>
      <c r="C33" s="102"/>
    </row>
    <row r="34" spans="2:3" ht="15.75" customHeight="1" x14ac:dyDescent="0.3"/>
    <row r="35" spans="2:3" ht="15.75" customHeight="1" x14ac:dyDescent="0.3">
      <c r="B35" s="174" t="s">
        <v>125</v>
      </c>
      <c r="C35" s="175"/>
    </row>
    <row r="36" spans="2:3" x14ac:dyDescent="0.3">
      <c r="B36" s="21" t="s">
        <v>144</v>
      </c>
      <c r="C36" s="159">
        <v>4.58</v>
      </c>
    </row>
    <row r="37" spans="2:3" x14ac:dyDescent="0.3">
      <c r="B37" s="22" t="s">
        <v>145</v>
      </c>
      <c r="C37" s="158">
        <v>0.218</v>
      </c>
    </row>
  </sheetData>
  <mergeCells count="5">
    <mergeCell ref="B1:C1"/>
    <mergeCell ref="B21:C21"/>
    <mergeCell ref="B35:C35"/>
    <mergeCell ref="B3:C3"/>
    <mergeCell ref="B27:C27"/>
  </mergeCells>
  <phoneticPr fontId="36" type="noConversion"/>
  <pageMargins left="0.62992125984251968" right="0.23622047244094491" top="0.74803149606299213" bottom="0.15748031496062992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93AE-137A-4890-9886-28DFCBF613B5}">
  <dimension ref="A1:J34"/>
  <sheetViews>
    <sheetView tabSelected="1" zoomScale="85" zoomScaleNormal="85" workbookViewId="0">
      <selection activeCell="Q12" sqref="Q12"/>
    </sheetView>
  </sheetViews>
  <sheetFormatPr defaultRowHeight="16.2" x14ac:dyDescent="0.3"/>
  <cols>
    <col min="1" max="1" width="1.625" customWidth="1"/>
    <col min="2" max="2" width="21.625" style="31" customWidth="1"/>
    <col min="3" max="3" width="12.75" customWidth="1"/>
    <col min="4" max="4" width="21.75" style="31" customWidth="1"/>
    <col min="6" max="6" width="20" style="31" customWidth="1"/>
    <col min="8" max="8" width="17.625" style="31" customWidth="1"/>
    <col min="9" max="9" width="6" customWidth="1"/>
    <col min="10" max="10" width="19" style="31" customWidth="1"/>
  </cols>
  <sheetData>
    <row r="1" spans="1:10" ht="19.8" x14ac:dyDescent="0.4">
      <c r="A1" s="28"/>
      <c r="B1" s="170" t="s">
        <v>255</v>
      </c>
      <c r="C1" s="170"/>
      <c r="D1" s="170"/>
      <c r="E1" s="170"/>
      <c r="F1" s="170"/>
      <c r="G1" s="170"/>
      <c r="H1" s="170"/>
      <c r="I1" s="170"/>
      <c r="J1" s="170"/>
    </row>
    <row r="2" spans="1:10" x14ac:dyDescent="0.3">
      <c r="A2" s="28"/>
      <c r="B2" s="44"/>
      <c r="C2" s="28"/>
      <c r="D2" s="44"/>
      <c r="E2" s="28"/>
      <c r="F2" s="44"/>
      <c r="G2" s="28"/>
      <c r="H2" s="44"/>
      <c r="I2" s="28"/>
      <c r="J2" s="44"/>
    </row>
    <row r="3" spans="1:10" x14ac:dyDescent="0.3">
      <c r="A3" s="28"/>
      <c r="B3" s="62" t="s">
        <v>30</v>
      </c>
      <c r="C3" s="82"/>
      <c r="D3" s="83"/>
      <c r="E3" s="82"/>
      <c r="F3" s="83"/>
      <c r="G3" s="82"/>
      <c r="H3" s="83"/>
      <c r="I3" s="83"/>
      <c r="J3" s="83"/>
    </row>
    <row r="4" spans="1:10" ht="18" x14ac:dyDescent="0.3">
      <c r="A4" s="28"/>
      <c r="B4" s="84">
        <f>'5. Investment Outcomes'!C5</f>
        <v>8864100</v>
      </c>
      <c r="C4" s="82"/>
      <c r="D4" s="85"/>
      <c r="E4" s="82"/>
      <c r="F4" s="83"/>
      <c r="G4" s="82"/>
      <c r="H4" s="83"/>
      <c r="I4" s="82"/>
      <c r="J4" s="83"/>
    </row>
    <row r="5" spans="1:10" ht="22.2" x14ac:dyDescent="0.3">
      <c r="A5" s="28"/>
      <c r="B5" s="132" t="s">
        <v>109</v>
      </c>
      <c r="C5" s="82"/>
      <c r="D5" s="62" t="s">
        <v>110</v>
      </c>
      <c r="E5" s="82"/>
      <c r="F5" s="85"/>
      <c r="G5" s="82"/>
      <c r="H5" s="83"/>
      <c r="I5" s="82"/>
      <c r="J5" s="83"/>
    </row>
    <row r="6" spans="1:10" ht="18" x14ac:dyDescent="0.3">
      <c r="A6" s="28"/>
      <c r="B6" s="62" t="s">
        <v>31</v>
      </c>
      <c r="C6" s="82"/>
      <c r="D6" s="84">
        <f>B4-B7</f>
        <v>7104600</v>
      </c>
      <c r="E6" s="82"/>
      <c r="F6" s="62" t="s">
        <v>40</v>
      </c>
      <c r="G6" s="82"/>
      <c r="H6" s="83"/>
      <c r="I6" s="82"/>
      <c r="J6" s="83"/>
    </row>
    <row r="7" spans="1:10" ht="22.2" x14ac:dyDescent="0.3">
      <c r="A7" s="28"/>
      <c r="B7" s="84">
        <f>'5. Investment Outcomes'!C6</f>
        <v>1759500</v>
      </c>
      <c r="C7" s="82"/>
      <c r="D7" s="132" t="s">
        <v>109</v>
      </c>
      <c r="E7" s="82"/>
      <c r="F7" s="84">
        <f>D6-D9</f>
        <v>1391786.7648</v>
      </c>
      <c r="G7" s="82"/>
      <c r="H7" s="83"/>
      <c r="I7" s="82"/>
      <c r="J7" s="83"/>
    </row>
    <row r="8" spans="1:10" ht="32.4" x14ac:dyDescent="0.3">
      <c r="A8" s="28"/>
      <c r="B8" s="83"/>
      <c r="C8" s="82"/>
      <c r="D8" s="62" t="s">
        <v>111</v>
      </c>
      <c r="E8" s="82"/>
      <c r="F8" s="178" t="s">
        <v>70</v>
      </c>
      <c r="G8" s="82"/>
      <c r="H8" s="86" t="s">
        <v>112</v>
      </c>
      <c r="I8" s="82"/>
      <c r="J8" s="83"/>
    </row>
    <row r="9" spans="1:10" ht="18" customHeight="1" x14ac:dyDescent="0.3">
      <c r="A9" s="28"/>
      <c r="B9" s="62" t="s">
        <v>113</v>
      </c>
      <c r="C9" s="82"/>
      <c r="D9" s="84">
        <f>B10+B13+B19+D16+D19+B16</f>
        <v>5712813.2352</v>
      </c>
      <c r="E9" s="82"/>
      <c r="F9" s="179"/>
      <c r="G9" s="82"/>
      <c r="H9" s="87">
        <f>F7/F11</f>
        <v>0.1570138835076319</v>
      </c>
      <c r="I9" s="82"/>
      <c r="J9" s="83"/>
    </row>
    <row r="10" spans="1:10" ht="18" x14ac:dyDescent="0.3">
      <c r="A10" s="28"/>
      <c r="B10" s="84">
        <f>'5. Investment Outcomes'!C8</f>
        <v>1269000</v>
      </c>
      <c r="C10" s="82"/>
      <c r="D10" s="83"/>
      <c r="E10" s="82"/>
      <c r="F10" s="62" t="s">
        <v>30</v>
      </c>
      <c r="G10" s="82"/>
      <c r="H10" s="83"/>
      <c r="I10" s="82"/>
      <c r="J10" s="83"/>
    </row>
    <row r="11" spans="1:10" ht="18" x14ac:dyDescent="0.3">
      <c r="A11" s="28"/>
      <c r="B11" s="130" t="s">
        <v>72</v>
      </c>
      <c r="C11" s="82"/>
      <c r="D11" s="83"/>
      <c r="E11" s="82"/>
      <c r="F11" s="84">
        <f>B4</f>
        <v>8864100</v>
      </c>
      <c r="G11" s="82"/>
      <c r="H11" s="83"/>
      <c r="I11" s="82"/>
      <c r="J11" s="83"/>
    </row>
    <row r="12" spans="1:10" x14ac:dyDescent="0.3">
      <c r="A12" s="28"/>
      <c r="B12" s="62" t="s">
        <v>114</v>
      </c>
      <c r="C12" s="82"/>
      <c r="D12" s="83"/>
      <c r="E12" s="82"/>
      <c r="F12" s="83"/>
      <c r="G12" s="82"/>
      <c r="H12" s="83"/>
      <c r="I12" s="82"/>
      <c r="J12" s="83"/>
    </row>
    <row r="13" spans="1:10" ht="18" x14ac:dyDescent="0.3">
      <c r="A13" s="28"/>
      <c r="B13" s="84">
        <f>'5. Investment Outcomes'!C9</f>
        <v>580500</v>
      </c>
      <c r="C13" s="82"/>
      <c r="D13" s="83"/>
      <c r="E13" s="82"/>
      <c r="F13" s="83"/>
      <c r="G13" s="82"/>
      <c r="H13" s="88"/>
      <c r="I13" s="82"/>
      <c r="J13" s="83"/>
    </row>
    <row r="14" spans="1:10" ht="15.75" customHeight="1" x14ac:dyDescent="0.3">
      <c r="A14" s="28"/>
      <c r="B14" s="130" t="s">
        <v>72</v>
      </c>
      <c r="C14" s="82"/>
      <c r="D14" s="83"/>
      <c r="E14" s="82"/>
      <c r="F14" s="83"/>
      <c r="G14" s="82"/>
      <c r="H14" s="99"/>
      <c r="I14" s="82"/>
    </row>
    <row r="15" spans="1:10" ht="19.8" x14ac:dyDescent="0.3">
      <c r="A15" s="28"/>
      <c r="B15" s="62" t="s">
        <v>116</v>
      </c>
      <c r="C15" s="82"/>
      <c r="D15" s="62" t="s">
        <v>117</v>
      </c>
      <c r="E15" s="82"/>
      <c r="F15" s="83"/>
      <c r="G15" s="82"/>
      <c r="H15" s="99"/>
      <c r="I15" s="82"/>
      <c r="J15" s="99"/>
    </row>
    <row r="16" spans="1:10" ht="18.75" customHeight="1" x14ac:dyDescent="0.3">
      <c r="A16" s="28"/>
      <c r="B16" s="84">
        <f>'5. Investment Outcomes'!C10</f>
        <v>204134.31359999999</v>
      </c>
      <c r="C16" s="82"/>
      <c r="D16" s="84">
        <f>'5. Investment Outcomes'!C16</f>
        <v>818125.00000000012</v>
      </c>
      <c r="E16" s="82"/>
      <c r="F16" s="83"/>
      <c r="G16" s="82"/>
      <c r="H16" s="182" t="s">
        <v>71</v>
      </c>
      <c r="I16" s="82"/>
      <c r="J16" s="86" t="s">
        <v>115</v>
      </c>
    </row>
    <row r="17" spans="1:10" ht="18.75" customHeight="1" x14ac:dyDescent="0.3">
      <c r="A17" s="28"/>
      <c r="B17" s="130" t="s">
        <v>72</v>
      </c>
      <c r="C17" s="82"/>
      <c r="D17" s="130" t="s">
        <v>72</v>
      </c>
      <c r="E17" s="82"/>
      <c r="F17" s="83"/>
      <c r="G17" s="82"/>
      <c r="H17" s="182"/>
      <c r="I17" s="82"/>
      <c r="J17" s="128">
        <f>H9*H25</f>
        <v>0.31289166061130042</v>
      </c>
    </row>
    <row r="18" spans="1:10" ht="15.75" customHeight="1" x14ac:dyDescent="0.3">
      <c r="A18" s="28"/>
      <c r="B18" s="62" t="s">
        <v>118</v>
      </c>
      <c r="C18" s="82"/>
      <c r="D18" s="62" t="s">
        <v>39</v>
      </c>
      <c r="E18" s="82"/>
      <c r="F18" s="83"/>
      <c r="G18" s="82"/>
      <c r="H18" s="83"/>
      <c r="I18" s="82"/>
      <c r="J18" s="82"/>
    </row>
    <row r="19" spans="1:10" ht="18" x14ac:dyDescent="0.3">
      <c r="A19" s="28"/>
      <c r="B19" s="84">
        <f>'5. Investment Outcomes'!C11</f>
        <v>2377125</v>
      </c>
      <c r="C19" s="82"/>
      <c r="D19" s="84">
        <f>'5. Investment Outcomes'!C17</f>
        <v>463928.9216</v>
      </c>
      <c r="E19" s="82"/>
      <c r="F19" s="83"/>
      <c r="G19" s="82"/>
      <c r="H19" s="83"/>
      <c r="I19" s="82"/>
      <c r="J19" s="82"/>
    </row>
    <row r="20" spans="1:10" ht="15" customHeight="1" x14ac:dyDescent="0.3">
      <c r="A20" s="28"/>
      <c r="B20" s="83"/>
      <c r="C20" s="82"/>
      <c r="D20" s="83"/>
      <c r="E20" s="82"/>
      <c r="F20" s="83"/>
      <c r="G20" s="82"/>
      <c r="H20" s="83"/>
      <c r="I20" s="82"/>
      <c r="J20" s="82"/>
    </row>
    <row r="21" spans="1:10" ht="15" customHeight="1" x14ac:dyDescent="0.3">
      <c r="A21" s="28"/>
      <c r="B21" s="83"/>
      <c r="C21" s="82"/>
      <c r="D21" s="83"/>
      <c r="E21" s="82"/>
      <c r="F21" s="83"/>
      <c r="G21" s="82"/>
      <c r="H21" s="89"/>
      <c r="I21" s="82"/>
      <c r="J21" s="83"/>
    </row>
    <row r="22" spans="1:10" x14ac:dyDescent="0.3">
      <c r="A22" s="28"/>
      <c r="B22" s="90" t="s">
        <v>119</v>
      </c>
      <c r="C22" s="82"/>
      <c r="D22" s="83"/>
      <c r="E22" s="82"/>
      <c r="F22" s="62" t="s">
        <v>30</v>
      </c>
      <c r="G22" s="82"/>
      <c r="H22" s="83"/>
      <c r="I22" s="82"/>
      <c r="J22" s="83"/>
    </row>
    <row r="23" spans="1:10" ht="18" x14ac:dyDescent="0.3">
      <c r="A23" s="28"/>
      <c r="B23" s="91">
        <f>('2. Production &amp; Market Entry'!G33*4)*'4. Operational Income'!C8</f>
        <v>1020671.568</v>
      </c>
      <c r="C23" s="82"/>
      <c r="D23" s="92" t="s">
        <v>120</v>
      </c>
      <c r="E23" s="82"/>
      <c r="F23" s="91">
        <f>B4</f>
        <v>8864100</v>
      </c>
      <c r="G23" s="82"/>
      <c r="H23" s="83"/>
      <c r="I23" s="82"/>
      <c r="J23" s="83"/>
    </row>
    <row r="24" spans="1:10" ht="24.6" x14ac:dyDescent="0.3">
      <c r="A24" s="28"/>
      <c r="B24" s="131" t="s">
        <v>73</v>
      </c>
      <c r="C24" s="82"/>
      <c r="D24" s="91">
        <f>B23+B26+B29</f>
        <v>1473142.7279999999</v>
      </c>
      <c r="E24" s="82"/>
      <c r="F24" s="180" t="s">
        <v>70</v>
      </c>
      <c r="G24" s="82"/>
      <c r="H24" s="90" t="s">
        <v>121</v>
      </c>
      <c r="I24" s="82"/>
      <c r="J24" s="83"/>
    </row>
    <row r="25" spans="1:10" ht="18" customHeight="1" x14ac:dyDescent="0.3">
      <c r="A25" s="28"/>
      <c r="B25" s="92" t="s">
        <v>122</v>
      </c>
      <c r="C25" s="82"/>
      <c r="D25" s="178" t="s">
        <v>72</v>
      </c>
      <c r="E25" s="82"/>
      <c r="F25" s="181"/>
      <c r="G25" s="82"/>
      <c r="H25" s="93">
        <f>F23/F27</f>
        <v>1.9927642933313716</v>
      </c>
      <c r="I25" s="82"/>
      <c r="J25" s="83"/>
    </row>
    <row r="26" spans="1:10" ht="18" customHeight="1" x14ac:dyDescent="0.3">
      <c r="A26" s="28"/>
      <c r="B26" s="91">
        <f>((((4*'2. Production &amp; Market Entry'!G25)*(45%*'2. Production &amp; Market Entry'!G27)*3)*'4. Operational Income'!C8))</f>
        <v>229651.10279999996</v>
      </c>
      <c r="C26" s="82"/>
      <c r="D26" s="179"/>
      <c r="E26" s="82"/>
      <c r="F26" s="90" t="s">
        <v>123</v>
      </c>
      <c r="G26" s="82"/>
      <c r="H26" s="83"/>
      <c r="I26" s="82"/>
      <c r="J26" s="83"/>
    </row>
    <row r="27" spans="1:10" ht="24" customHeight="1" x14ac:dyDescent="0.3">
      <c r="A27" s="28"/>
      <c r="B27" s="131" t="s">
        <v>73</v>
      </c>
      <c r="C27" s="82"/>
      <c r="D27" s="90" t="s">
        <v>249</v>
      </c>
      <c r="E27" s="82"/>
      <c r="F27" s="91">
        <f>D24+D28</f>
        <v>4448142.7280000001</v>
      </c>
      <c r="G27" s="82"/>
      <c r="H27" s="83"/>
      <c r="I27" s="82"/>
      <c r="J27" s="83"/>
    </row>
    <row r="28" spans="1:10" ht="24" customHeight="1" x14ac:dyDescent="0.3">
      <c r="A28" s="28"/>
      <c r="B28" s="92" t="s">
        <v>154</v>
      </c>
      <c r="C28" s="82"/>
      <c r="D28" s="91">
        <f>'2. Production &amp; Market Entry'!C4*0.5</f>
        <v>2975000</v>
      </c>
      <c r="E28" s="82"/>
      <c r="F28" s="83"/>
      <c r="G28" s="82"/>
      <c r="H28" s="83"/>
      <c r="I28" s="82"/>
      <c r="J28" s="83"/>
    </row>
    <row r="29" spans="1:10" ht="18" x14ac:dyDescent="0.3">
      <c r="A29" s="28"/>
      <c r="B29" s="91">
        <f>'5. Investment Outcomes'!C14/12</f>
        <v>222820.05720000001</v>
      </c>
      <c r="C29" s="82"/>
      <c r="D29" s="88"/>
      <c r="E29" s="82"/>
      <c r="F29" s="83"/>
      <c r="G29" s="82"/>
      <c r="H29" s="83"/>
      <c r="I29" s="82"/>
      <c r="J29" s="83"/>
    </row>
    <row r="34" spans="4:4" x14ac:dyDescent="0.3">
      <c r="D34" s="167"/>
    </row>
  </sheetData>
  <mergeCells count="5">
    <mergeCell ref="B1:J1"/>
    <mergeCell ref="F8:F9"/>
    <mergeCell ref="F24:F25"/>
    <mergeCell ref="D25:D26"/>
    <mergeCell ref="H16:H17"/>
  </mergeCells>
  <phoneticPr fontId="36" type="noConversion"/>
  <pageMargins left="0.31496062992125984" right="0.31496062992125984" top="0.55118110236220474" bottom="0.35433070866141736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1. Additional Op. Info</vt:lpstr>
      <vt:lpstr>2. Production &amp; Market Entry</vt:lpstr>
      <vt:lpstr>3a. Operational Costs</vt:lpstr>
      <vt:lpstr>3b. Labour Costs</vt:lpstr>
      <vt:lpstr>4. Operational Income</vt:lpstr>
      <vt:lpstr>5. Investment Outcomes</vt:lpstr>
      <vt:lpstr>6. Strategic Profit Model</vt:lpstr>
    </vt:vector>
  </TitlesOfParts>
  <Company>QUT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Isaksson</dc:creator>
  <cp:lastModifiedBy>睿紳紳 江</cp:lastModifiedBy>
  <cp:lastPrinted>2024-10-24T05:38:59Z</cp:lastPrinted>
  <dcterms:created xsi:type="dcterms:W3CDTF">2018-04-22T23:43:04Z</dcterms:created>
  <dcterms:modified xsi:type="dcterms:W3CDTF">2024-10-24T09:38:50Z</dcterms:modified>
</cp:coreProperties>
</file>