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ur\github\reliability\courses\logm634-asam\excel-templates\"/>
    </mc:Choice>
  </mc:AlternateContent>
  <bookViews>
    <workbookView xWindow="240" yWindow="120" windowWidth="12120" windowHeight="8832"/>
  </bookViews>
  <sheets>
    <sheet name="Renewal Process" sheetId="5" r:id="rId1"/>
    <sheet name="Minimal Repair" sheetId="1" r:id="rId2"/>
    <sheet name="Cycle time" sheetId="6" r:id="rId3"/>
    <sheet name="System MTTR" sheetId="7" r:id="rId4"/>
    <sheet name="Preventive Maintenance" sheetId="3" r:id="rId5"/>
    <sheet name="Active with Repair" sheetId="2" r:id="rId6"/>
    <sheet name="Standby with repair" sheetId="4" r:id="rId7"/>
  </sheets>
  <calcPr calcId="171027"/>
</workbook>
</file>

<file path=xl/calcChain.xml><?xml version="1.0" encoding="utf-8"?>
<calcChain xmlns="http://schemas.openxmlformats.org/spreadsheetml/2006/main">
  <c r="C12" i="7" l="1"/>
  <c r="D9" i="7"/>
  <c r="D10" i="7" s="1"/>
  <c r="E9" i="7"/>
  <c r="E10" i="7" s="1"/>
  <c r="F9" i="7"/>
  <c r="F10" i="7" s="1"/>
  <c r="G9" i="7"/>
  <c r="G10" i="7" s="1"/>
  <c r="H9" i="7"/>
  <c r="H10" i="7" s="1"/>
  <c r="I9" i="7"/>
  <c r="I10" i="7" s="1"/>
  <c r="J9" i="7"/>
  <c r="J10" i="7" s="1"/>
  <c r="K9" i="7"/>
  <c r="K10" i="7" s="1"/>
  <c r="L9" i="7"/>
  <c r="L10" i="7" s="1"/>
  <c r="C9" i="7"/>
  <c r="D6" i="6"/>
  <c r="E3" i="6"/>
  <c r="E5" i="6"/>
  <c r="E4" i="6"/>
  <c r="C46" i="6" s="1"/>
  <c r="D5" i="6"/>
  <c r="D4" i="6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41" i="1"/>
  <c r="C32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42" i="1"/>
  <c r="C43" i="1"/>
  <c r="C44" i="1"/>
  <c r="C45" i="1"/>
  <c r="C41" i="1"/>
  <c r="E35" i="1"/>
  <c r="E36" i="1" s="1"/>
  <c r="D35" i="1"/>
  <c r="D36" i="1" s="1"/>
  <c r="F34" i="1"/>
  <c r="I20" i="1"/>
  <c r="E25" i="1"/>
  <c r="D25" i="1"/>
  <c r="D26" i="1" s="1"/>
  <c r="E23" i="1"/>
  <c r="E24" i="1"/>
  <c r="D23" i="1"/>
  <c r="E26" i="1"/>
  <c r="D24" i="1"/>
  <c r="F22" i="1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9" i="5"/>
  <c r="J10" i="5"/>
  <c r="N10" i="5"/>
  <c r="J15" i="5"/>
  <c r="N15" i="5"/>
  <c r="J16" i="5"/>
  <c r="N16" i="5" s="1"/>
  <c r="J17" i="5"/>
  <c r="N17" i="5"/>
  <c r="J18" i="5"/>
  <c r="N18" i="5"/>
  <c r="J23" i="5"/>
  <c r="N23" i="5"/>
  <c r="J24" i="5"/>
  <c r="N24" i="5" s="1"/>
  <c r="J25" i="5"/>
  <c r="N25" i="5"/>
  <c r="J26" i="5"/>
  <c r="N26" i="5"/>
  <c r="J31" i="5"/>
  <c r="N31" i="5"/>
  <c r="J32" i="5"/>
  <c r="N32" i="5" s="1"/>
  <c r="J9" i="5"/>
  <c r="N9" i="5"/>
  <c r="J8" i="5"/>
  <c r="E5" i="2"/>
  <c r="C29" i="2"/>
  <c r="C7" i="1"/>
  <c r="F9" i="1"/>
  <c r="D10" i="1"/>
  <c r="D11" i="1" s="1"/>
  <c r="E10" i="1"/>
  <c r="E11" i="1"/>
  <c r="D12" i="1"/>
  <c r="D13" i="1" s="1"/>
  <c r="E12" i="1"/>
  <c r="E13" i="1"/>
  <c r="B8" i="3"/>
  <c r="I8" i="3" s="1"/>
  <c r="J15" i="3" s="1"/>
  <c r="C8" i="3"/>
  <c r="D9" i="3" s="1"/>
  <c r="F8" i="3"/>
  <c r="G10" i="3" s="1"/>
  <c r="B9" i="3"/>
  <c r="G9" i="3"/>
  <c r="B10" i="3"/>
  <c r="I10" i="3" s="1"/>
  <c r="C10" i="3"/>
  <c r="F10" i="3"/>
  <c r="B11" i="3"/>
  <c r="C11" i="3"/>
  <c r="D11" i="3"/>
  <c r="F11" i="3"/>
  <c r="G11" i="3"/>
  <c r="I11" i="3"/>
  <c r="B12" i="3"/>
  <c r="C12" i="3" s="1"/>
  <c r="F12" i="3"/>
  <c r="G12" i="3"/>
  <c r="I12" i="3"/>
  <c r="B13" i="3"/>
  <c r="I13" i="3" s="1"/>
  <c r="F13" i="3"/>
  <c r="G13" i="3"/>
  <c r="J13" i="3"/>
  <c r="B14" i="3"/>
  <c r="F14" i="3" s="1"/>
  <c r="C14" i="3"/>
  <c r="G14" i="3"/>
  <c r="I14" i="3"/>
  <c r="B15" i="3"/>
  <c r="B16" i="3"/>
  <c r="I16" i="3" s="1"/>
  <c r="C16" i="3"/>
  <c r="F16" i="3"/>
  <c r="B17" i="3"/>
  <c r="G17" i="3"/>
  <c r="B18" i="3"/>
  <c r="I18" i="3" s="1"/>
  <c r="C18" i="3"/>
  <c r="F18" i="3"/>
  <c r="G18" i="3"/>
  <c r="B19" i="3"/>
  <c r="C19" i="3"/>
  <c r="F19" i="3"/>
  <c r="G19" i="3"/>
  <c r="I19" i="3"/>
  <c r="B20" i="3"/>
  <c r="C20" i="3" s="1"/>
  <c r="F20" i="3"/>
  <c r="G20" i="3"/>
  <c r="I20" i="3"/>
  <c r="B21" i="3"/>
  <c r="I21" i="3" s="1"/>
  <c r="F21" i="3"/>
  <c r="G21" i="3"/>
  <c r="B22" i="3"/>
  <c r="F22" i="3" s="1"/>
  <c r="C22" i="3"/>
  <c r="G22" i="3"/>
  <c r="I22" i="3"/>
  <c r="B23" i="3"/>
  <c r="J23" i="3"/>
  <c r="B24" i="3"/>
  <c r="I24" i="3" s="1"/>
  <c r="C24" i="3"/>
  <c r="F24" i="3"/>
  <c r="B25" i="3"/>
  <c r="G25" i="3"/>
  <c r="B26" i="3"/>
  <c r="I26" i="3" s="1"/>
  <c r="C26" i="3"/>
  <c r="F26" i="3"/>
  <c r="G26" i="3"/>
  <c r="B27" i="3"/>
  <c r="C27" i="3"/>
  <c r="F27" i="3"/>
  <c r="G27" i="3"/>
  <c r="I27" i="3"/>
  <c r="B28" i="3"/>
  <c r="C28" i="3"/>
  <c r="F28" i="3"/>
  <c r="G28" i="3"/>
  <c r="I28" i="3"/>
  <c r="B29" i="3"/>
  <c r="I29" i="3" s="1"/>
  <c r="F29" i="3"/>
  <c r="G29" i="3"/>
  <c r="J29" i="3"/>
  <c r="B30" i="3"/>
  <c r="F30" i="3" s="1"/>
  <c r="C30" i="3"/>
  <c r="G30" i="3"/>
  <c r="I30" i="3"/>
  <c r="B31" i="3"/>
  <c r="G31" i="3"/>
  <c r="J31" i="3"/>
  <c r="B32" i="3"/>
  <c r="I32" i="3" s="1"/>
  <c r="C32" i="3"/>
  <c r="F32" i="3"/>
  <c r="H7" i="5"/>
  <c r="G8" i="5"/>
  <c r="C9" i="5"/>
  <c r="F9" i="5"/>
  <c r="G9" i="5"/>
  <c r="C10" i="5"/>
  <c r="G10" i="5"/>
  <c r="C11" i="5"/>
  <c r="D10" i="5"/>
  <c r="M10" i="5" s="1"/>
  <c r="G11" i="5"/>
  <c r="C12" i="5"/>
  <c r="D11" i="5" s="1"/>
  <c r="M11" i="5"/>
  <c r="G12" i="5"/>
  <c r="C13" i="5"/>
  <c r="G13" i="5"/>
  <c r="C14" i="5"/>
  <c r="D13" i="5" s="1"/>
  <c r="M13" i="5" s="1"/>
  <c r="G14" i="5"/>
  <c r="C15" i="5"/>
  <c r="D14" i="5"/>
  <c r="M14" i="5" s="1"/>
  <c r="F15" i="5"/>
  <c r="G15" i="5"/>
  <c r="C16" i="5"/>
  <c r="D15" i="5" s="1"/>
  <c r="M15" i="5" s="1"/>
  <c r="G16" i="5"/>
  <c r="C17" i="5"/>
  <c r="D16" i="5"/>
  <c r="M16" i="5" s="1"/>
  <c r="G17" i="5"/>
  <c r="C18" i="5"/>
  <c r="D17" i="5"/>
  <c r="M17" i="5"/>
  <c r="G18" i="5"/>
  <c r="C19" i="5"/>
  <c r="D18" i="5"/>
  <c r="M18" i="5" s="1"/>
  <c r="G19" i="5"/>
  <c r="C20" i="5"/>
  <c r="D19" i="5" s="1"/>
  <c r="M19" i="5"/>
  <c r="G20" i="5"/>
  <c r="C21" i="5"/>
  <c r="G21" i="5"/>
  <c r="C22" i="5"/>
  <c r="D21" i="5" s="1"/>
  <c r="M21" i="5" s="1"/>
  <c r="G22" i="5"/>
  <c r="C23" i="5"/>
  <c r="D22" i="5"/>
  <c r="M22" i="5" s="1"/>
  <c r="F23" i="5"/>
  <c r="G23" i="5"/>
  <c r="C24" i="5"/>
  <c r="D23" i="5" s="1"/>
  <c r="M23" i="5" s="1"/>
  <c r="G24" i="5"/>
  <c r="C25" i="5"/>
  <c r="D24" i="5"/>
  <c r="M24" i="5" s="1"/>
  <c r="G25" i="5"/>
  <c r="C26" i="5"/>
  <c r="D25" i="5"/>
  <c r="M25" i="5"/>
  <c r="G26" i="5"/>
  <c r="C27" i="5"/>
  <c r="D26" i="5"/>
  <c r="M26" i="5" s="1"/>
  <c r="G27" i="5"/>
  <c r="C28" i="5"/>
  <c r="D27" i="5" s="1"/>
  <c r="M27" i="5"/>
  <c r="G28" i="5"/>
  <c r="C29" i="5"/>
  <c r="G29" i="5"/>
  <c r="C30" i="5"/>
  <c r="D29" i="5" s="1"/>
  <c r="M29" i="5" s="1"/>
  <c r="G30" i="5"/>
  <c r="C31" i="5"/>
  <c r="D30" i="5"/>
  <c r="M30" i="5" s="1"/>
  <c r="F31" i="5"/>
  <c r="G31" i="5"/>
  <c r="C32" i="5"/>
  <c r="D31" i="5" s="1"/>
  <c r="M31" i="5" s="1"/>
  <c r="G32" i="5"/>
  <c r="C33" i="5"/>
  <c r="D32" i="5"/>
  <c r="M32" i="5" s="1"/>
  <c r="G33" i="5"/>
  <c r="C29" i="4"/>
  <c r="C30" i="4"/>
  <c r="E30" i="4" s="1"/>
  <c r="H3" i="4" s="1"/>
  <c r="E29" i="4"/>
  <c r="G15" i="4"/>
  <c r="G17" i="4"/>
  <c r="G23" i="4"/>
  <c r="G25" i="4"/>
  <c r="F25" i="1"/>
  <c r="C44" i="6"/>
  <c r="C16" i="6"/>
  <c r="C25" i="6"/>
  <c r="C10" i="7"/>
  <c r="C11" i="7"/>
  <c r="I26" i="1" l="1"/>
  <c r="F26" i="1"/>
  <c r="H16" i="4"/>
  <c r="F10" i="5"/>
  <c r="F18" i="5"/>
  <c r="F26" i="5"/>
  <c r="F12" i="5"/>
  <c r="F20" i="5"/>
  <c r="F28" i="5"/>
  <c r="F17" i="5"/>
  <c r="F25" i="5"/>
  <c r="F33" i="5"/>
  <c r="F14" i="5"/>
  <c r="F22" i="5"/>
  <c r="F30" i="5"/>
  <c r="F11" i="5"/>
  <c r="F19" i="5"/>
  <c r="F27" i="5"/>
  <c r="F16" i="5"/>
  <c r="F24" i="5"/>
  <c r="F32" i="5"/>
  <c r="C25" i="3"/>
  <c r="F25" i="3"/>
  <c r="I25" i="3"/>
  <c r="J29" i="5"/>
  <c r="N29" i="5" s="1"/>
  <c r="J30" i="5"/>
  <c r="N30" i="5" s="1"/>
  <c r="J13" i="5"/>
  <c r="N13" i="5" s="1"/>
  <c r="J14" i="5"/>
  <c r="N14" i="5" s="1"/>
  <c r="C9" i="6"/>
  <c r="F21" i="5"/>
  <c r="C6" i="6"/>
  <c r="H1" i="4"/>
  <c r="G16" i="4"/>
  <c r="G24" i="4"/>
  <c r="G5" i="4"/>
  <c r="G18" i="4"/>
  <c r="G26" i="4"/>
  <c r="G8" i="4"/>
  <c r="F6" i="4" s="1"/>
  <c r="G11" i="4"/>
  <c r="G19" i="4"/>
  <c r="G27" i="4"/>
  <c r="G29" i="4"/>
  <c r="G12" i="4"/>
  <c r="G20" i="4"/>
  <c r="G28" i="4"/>
  <c r="G22" i="4"/>
  <c r="G13" i="4"/>
  <c r="G21" i="4"/>
  <c r="G30" i="4"/>
  <c r="G14" i="4"/>
  <c r="D28" i="5"/>
  <c r="M28" i="5" s="1"/>
  <c r="D20" i="5"/>
  <c r="M20" i="5" s="1"/>
  <c r="D12" i="5"/>
  <c r="M12" i="5" s="1"/>
  <c r="J21" i="3"/>
  <c r="J27" i="5"/>
  <c r="N27" i="5" s="1"/>
  <c r="J28" i="5"/>
  <c r="N28" i="5" s="1"/>
  <c r="J19" i="5"/>
  <c r="N19" i="5" s="1"/>
  <c r="J20" i="5"/>
  <c r="N20" i="5" s="1"/>
  <c r="J11" i="5"/>
  <c r="N11" i="5" s="1"/>
  <c r="J12" i="5"/>
  <c r="N12" i="5" s="1"/>
  <c r="K7" i="5" s="1"/>
  <c r="E37" i="1"/>
  <c r="D37" i="1"/>
  <c r="D38" i="1" s="1"/>
  <c r="C38" i="6"/>
  <c r="H17" i="4"/>
  <c r="H25" i="4"/>
  <c r="H11" i="4"/>
  <c r="H19" i="4"/>
  <c r="H27" i="4"/>
  <c r="H12" i="4"/>
  <c r="H20" i="4"/>
  <c r="H28" i="4"/>
  <c r="H13" i="4"/>
  <c r="H21" i="4"/>
  <c r="H5" i="4"/>
  <c r="H8" i="4"/>
  <c r="H15" i="4"/>
  <c r="H14" i="4"/>
  <c r="H22" i="4"/>
  <c r="H29" i="4"/>
  <c r="H23" i="4"/>
  <c r="H26" i="4"/>
  <c r="D10" i="3"/>
  <c r="D18" i="3"/>
  <c r="D26" i="3"/>
  <c r="D8" i="3"/>
  <c r="D16" i="3"/>
  <c r="D24" i="3"/>
  <c r="D32" i="3"/>
  <c r="D15" i="3"/>
  <c r="D23" i="3"/>
  <c r="D31" i="3"/>
  <c r="D14" i="3"/>
  <c r="D22" i="3"/>
  <c r="D30" i="3"/>
  <c r="D13" i="3"/>
  <c r="D21" i="3"/>
  <c r="D29" i="3"/>
  <c r="D12" i="3"/>
  <c r="D20" i="3"/>
  <c r="D28" i="3"/>
  <c r="C45" i="6"/>
  <c r="C8" i="6"/>
  <c r="C15" i="6"/>
  <c r="C34" i="6"/>
  <c r="C26" i="6"/>
  <c r="C43" i="6"/>
  <c r="C10" i="6"/>
  <c r="C13" i="6"/>
  <c r="C32" i="6"/>
  <c r="C24" i="6"/>
  <c r="C20" i="6"/>
  <c r="C12" i="6"/>
  <c r="C31" i="6"/>
  <c r="C42" i="6"/>
  <c r="C23" i="6"/>
  <c r="C41" i="6"/>
  <c r="C19" i="6"/>
  <c r="C11" i="6"/>
  <c r="C30" i="6"/>
  <c r="C22" i="6"/>
  <c r="C40" i="6"/>
  <c r="C18" i="6"/>
  <c r="C37" i="6"/>
  <c r="C29" i="6"/>
  <c r="C39" i="6"/>
  <c r="C36" i="6"/>
  <c r="C47" i="6"/>
  <c r="C17" i="6"/>
  <c r="C28" i="6"/>
  <c r="C33" i="6"/>
  <c r="C23" i="3"/>
  <c r="F23" i="3"/>
  <c r="I23" i="3"/>
  <c r="C35" i="6"/>
  <c r="H24" i="4"/>
  <c r="D8" i="5"/>
  <c r="D9" i="5"/>
  <c r="M9" i="5" s="1"/>
  <c r="D6" i="5" s="1"/>
  <c r="C31" i="3"/>
  <c r="F31" i="3"/>
  <c r="I31" i="3"/>
  <c r="C17" i="3"/>
  <c r="F17" i="3"/>
  <c r="I17" i="3"/>
  <c r="J14" i="3"/>
  <c r="J22" i="3"/>
  <c r="J30" i="3"/>
  <c r="J12" i="3"/>
  <c r="J20" i="3"/>
  <c r="J28" i="3"/>
  <c r="J11" i="3"/>
  <c r="J19" i="3"/>
  <c r="J27" i="3"/>
  <c r="J10" i="3"/>
  <c r="J18" i="3"/>
  <c r="J26" i="3"/>
  <c r="J9" i="3"/>
  <c r="J17" i="3"/>
  <c r="J25" i="3"/>
  <c r="J8" i="3"/>
  <c r="J16" i="3"/>
  <c r="J24" i="3"/>
  <c r="J32" i="3"/>
  <c r="E28" i="2"/>
  <c r="E29" i="2"/>
  <c r="C15" i="3"/>
  <c r="F15" i="3"/>
  <c r="I15" i="3"/>
  <c r="C9" i="3"/>
  <c r="F9" i="3"/>
  <c r="I9" i="3"/>
  <c r="C27" i="6"/>
  <c r="H30" i="4"/>
  <c r="D19" i="3"/>
  <c r="D17" i="3"/>
  <c r="C14" i="6"/>
  <c r="G26" i="1"/>
  <c r="H26" i="1" s="1"/>
  <c r="H18" i="4"/>
  <c r="D27" i="3"/>
  <c r="D25" i="3"/>
  <c r="J21" i="5"/>
  <c r="N21" i="5" s="1"/>
  <c r="J22" i="5"/>
  <c r="N22" i="5" s="1"/>
  <c r="M10" i="7"/>
  <c r="B12" i="7" s="1"/>
  <c r="G3" i="4"/>
  <c r="F29" i="5"/>
  <c r="F13" i="5"/>
  <c r="F12" i="1"/>
  <c r="G23" i="3"/>
  <c r="G15" i="3"/>
  <c r="G32" i="3"/>
  <c r="C29" i="3"/>
  <c r="G24" i="3"/>
  <c r="C21" i="3"/>
  <c r="G16" i="3"/>
  <c r="C13" i="3"/>
  <c r="G8" i="3"/>
  <c r="M9" i="7"/>
  <c r="C21" i="6"/>
  <c r="C14" i="4" l="1"/>
  <c r="C22" i="4"/>
  <c r="C8" i="4"/>
  <c r="C16" i="4"/>
  <c r="C24" i="4"/>
  <c r="C9" i="4"/>
  <c r="C17" i="4"/>
  <c r="C25" i="4"/>
  <c r="C10" i="4"/>
  <c r="C18" i="4"/>
  <c r="C26" i="4"/>
  <c r="C11" i="4"/>
  <c r="C19" i="4"/>
  <c r="C27" i="4"/>
  <c r="C12" i="4"/>
  <c r="C20" i="4"/>
  <c r="C23" i="4"/>
  <c r="C13" i="4"/>
  <c r="C15" i="4"/>
  <c r="C21" i="4"/>
  <c r="H11" i="2"/>
  <c r="H19" i="2"/>
  <c r="H27" i="2"/>
  <c r="H13" i="2"/>
  <c r="H21" i="2"/>
  <c r="H14" i="2"/>
  <c r="H22" i="2"/>
  <c r="H3" i="2"/>
  <c r="H15" i="2"/>
  <c r="H23" i="2"/>
  <c r="H8" i="2"/>
  <c r="H16" i="2"/>
  <c r="H24" i="2"/>
  <c r="G6" i="2"/>
  <c r="H9" i="2"/>
  <c r="H17" i="2"/>
  <c r="H25" i="2"/>
  <c r="H10" i="2"/>
  <c r="H12" i="2"/>
  <c r="H18" i="2"/>
  <c r="H20" i="2"/>
  <c r="H26" i="2"/>
  <c r="E38" i="1"/>
  <c r="F37" i="1"/>
  <c r="G8" i="2"/>
  <c r="G16" i="2"/>
  <c r="G24" i="2"/>
  <c r="G10" i="2"/>
  <c r="G18" i="2"/>
  <c r="G26" i="2"/>
  <c r="G11" i="2"/>
  <c r="G19" i="2"/>
  <c r="G27" i="2"/>
  <c r="G12" i="2"/>
  <c r="G20" i="2"/>
  <c r="G14" i="2"/>
  <c r="G3" i="2"/>
  <c r="G13" i="2"/>
  <c r="G21" i="2"/>
  <c r="G22" i="2"/>
  <c r="H4" i="2"/>
  <c r="G25" i="2"/>
  <c r="G17" i="2"/>
  <c r="H6" i="2"/>
  <c r="G9" i="2"/>
  <c r="G15" i="2"/>
  <c r="G23" i="2"/>
  <c r="F13" i="1"/>
  <c r="G13" i="1"/>
  <c r="H13" i="1" s="1"/>
  <c r="I13" i="1"/>
  <c r="D10" i="4"/>
  <c r="D18" i="4"/>
  <c r="D26" i="4"/>
  <c r="D12" i="4"/>
  <c r="D20" i="4"/>
  <c r="D13" i="4"/>
  <c r="D21" i="4"/>
  <c r="D14" i="4"/>
  <c r="D22" i="4"/>
  <c r="D24" i="4"/>
  <c r="D15" i="4"/>
  <c r="D23" i="4"/>
  <c r="D8" i="4"/>
  <c r="D16" i="4"/>
  <c r="D19" i="4"/>
  <c r="D11" i="4"/>
  <c r="D27" i="4"/>
  <c r="D9" i="4"/>
  <c r="D17" i="4"/>
  <c r="D25" i="4"/>
  <c r="C13" i="2" l="1"/>
  <c r="C21" i="2"/>
  <c r="C7" i="2"/>
  <c r="C15" i="2"/>
  <c r="C23" i="2"/>
  <c r="C8" i="2"/>
  <c r="C16" i="2"/>
  <c r="C24" i="2"/>
  <c r="C9" i="2"/>
  <c r="C17" i="2"/>
  <c r="C25" i="2"/>
  <c r="C19" i="2"/>
  <c r="C10" i="2"/>
  <c r="C18" i="2"/>
  <c r="C26" i="2"/>
  <c r="C11" i="2"/>
  <c r="C14" i="2"/>
  <c r="C20" i="2"/>
  <c r="C22" i="2"/>
  <c r="C12" i="2"/>
  <c r="E20" i="4"/>
  <c r="F20" i="4"/>
  <c r="E25" i="4"/>
  <c r="F25" i="4"/>
  <c r="E12" i="4"/>
  <c r="F12" i="4"/>
  <c r="E17" i="4"/>
  <c r="F17" i="4"/>
  <c r="E27" i="4"/>
  <c r="F27" i="4"/>
  <c r="E9" i="4"/>
  <c r="F9" i="4"/>
  <c r="E19" i="4"/>
  <c r="F19" i="4"/>
  <c r="E24" i="4"/>
  <c r="F24" i="4"/>
  <c r="D9" i="2"/>
  <c r="D17" i="2"/>
  <c r="D25" i="2"/>
  <c r="D11" i="2"/>
  <c r="D19" i="2"/>
  <c r="D12" i="2"/>
  <c r="D20" i="2"/>
  <c r="D13" i="2"/>
  <c r="D21" i="2"/>
  <c r="D15" i="2"/>
  <c r="D14" i="2"/>
  <c r="D22" i="2"/>
  <c r="D23" i="2"/>
  <c r="D7" i="2"/>
  <c r="D8" i="2"/>
  <c r="D10" i="2"/>
  <c r="D16" i="2"/>
  <c r="D18" i="2"/>
  <c r="D24" i="2"/>
  <c r="D26" i="2"/>
  <c r="G38" i="1"/>
  <c r="H38" i="1" s="1"/>
  <c r="F38" i="1"/>
  <c r="I38" i="1"/>
  <c r="E21" i="4"/>
  <c r="F21" i="4"/>
  <c r="E11" i="4"/>
  <c r="F11" i="4"/>
  <c r="E16" i="4"/>
  <c r="F16" i="4"/>
  <c r="E15" i="4"/>
  <c r="F15" i="4"/>
  <c r="E26" i="4"/>
  <c r="F26" i="4"/>
  <c r="E8" i="4"/>
  <c r="F8" i="4"/>
  <c r="E8" i="2"/>
  <c r="F8" i="2" s="1"/>
  <c r="E12" i="2"/>
  <c r="F12" i="2" s="1"/>
  <c r="E16" i="2"/>
  <c r="F16" i="2" s="1"/>
  <c r="E20" i="2"/>
  <c r="F20" i="2" s="1"/>
  <c r="E24" i="2"/>
  <c r="F24" i="2" s="1"/>
  <c r="E9" i="2"/>
  <c r="F9" i="2" s="1"/>
  <c r="E13" i="2"/>
  <c r="F13" i="2" s="1"/>
  <c r="E17" i="2"/>
  <c r="F17" i="2" s="1"/>
  <c r="E21" i="2"/>
  <c r="F21" i="2" s="1"/>
  <c r="E25" i="2"/>
  <c r="F25" i="2" s="1"/>
  <c r="E10" i="2"/>
  <c r="F10" i="2" s="1"/>
  <c r="E14" i="2"/>
  <c r="F14" i="2" s="1"/>
  <c r="E18" i="2"/>
  <c r="F18" i="2" s="1"/>
  <c r="E22" i="2"/>
  <c r="F22" i="2" s="1"/>
  <c r="E26" i="2"/>
  <c r="F26" i="2" s="1"/>
  <c r="E11" i="2"/>
  <c r="F11" i="2" s="1"/>
  <c r="E15" i="2"/>
  <c r="F15" i="2" s="1"/>
  <c r="E23" i="2"/>
  <c r="F23" i="2" s="1"/>
  <c r="E7" i="2"/>
  <c r="F7" i="2" s="1"/>
  <c r="E19" i="2"/>
  <c r="F19" i="2" s="1"/>
  <c r="E13" i="4"/>
  <c r="F13" i="4"/>
  <c r="E18" i="4"/>
  <c r="F18" i="4"/>
  <c r="E22" i="4"/>
  <c r="F22" i="4"/>
  <c r="E23" i="4"/>
  <c r="F23" i="4"/>
  <c r="E10" i="4"/>
  <c r="F10" i="4"/>
  <c r="E14" i="4"/>
  <c r="F14" i="4"/>
</calcChain>
</file>

<file path=xl/comments1.xml><?xml version="1.0" encoding="utf-8"?>
<comments xmlns="http://schemas.openxmlformats.org/spreadsheetml/2006/main">
  <authors>
    <author>Charles Ebeling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 xml:space="preserve">Assumes the power law process
</t>
        </r>
      </text>
    </comment>
    <comment ref="A11" authorId="0" shapeId="0">
      <text>
        <r>
          <rPr>
            <b/>
            <sz val="8"/>
            <color indexed="81"/>
            <rFont val="Tahoma"/>
            <family val="2"/>
          </rPr>
          <t>Assumes all components share the same design life or operating time</t>
        </r>
      </text>
    </comment>
  </commentList>
</comments>
</file>

<file path=xl/sharedStrings.xml><?xml version="1.0" encoding="utf-8"?>
<sst xmlns="http://schemas.openxmlformats.org/spreadsheetml/2006/main" count="192" uniqueCount="119">
  <si>
    <t>b</t>
  </si>
  <si>
    <t>ab</t>
  </si>
  <si>
    <t xml:space="preserve">a </t>
  </si>
  <si>
    <t>R(t)</t>
  </si>
  <si>
    <t>Intensity Function</t>
  </si>
  <si>
    <t>Section 9.3.2 Minimal repair</t>
  </si>
  <si>
    <t>Instanteneous MTBF</t>
  </si>
  <si>
    <t>time</t>
  </si>
  <si>
    <t>time - t</t>
  </si>
  <si>
    <t>rho(t)</t>
  </si>
  <si>
    <t>Expected number of failures</t>
  </si>
  <si>
    <t>Time 1</t>
  </si>
  <si>
    <t>Time 2</t>
  </si>
  <si>
    <t>Power law process</t>
  </si>
  <si>
    <t>prob 1  fail</t>
  </si>
  <si>
    <t>prob 2 fail</t>
  </si>
  <si>
    <t>Maintenance Interval</t>
  </si>
  <si>
    <t>Weibull</t>
  </si>
  <si>
    <t>q</t>
  </si>
  <si>
    <t>Normal</t>
  </si>
  <si>
    <t>m</t>
  </si>
  <si>
    <t>σ</t>
  </si>
  <si>
    <t>Lognormal</t>
  </si>
  <si>
    <t>s</t>
  </si>
  <si>
    <t>Rm(t)</t>
  </si>
  <si>
    <t>Maintenance Induced Failure Probability</t>
  </si>
  <si>
    <t>Section 9.5 Reliability under Preventive Maintenance</t>
  </si>
  <si>
    <t>n</t>
  </si>
  <si>
    <t>Section 9.6 State-Dependent Systems with Repair</t>
  </si>
  <si>
    <t>Repair Rate r</t>
  </si>
  <si>
    <t>Intermediate values</t>
  </si>
  <si>
    <t>x1</t>
  </si>
  <si>
    <t>x2</t>
  </si>
  <si>
    <t>MTTF</t>
  </si>
  <si>
    <t>Two active redundant components with identical CFR with repair</t>
  </si>
  <si>
    <t>radical</t>
  </si>
  <si>
    <t>P1(t)</t>
  </si>
  <si>
    <t>P2(t)</t>
  </si>
  <si>
    <t>P3(t)</t>
  </si>
  <si>
    <t>exp(x1t)</t>
  </si>
  <si>
    <t>exp(x2t)</t>
  </si>
  <si>
    <t>coefficients</t>
  </si>
  <si>
    <t>P1</t>
  </si>
  <si>
    <t>P2</t>
  </si>
  <si>
    <t>P3</t>
  </si>
  <si>
    <t>Two identical CFR components with one in standby and with repair</t>
  </si>
  <si>
    <t>k1</t>
  </si>
  <si>
    <t>k2</t>
  </si>
  <si>
    <t>P4(t)</t>
  </si>
  <si>
    <t>MTTF1</t>
  </si>
  <si>
    <t>MTTF2</t>
  </si>
  <si>
    <t>Interval Time 1 to Time 2</t>
  </si>
  <si>
    <t>prob n fail</t>
  </si>
  <si>
    <t>enter value</t>
  </si>
  <si>
    <t>NHPP</t>
  </si>
  <si>
    <t>MTBF</t>
  </si>
  <si>
    <t>Std. Dev.</t>
  </si>
  <si>
    <t>Time  t</t>
  </si>
  <si>
    <t>Pr{N(t) = j</t>
  </si>
  <si>
    <t>j</t>
  </si>
  <si>
    <t>Pr{Tj &gt; t}</t>
  </si>
  <si>
    <t>E[N(t)]</t>
  </si>
  <si>
    <t>Time t</t>
  </si>
  <si>
    <t>HPP</t>
  </si>
  <si>
    <t>R(t) =</t>
  </si>
  <si>
    <t>Section 9.3.1  Renewal Process</t>
  </si>
  <si>
    <t>scale</t>
  </si>
  <si>
    <t>shape</t>
  </si>
  <si>
    <t>normal</t>
  </si>
  <si>
    <t>gamma</t>
  </si>
  <si>
    <t>intermediate calculations</t>
  </si>
  <si>
    <t>Exponential Failure Distribution</t>
  </si>
  <si>
    <t>Gamma Failure Distribution</t>
  </si>
  <si>
    <t>Normal Failure Distribution or CLT</t>
  </si>
  <si>
    <t>enter parameter values for time between failures (Xi)</t>
  </si>
  <si>
    <t>Bounded intensity function</t>
  </si>
  <si>
    <t>t</t>
  </si>
  <si>
    <t xml:space="preserve">limiting </t>
  </si>
  <si>
    <t>Log-linear intensity function</t>
  </si>
  <si>
    <t>exp(a)</t>
  </si>
  <si>
    <t>rho(t) = a b t^(b-1)</t>
  </si>
  <si>
    <t>ρ(t) = exp[a+bt]</t>
  </si>
  <si>
    <t>ρ(t)=abt^(b-1)</t>
  </si>
  <si>
    <t>ρ(t) = a(1-exp[-bt]</t>
  </si>
  <si>
    <t>enter values</t>
  </si>
  <si>
    <t>tmed</t>
  </si>
  <si>
    <r>
      <t xml:space="preserve">Failure Rate </t>
    </r>
    <r>
      <rPr>
        <b/>
        <sz val="10"/>
        <rFont val="Symbol"/>
        <family val="1"/>
        <charset val="2"/>
      </rPr>
      <t>l</t>
    </r>
  </si>
  <si>
    <r>
      <t xml:space="preserve">Primary Failure Rate </t>
    </r>
    <r>
      <rPr>
        <b/>
        <sz val="10"/>
        <rFont val="Symbol"/>
        <family val="1"/>
        <charset val="2"/>
      </rPr>
      <t xml:space="preserve">l1 </t>
    </r>
  </si>
  <si>
    <r>
      <t xml:space="preserve">Standby Failure rate </t>
    </r>
    <r>
      <rPr>
        <b/>
        <sz val="10"/>
        <rFont val="Symbol"/>
        <family val="1"/>
        <charset val="2"/>
      </rPr>
      <t>l</t>
    </r>
    <r>
      <rPr>
        <b/>
        <sz val="10"/>
        <rFont val="Arial"/>
        <family val="2"/>
      </rPr>
      <t xml:space="preserve">2 </t>
    </r>
  </si>
  <si>
    <t xml:space="preserve">Repair Rate r </t>
  </si>
  <si>
    <t>Section 9.3.3 Overhaul and Cycle Time</t>
  </si>
  <si>
    <t>Exponential Case</t>
  </si>
  <si>
    <t>MTTF (exponential)</t>
  </si>
  <si>
    <t>MTTR (exponential)</t>
  </si>
  <si>
    <t>Expected mean time between overhauls</t>
  </si>
  <si>
    <t>Time between overhauls T0</t>
  </si>
  <si>
    <t>Cycle time</t>
  </si>
  <si>
    <t>Cumulative probability</t>
  </si>
  <si>
    <t>units</t>
  </si>
  <si>
    <t>days</t>
  </si>
  <si>
    <t>rates</t>
  </si>
  <si>
    <t>G(t)</t>
  </si>
  <si>
    <t>Section 9.4 System Repair Time</t>
  </si>
  <si>
    <t>renewal process</t>
  </si>
  <si>
    <t>hours</t>
  </si>
  <si>
    <t xml:space="preserve">Component i = </t>
  </si>
  <si>
    <t xml:space="preserve">number of component failures fi = </t>
  </si>
  <si>
    <t>sums</t>
  </si>
  <si>
    <t>System MTTR =</t>
  </si>
  <si>
    <t>System design life td =</t>
  </si>
  <si>
    <t>or minimal repair</t>
  </si>
  <si>
    <t>years</t>
  </si>
  <si>
    <t xml:space="preserve">MTTRi = </t>
  </si>
  <si>
    <t xml:space="preserve">enter MTBFi = </t>
  </si>
  <si>
    <t xml:space="preserve">or enter ai = </t>
  </si>
  <si>
    <t xml:space="preserve"> and bi = </t>
  </si>
  <si>
    <t xml:space="preserve">total failures (qi fi) = </t>
  </si>
  <si>
    <t>enter units</t>
  </si>
  <si>
    <t xml:space="preserve">number identical components qi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</si>
</sst>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0"/>
    <numFmt numFmtId="169" formatCode="0.000"/>
    <numFmt numFmtId="171" formatCode="0.00000"/>
    <numFmt numFmtId="172" formatCode="0.000000"/>
    <numFmt numFmtId="173" formatCode="0.0"/>
    <numFmt numFmtId="174" formatCode="0.000E+00"/>
  </numFmts>
  <fonts count="14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Symbol"/>
      <family val="1"/>
      <charset val="2"/>
    </font>
    <font>
      <sz val="14"/>
      <name val="Symbol"/>
      <family val="1"/>
      <charset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Symbol"/>
      <family val="1"/>
      <charset val="2"/>
    </font>
    <font>
      <b/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DD9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3" fontId="0" fillId="0" borderId="0" xfId="0" applyNumberFormat="1" applyBorder="1"/>
    <xf numFmtId="169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171" fontId="0" fillId="2" borderId="4" xfId="0" applyNumberFormat="1" applyFill="1" applyBorder="1"/>
    <xf numFmtId="173" fontId="0" fillId="2" borderId="0" xfId="0" applyNumberFormat="1" applyFill="1" applyBorder="1"/>
    <xf numFmtId="171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3" xfId="0" applyFill="1" applyBorder="1"/>
    <xf numFmtId="171" fontId="0" fillId="0" borderId="0" xfId="0" applyNumberFormat="1" applyFill="1" applyBorder="1" applyAlignment="1">
      <alignment horizontal="center"/>
    </xf>
    <xf numFmtId="0" fontId="0" fillId="2" borderId="4" xfId="0" applyFill="1" applyBorder="1"/>
    <xf numFmtId="0" fontId="0" fillId="0" borderId="6" xfId="0" applyBorder="1"/>
    <xf numFmtId="0" fontId="0" fillId="0" borderId="9" xfId="0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71" fontId="0" fillId="0" borderId="0" xfId="0" applyNumberFormat="1"/>
    <xf numFmtId="164" fontId="0" fillId="2" borderId="4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2" xfId="0" applyBorder="1" applyAlignment="1">
      <alignment horizontal="center"/>
    </xf>
    <xf numFmtId="174" fontId="0" fillId="0" borderId="0" xfId="0" applyNumberFormat="1"/>
    <xf numFmtId="172" fontId="0" fillId="0" borderId="2" xfId="0" applyNumberFormat="1" applyBorder="1"/>
    <xf numFmtId="172" fontId="0" fillId="0" borderId="4" xfId="0" applyNumberFormat="1" applyBorder="1"/>
    <xf numFmtId="174" fontId="0" fillId="0" borderId="6" xfId="0" applyNumberFormat="1" applyBorder="1"/>
    <xf numFmtId="172" fontId="0" fillId="0" borderId="0" xfId="0" applyNumberFormat="1" applyBorder="1"/>
    <xf numFmtId="0" fontId="8" fillId="0" borderId="0" xfId="0" applyFont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74" fontId="0" fillId="0" borderId="0" xfId="0" applyNumberFormat="1" applyFill="1"/>
    <xf numFmtId="174" fontId="0" fillId="0" borderId="0" xfId="0" applyNumberFormat="1" applyFill="1" applyBorder="1"/>
    <xf numFmtId="171" fontId="0" fillId="2" borderId="2" xfId="0" applyNumberFormat="1" applyFill="1" applyBorder="1"/>
    <xf numFmtId="2" fontId="0" fillId="2" borderId="2" xfId="0" applyNumberFormat="1" applyFill="1" applyBorder="1"/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8" fillId="0" borderId="0" xfId="0" applyFont="1" applyFill="1" applyBorder="1"/>
    <xf numFmtId="171" fontId="0" fillId="0" borderId="0" xfId="0" applyNumberFormat="1" applyFill="1" applyBorder="1"/>
    <xf numFmtId="0" fontId="0" fillId="0" borderId="6" xfId="0" applyFill="1" applyBorder="1"/>
    <xf numFmtId="0" fontId="8" fillId="5" borderId="1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7" xfId="0" applyFill="1" applyBorder="1"/>
    <xf numFmtId="0" fontId="0" fillId="5" borderId="7" xfId="0" applyFill="1" applyBorder="1"/>
    <xf numFmtId="0" fontId="0" fillId="5" borderId="5" xfId="0" applyFill="1" applyBorder="1"/>
    <xf numFmtId="171" fontId="0" fillId="0" borderId="17" xfId="0" applyNumberFormat="1" applyFill="1" applyBorder="1"/>
    <xf numFmtId="171" fontId="0" fillId="0" borderId="7" xfId="0" applyNumberFormat="1" applyFill="1" applyBorder="1"/>
    <xf numFmtId="171" fontId="0" fillId="0" borderId="5" xfId="0" applyNumberFormat="1" applyFill="1" applyBorder="1"/>
    <xf numFmtId="0" fontId="0" fillId="6" borderId="3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7" borderId="21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20" xfId="0" applyFill="1" applyBorder="1"/>
    <xf numFmtId="0" fontId="0" fillId="5" borderId="8" xfId="0" applyFill="1" applyBorder="1"/>
    <xf numFmtId="0" fontId="8" fillId="5" borderId="8" xfId="0" applyFont="1" applyFill="1" applyBorder="1"/>
    <xf numFmtId="0" fontId="0" fillId="0" borderId="17" xfId="0" applyFill="1" applyBorder="1"/>
    <xf numFmtId="0" fontId="0" fillId="0" borderId="7" xfId="0" applyFill="1" applyBorder="1"/>
    <xf numFmtId="0" fontId="0" fillId="0" borderId="5" xfId="0" applyFill="1" applyBorder="1"/>
    <xf numFmtId="171" fontId="0" fillId="0" borderId="21" xfId="0" applyNumberFormat="1" applyFill="1" applyBorder="1" applyAlignment="1">
      <alignment horizontal="center"/>
    </xf>
    <xf numFmtId="171" fontId="0" fillId="0" borderId="18" xfId="0" applyNumberFormat="1" applyFill="1" applyBorder="1" applyAlignment="1">
      <alignment horizontal="center"/>
    </xf>
    <xf numFmtId="0" fontId="0" fillId="0" borderId="18" xfId="0" applyFill="1" applyBorder="1"/>
    <xf numFmtId="171" fontId="0" fillId="0" borderId="19" xfId="0" applyNumberFormat="1" applyFill="1" applyBorder="1" applyAlignment="1">
      <alignment horizontal="center"/>
    </xf>
    <xf numFmtId="171" fontId="0" fillId="0" borderId="2" xfId="0" applyNumberFormat="1" applyFill="1" applyBorder="1" applyAlignment="1">
      <alignment horizontal="center"/>
    </xf>
    <xf numFmtId="171" fontId="0" fillId="0" borderId="9" xfId="0" applyNumberFormat="1" applyFill="1" applyBorder="1" applyAlignment="1">
      <alignment horizontal="center"/>
    </xf>
    <xf numFmtId="171" fontId="0" fillId="0" borderId="4" xfId="0" applyNumberFormat="1" applyFill="1" applyBorder="1" applyAlignment="1">
      <alignment horizontal="center"/>
    </xf>
    <xf numFmtId="171" fontId="0" fillId="0" borderId="6" xfId="0" applyNumberFormat="1" applyFill="1" applyBorder="1" applyAlignment="1">
      <alignment horizontal="center"/>
    </xf>
    <xf numFmtId="171" fontId="0" fillId="0" borderId="20" xfId="0" applyNumberFormat="1" applyFill="1" applyBorder="1" applyAlignment="1">
      <alignment horizontal="center"/>
    </xf>
    <xf numFmtId="0" fontId="2" fillId="6" borderId="1" xfId="0" applyFont="1" applyFill="1" applyBorder="1"/>
    <xf numFmtId="0" fontId="0" fillId="6" borderId="22" xfId="0" applyFill="1" applyBorder="1"/>
    <xf numFmtId="0" fontId="0" fillId="7" borderId="1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2" fillId="3" borderId="17" xfId="0" applyFont="1" applyFill="1" applyBorder="1"/>
    <xf numFmtId="0" fontId="2" fillId="3" borderId="7" xfId="0" applyFont="1" applyFill="1" applyBorder="1"/>
    <xf numFmtId="0" fontId="7" fillId="3" borderId="5" xfId="0" applyFont="1" applyFill="1" applyBorder="1"/>
    <xf numFmtId="0" fontId="7" fillId="3" borderId="17" xfId="0" applyFont="1" applyFill="1" applyBorder="1"/>
    <xf numFmtId="0" fontId="7" fillId="3" borderId="1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11" fillId="5" borderId="13" xfId="0" applyFont="1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6" xfId="0" applyFont="1" applyFill="1" applyBorder="1"/>
    <xf numFmtId="0" fontId="7" fillId="7" borderId="23" xfId="0" applyFont="1" applyFill="1" applyBorder="1"/>
    <xf numFmtId="169" fontId="7" fillId="7" borderId="24" xfId="0" applyNumberFormat="1" applyFont="1" applyFill="1" applyBorder="1" applyAlignment="1">
      <alignment horizontal="center"/>
    </xf>
    <xf numFmtId="0" fontId="7" fillId="7" borderId="25" xfId="0" applyFont="1" applyFill="1" applyBorder="1"/>
    <xf numFmtId="0" fontId="7" fillId="7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0" fillId="9" borderId="2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0" xfId="0" applyFill="1" applyBorder="1" applyAlignment="1">
      <alignment horizontal="right"/>
    </xf>
    <xf numFmtId="0" fontId="0" fillId="9" borderId="4" xfId="0" applyFill="1" applyBorder="1"/>
    <xf numFmtId="0" fontId="0" fillId="9" borderId="6" xfId="0" applyFill="1" applyBorder="1"/>
    <xf numFmtId="0" fontId="0" fillId="9" borderId="6" xfId="0" applyFill="1" applyBorder="1" applyAlignment="1">
      <alignment horizontal="right"/>
    </xf>
    <xf numFmtId="0" fontId="0" fillId="9" borderId="20" xfId="0" applyFill="1" applyBorder="1"/>
    <xf numFmtId="0" fontId="0" fillId="9" borderId="21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" xfId="0" applyFill="1" applyBorder="1" applyAlignment="1">
      <alignment horizontal="right"/>
    </xf>
    <xf numFmtId="0" fontId="0" fillId="5" borderId="21" xfId="0" applyFill="1" applyBorder="1"/>
    <xf numFmtId="0" fontId="0" fillId="5" borderId="2" xfId="0" applyFill="1" applyBorder="1"/>
    <xf numFmtId="0" fontId="8" fillId="9" borderId="9" xfId="0" applyFont="1" applyFill="1" applyBorder="1"/>
    <xf numFmtId="0" fontId="0" fillId="9" borderId="1" xfId="0" applyFill="1" applyBorder="1"/>
    <xf numFmtId="0" fontId="0" fillId="9" borderId="22" xfId="0" applyFill="1" applyBorder="1"/>
    <xf numFmtId="171" fontId="0" fillId="0" borderId="9" xfId="0" applyNumberFormat="1" applyBorder="1"/>
    <xf numFmtId="0" fontId="2" fillId="5" borderId="10" xfId="0" applyFont="1" applyFill="1" applyBorder="1" applyAlignment="1">
      <alignment horizontal="center"/>
    </xf>
    <xf numFmtId="0" fontId="0" fillId="9" borderId="4" xfId="0" applyFill="1" applyBorder="1" applyAlignment="1">
      <alignment horizontal="right"/>
    </xf>
    <xf numFmtId="171" fontId="0" fillId="0" borderId="18" xfId="0" applyNumberFormat="1" applyBorder="1"/>
    <xf numFmtId="171" fontId="0" fillId="0" borderId="19" xfId="0" applyNumberFormat="1" applyBorder="1"/>
    <xf numFmtId="171" fontId="0" fillId="0" borderId="0" xfId="0" applyNumberFormat="1" applyBorder="1"/>
    <xf numFmtId="171" fontId="0" fillId="0" borderId="6" xfId="0" applyNumberFormat="1" applyBorder="1"/>
    <xf numFmtId="171" fontId="0" fillId="0" borderId="20" xfId="0" applyNumberFormat="1" applyBorder="1"/>
    <xf numFmtId="0" fontId="0" fillId="7" borderId="4" xfId="0" applyFill="1" applyBorder="1" applyAlignment="1">
      <alignment horizontal="right"/>
    </xf>
    <xf numFmtId="0" fontId="0" fillId="7" borderId="6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3" xfId="0" applyFont="1" applyFill="1" applyBorder="1" applyAlignment="1">
      <alignment horizontal="right"/>
    </xf>
    <xf numFmtId="2" fontId="11" fillId="7" borderId="3" xfId="0" applyNumberFormat="1" applyFont="1" applyFill="1" applyBorder="1" applyAlignment="1">
      <alignment horizontal="center"/>
    </xf>
    <xf numFmtId="0" fontId="11" fillId="7" borderId="3" xfId="0" applyFont="1" applyFill="1" applyBorder="1"/>
    <xf numFmtId="0" fontId="11" fillId="7" borderId="22" xfId="0" applyFont="1" applyFill="1" applyBorder="1"/>
    <xf numFmtId="0" fontId="8" fillId="5" borderId="17" xfId="0" applyFont="1" applyFill="1" applyBorder="1"/>
    <xf numFmtId="0" fontId="8" fillId="5" borderId="7" xfId="0" applyFont="1" applyFill="1" applyBorder="1"/>
    <xf numFmtId="0" fontId="8" fillId="5" borderId="5" xfId="0" applyFont="1" applyFill="1" applyBorder="1"/>
    <xf numFmtId="0" fontId="0" fillId="0" borderId="17" xfId="0" applyBorder="1"/>
    <xf numFmtId="0" fontId="0" fillId="0" borderId="7" xfId="0" applyBorder="1"/>
    <xf numFmtId="0" fontId="0" fillId="0" borderId="5" xfId="0" applyBorder="1"/>
    <xf numFmtId="0" fontId="11" fillId="5" borderId="17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5" borderId="8" xfId="0" applyFont="1" applyFill="1" applyBorder="1"/>
    <xf numFmtId="0" fontId="8" fillId="10" borderId="0" xfId="0" applyFont="1" applyFill="1" applyAlignment="1">
      <alignment horizontal="right"/>
    </xf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6" xfId="0" applyFill="1" applyBorder="1"/>
    <xf numFmtId="0" fontId="0" fillId="5" borderId="20" xfId="0" applyFill="1" applyBorder="1"/>
    <xf numFmtId="0" fontId="0" fillId="10" borderId="4" xfId="0" applyFill="1" applyBorder="1"/>
    <xf numFmtId="0" fontId="0" fillId="10" borderId="21" xfId="0" applyFill="1" applyBorder="1"/>
    <xf numFmtId="0" fontId="8" fillId="10" borderId="19" xfId="0" applyFont="1" applyFill="1" applyBorder="1" applyAlignment="1">
      <alignment horizontal="right"/>
    </xf>
    <xf numFmtId="0" fontId="0" fillId="10" borderId="2" xfId="0" applyFill="1" applyBorder="1"/>
    <xf numFmtId="0" fontId="8" fillId="10" borderId="9" xfId="0" applyFont="1" applyFill="1" applyBorder="1" applyAlignment="1">
      <alignment horizontal="right"/>
    </xf>
    <xf numFmtId="0" fontId="8" fillId="10" borderId="20" xfId="0" applyFont="1" applyFill="1" applyBorder="1" applyAlignment="1">
      <alignment horizontal="right"/>
    </xf>
    <xf numFmtId="0" fontId="0" fillId="10" borderId="1" xfId="0" applyFill="1" applyBorder="1"/>
    <xf numFmtId="0" fontId="0" fillId="10" borderId="3" xfId="0" applyFill="1" applyBorder="1"/>
    <xf numFmtId="0" fontId="0" fillId="10" borderId="22" xfId="0" applyFill="1" applyBorder="1"/>
    <xf numFmtId="0" fontId="8" fillId="5" borderId="0" xfId="0" applyFont="1" applyFill="1" applyBorder="1"/>
    <xf numFmtId="0" fontId="11" fillId="7" borderId="1" xfId="0" applyFont="1" applyFill="1" applyBorder="1" applyAlignment="1">
      <alignment horizontal="right"/>
    </xf>
    <xf numFmtId="0" fontId="8" fillId="10" borderId="17" xfId="0" applyFont="1" applyFill="1" applyBorder="1"/>
    <xf numFmtId="0" fontId="0" fillId="10" borderId="7" xfId="0" applyFill="1" applyBorder="1"/>
    <xf numFmtId="0" fontId="8" fillId="10" borderId="5" xfId="0" applyFont="1" applyFill="1" applyBorder="1"/>
    <xf numFmtId="0" fontId="8" fillId="7" borderId="8" xfId="0" applyFont="1" applyFill="1" applyBorder="1"/>
    <xf numFmtId="2" fontId="0" fillId="9" borderId="21" xfId="0" applyNumberFormat="1" applyFill="1" applyBorder="1"/>
    <xf numFmtId="2" fontId="0" fillId="9" borderId="18" xfId="0" applyNumberFormat="1" applyFill="1" applyBorder="1"/>
    <xf numFmtId="173" fontId="8" fillId="9" borderId="17" xfId="0" applyNumberFormat="1" applyFont="1" applyFill="1" applyBorder="1"/>
    <xf numFmtId="2" fontId="0" fillId="9" borderId="4" xfId="0" applyNumberFormat="1" applyFill="1" applyBorder="1"/>
    <xf numFmtId="2" fontId="0" fillId="9" borderId="6" xfId="0" applyNumberFormat="1" applyFill="1" applyBorder="1"/>
    <xf numFmtId="173" fontId="8" fillId="9" borderId="5" xfId="0" applyNumberFormat="1" applyFont="1" applyFill="1" applyBorder="1"/>
    <xf numFmtId="0" fontId="0" fillId="5" borderId="7" xfId="0" applyFill="1" applyBorder="1" applyAlignment="1">
      <alignment horizontal="center"/>
    </xf>
    <xf numFmtId="0" fontId="8" fillId="9" borderId="19" xfId="0" applyFont="1" applyFill="1" applyBorder="1" applyAlignment="1">
      <alignment horizontal="right"/>
    </xf>
    <xf numFmtId="0" fontId="8" fillId="9" borderId="20" xfId="0" applyFont="1" applyFill="1" applyBorder="1" applyAlignment="1">
      <alignment horizontal="right"/>
    </xf>
    <xf numFmtId="0" fontId="1" fillId="11" borderId="1" xfId="0" applyFont="1" applyFill="1" applyBorder="1"/>
    <xf numFmtId="0" fontId="0" fillId="11" borderId="3" xfId="0" applyFill="1" applyBorder="1"/>
    <xf numFmtId="0" fontId="0" fillId="11" borderId="22" xfId="0" applyFill="1" applyBorder="1" applyAlignment="1">
      <alignment horizontal="right"/>
    </xf>
    <xf numFmtId="0" fontId="9" fillId="11" borderId="1" xfId="0" applyFont="1" applyFill="1" applyBorder="1"/>
    <xf numFmtId="0" fontId="0" fillId="11" borderId="22" xfId="0" applyFill="1" applyBorder="1"/>
    <xf numFmtId="0" fontId="0" fillId="11" borderId="0" xfId="0" applyFill="1" applyBorder="1"/>
    <xf numFmtId="0" fontId="0" fillId="11" borderId="0" xfId="0" applyFill="1"/>
    <xf numFmtId="0" fontId="10" fillId="11" borderId="2" xfId="0" applyFont="1" applyFill="1" applyBorder="1"/>
    <xf numFmtId="0" fontId="11" fillId="11" borderId="0" xfId="0" applyFont="1" applyFill="1" applyBorder="1"/>
    <xf numFmtId="0" fontId="11" fillId="11" borderId="0" xfId="0" applyFont="1" applyFill="1"/>
    <xf numFmtId="0" fontId="7" fillId="11" borderId="0" xfId="0" applyFont="1" applyFill="1" applyBorder="1"/>
    <xf numFmtId="0" fontId="7" fillId="11" borderId="9" xfId="0" applyFont="1" applyFill="1" applyBorder="1"/>
    <xf numFmtId="0" fontId="0" fillId="11" borderId="6" xfId="0" applyFill="1" applyBorder="1"/>
    <xf numFmtId="0" fontId="0" fillId="11" borderId="20" xfId="0" applyFill="1" applyBorder="1"/>
    <xf numFmtId="174" fontId="0" fillId="11" borderId="0" xfId="0" applyNumberFormat="1" applyFill="1"/>
    <xf numFmtId="174" fontId="0" fillId="11" borderId="6" xfId="0" applyNumberFormat="1" applyFill="1" applyBorder="1"/>
    <xf numFmtId="0" fontId="8" fillId="11" borderId="1" xfId="0" applyFont="1" applyFill="1" applyBorder="1" applyAlignment="1">
      <alignment horizontal="center"/>
    </xf>
    <xf numFmtId="171" fontId="8" fillId="11" borderId="22" xfId="0" applyNumberFormat="1" applyFont="1" applyFill="1" applyBorder="1" applyAlignment="1">
      <alignment wrapText="1"/>
    </xf>
    <xf numFmtId="0" fontId="2" fillId="11" borderId="4" xfId="0" applyFont="1" applyFill="1" applyBorder="1" applyAlignment="1">
      <alignment horizontal="center"/>
    </xf>
    <xf numFmtId="171" fontId="2" fillId="11" borderId="6" xfId="0" applyNumberFormat="1" applyFont="1" applyFill="1" applyBorder="1"/>
    <xf numFmtId="0" fontId="0" fillId="11" borderId="21" xfId="0" applyFill="1" applyBorder="1"/>
    <xf numFmtId="0" fontId="0" fillId="11" borderId="19" xfId="0" applyFill="1" applyBorder="1"/>
    <xf numFmtId="0" fontId="0" fillId="11" borderId="2" xfId="0" applyFill="1" applyBorder="1"/>
    <xf numFmtId="0" fontId="2" fillId="11" borderId="9" xfId="0" applyFont="1" applyFill="1" applyBorder="1" applyAlignment="1">
      <alignment horizontal="center"/>
    </xf>
    <xf numFmtId="0" fontId="0" fillId="11" borderId="9" xfId="0" applyFill="1" applyBorder="1"/>
    <xf numFmtId="0" fontId="0" fillId="11" borderId="4" xfId="0" applyFill="1" applyBorder="1"/>
    <xf numFmtId="0" fontId="2" fillId="11" borderId="20" xfId="0" applyFont="1" applyFill="1" applyBorder="1" applyAlignment="1">
      <alignment horizontal="center"/>
    </xf>
    <xf numFmtId="0" fontId="2" fillId="11" borderId="21" xfId="0" applyFont="1" applyFill="1" applyBorder="1"/>
    <xf numFmtId="0" fontId="2" fillId="11" borderId="2" xfId="0" applyFont="1" applyFill="1" applyBorder="1" applyAlignment="1">
      <alignment horizontal="center"/>
    </xf>
    <xf numFmtId="0" fontId="2" fillId="11" borderId="18" xfId="0" applyFont="1" applyFill="1" applyBorder="1"/>
    <xf numFmtId="0" fontId="1" fillId="11" borderId="21" xfId="0" applyFont="1" applyFill="1" applyBorder="1"/>
    <xf numFmtId="0" fontId="0" fillId="11" borderId="18" xfId="0" applyFill="1" applyBorder="1"/>
    <xf numFmtId="173" fontId="0" fillId="11" borderId="18" xfId="0" applyNumberFormat="1" applyFill="1" applyBorder="1"/>
    <xf numFmtId="0" fontId="0" fillId="11" borderId="10" xfId="0" applyFill="1" applyBorder="1"/>
    <xf numFmtId="0" fontId="3" fillId="11" borderId="10" xfId="0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171" fontId="2" fillId="11" borderId="20" xfId="0" applyNumberFormat="1" applyFont="1" applyFill="1" applyBorder="1"/>
    <xf numFmtId="0" fontId="0" fillId="11" borderId="12" xfId="0" applyFill="1" applyBorder="1"/>
    <xf numFmtId="0" fontId="2" fillId="11" borderId="19" xfId="0" applyFont="1" applyFill="1" applyBorder="1"/>
    <xf numFmtId="0" fontId="6" fillId="11" borderId="21" xfId="0" applyFont="1" applyFill="1" applyBorder="1"/>
    <xf numFmtId="2" fontId="0" fillId="11" borderId="10" xfId="0" applyNumberFormat="1" applyFill="1" applyBorder="1"/>
    <xf numFmtId="0" fontId="1" fillId="11" borderId="0" xfId="0" applyFont="1" applyFill="1" applyBorder="1"/>
    <xf numFmtId="0" fontId="1" fillId="11" borderId="18" xfId="0" applyFont="1" applyFill="1" applyBorder="1"/>
    <xf numFmtId="0" fontId="11" fillId="11" borderId="1" xfId="0" applyFont="1" applyFill="1" applyBorder="1"/>
    <xf numFmtId="0" fontId="11" fillId="11" borderId="3" xfId="0" applyFont="1" applyFill="1" applyBorder="1"/>
    <xf numFmtId="0" fontId="11" fillId="11" borderId="22" xfId="0" applyFont="1" applyFill="1" applyBorder="1" applyAlignment="1">
      <alignment horizontal="right"/>
    </xf>
    <xf numFmtId="0" fontId="11" fillId="11" borderId="2" xfId="0" applyFont="1" applyFill="1" applyBorder="1"/>
    <xf numFmtId="0" fontId="11" fillId="11" borderId="0" xfId="0" applyFont="1" applyFill="1" applyBorder="1" applyAlignment="1">
      <alignment horizontal="right"/>
    </xf>
    <xf numFmtId="0" fontId="11" fillId="11" borderId="9" xfId="0" applyFont="1" applyFill="1" applyBorder="1"/>
    <xf numFmtId="0" fontId="11" fillId="11" borderId="3" xfId="0" applyFont="1" applyFill="1" applyBorder="1" applyAlignment="1">
      <alignment horizontal="right"/>
    </xf>
    <xf numFmtId="0" fontId="8" fillId="11" borderId="3" xfId="0" applyFont="1" applyFill="1" applyBorder="1" applyAlignment="1">
      <alignment horizontal="center"/>
    </xf>
    <xf numFmtId="0" fontId="11" fillId="11" borderId="22" xfId="0" applyFont="1" applyFill="1" applyBorder="1"/>
    <xf numFmtId="0" fontId="2" fillId="11" borderId="1" xfId="0" applyFont="1" applyFill="1" applyBorder="1"/>
    <xf numFmtId="0" fontId="8" fillId="11" borderId="1" xfId="0" applyFont="1" applyFill="1" applyBorder="1"/>
    <xf numFmtId="0" fontId="8" fillId="11" borderId="22" xfId="0" applyFont="1" applyFill="1" applyBorder="1" applyAlignment="1">
      <alignment horizontal="right"/>
    </xf>
    <xf numFmtId="0" fontId="8" fillId="11" borderId="21" xfId="0" applyFont="1" applyFill="1" applyBorder="1"/>
    <xf numFmtId="0" fontId="8" fillId="11" borderId="18" xfId="0" applyFont="1" applyFill="1" applyBorder="1" applyAlignment="1">
      <alignment horizontal="right"/>
    </xf>
    <xf numFmtId="0" fontId="8" fillId="11" borderId="6" xfId="0" applyFont="1" applyFill="1" applyBorder="1" applyAlignment="1">
      <alignment horizontal="right"/>
    </xf>
    <xf numFmtId="0" fontId="0" fillId="11" borderId="0" xfId="0" applyFill="1" applyBorder="1" applyAlignment="1">
      <alignment horizontal="center"/>
    </xf>
    <xf numFmtId="0" fontId="0" fillId="11" borderId="1" xfId="0" applyFill="1" applyBorder="1"/>
    <xf numFmtId="0" fontId="0" fillId="11" borderId="3" xfId="0" applyFill="1" applyBorder="1" applyAlignment="1">
      <alignment horizontal="left"/>
    </xf>
    <xf numFmtId="0" fontId="0" fillId="11" borderId="1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0" fillId="11" borderId="5" xfId="0" applyFill="1" applyBorder="1" applyAlignment="1">
      <alignment horizontal="right"/>
    </xf>
    <xf numFmtId="0" fontId="0" fillId="11" borderId="1" xfId="0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11" borderId="2" xfId="0" applyFill="1" applyBorder="1" applyAlignment="1">
      <alignment horizontal="right"/>
    </xf>
    <xf numFmtId="0" fontId="3" fillId="11" borderId="21" xfId="0" applyFont="1" applyFill="1" applyBorder="1"/>
    <xf numFmtId="0" fontId="0" fillId="11" borderId="19" xfId="0" applyFill="1" applyBorder="1" applyAlignment="1">
      <alignment horizontal="left"/>
    </xf>
    <xf numFmtId="0" fontId="4" fillId="11" borderId="4" xfId="0" applyFont="1" applyFill="1" applyBorder="1" applyAlignment="1">
      <alignment horizontal="center"/>
    </xf>
    <xf numFmtId="0" fontId="4" fillId="11" borderId="20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6" fillId="11" borderId="20" xfId="0" applyFont="1" applyFill="1" applyBorder="1" applyAlignment="1">
      <alignment horizontal="center"/>
    </xf>
    <xf numFmtId="0" fontId="0" fillId="11" borderId="0" xfId="0" applyFill="1" applyBorder="1" applyAlignment="1">
      <alignment vertical="top" wrapText="1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right"/>
    </xf>
    <xf numFmtId="0" fontId="3" fillId="11" borderId="4" xfId="0" applyFont="1" applyFill="1" applyBorder="1" applyAlignment="1">
      <alignment horizontal="right"/>
    </xf>
    <xf numFmtId="0" fontId="3" fillId="11" borderId="3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ρ(t) = exp[a + bt]</a:t>
            </a:r>
          </a:p>
        </c:rich>
      </c:tx>
      <c:layout>
        <c:manualLayout>
          <c:xMode val="edge"/>
          <c:yMode val="edge"/>
          <c:x val="4.1222222222222223E-2"/>
          <c:y val="2.7777806462716749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'Minimal Repair'!$C$40</c:f>
              <c:strCache>
                <c:ptCount val="1"/>
                <c:pt idx="0">
                  <c:v>ρ(t) = exp[a+bt]</c:v>
                </c:pt>
              </c:strCache>
            </c:strRef>
          </c:tx>
          <c:marker>
            <c:symbol val="none"/>
          </c:marker>
          <c:xVal>
            <c:numRef>
              <c:f>'Minimal Repair'!$B$41:$B$90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'Minimal Repair'!$C$41:$C$90</c:f>
              <c:numCache>
                <c:formatCode>0.00000</c:formatCode>
                <c:ptCount val="50"/>
                <c:pt idx="0">
                  <c:v>1.7332530178673953</c:v>
                </c:pt>
                <c:pt idx="1">
                  <c:v>1.8221188003905089</c:v>
                </c:pt>
                <c:pt idx="2">
                  <c:v>1.9155408290138962</c:v>
                </c:pt>
                <c:pt idx="3">
                  <c:v>2.0137527074704766</c:v>
                </c:pt>
                <c:pt idx="4">
                  <c:v>2.1170000166126748</c:v>
                </c:pt>
                <c:pt idx="5">
                  <c:v>2.2255409284924679</c:v>
                </c:pt>
                <c:pt idx="6">
                  <c:v>2.3396468519259912</c:v>
                </c:pt>
                <c:pt idx="7">
                  <c:v>2.4596031111569499</c:v>
                </c:pt>
                <c:pt idx="8">
                  <c:v>2.585709659315846</c:v>
                </c:pt>
                <c:pt idx="9">
                  <c:v>2.7182818284590451</c:v>
                </c:pt>
                <c:pt idx="10">
                  <c:v>2.8576511180631639</c:v>
                </c:pt>
                <c:pt idx="11">
                  <c:v>3.0041660239464334</c:v>
                </c:pt>
                <c:pt idx="12">
                  <c:v>3.1581929096897672</c:v>
                </c:pt>
                <c:pt idx="13">
                  <c:v>3.3201169227365481</c:v>
                </c:pt>
                <c:pt idx="14">
                  <c:v>3.4903429574618414</c:v>
                </c:pt>
                <c:pt idx="15">
                  <c:v>3.6692966676192444</c:v>
                </c:pt>
                <c:pt idx="16">
                  <c:v>3.8574255306969745</c:v>
                </c:pt>
                <c:pt idx="17">
                  <c:v>4.0551999668446745</c:v>
                </c:pt>
                <c:pt idx="18">
                  <c:v>4.2631145151688186</c:v>
                </c:pt>
                <c:pt idx="19">
                  <c:v>4.4816890703380645</c:v>
                </c:pt>
                <c:pt idx="20">
                  <c:v>4.7114701825907419</c:v>
                </c:pt>
                <c:pt idx="21">
                  <c:v>4.9530324243951149</c:v>
                </c:pt>
                <c:pt idx="22">
                  <c:v>5.2069798271798495</c:v>
                </c:pt>
                <c:pt idx="23">
                  <c:v>5.4739473917272008</c:v>
                </c:pt>
                <c:pt idx="24">
                  <c:v>5.7546026760057307</c:v>
                </c:pt>
                <c:pt idx="25">
                  <c:v>6.0496474644129465</c:v>
                </c:pt>
                <c:pt idx="26">
                  <c:v>6.3598195226018319</c:v>
                </c:pt>
                <c:pt idx="27">
                  <c:v>6.6858944422792703</c:v>
                </c:pt>
                <c:pt idx="28">
                  <c:v>7.0286875805892945</c:v>
                </c:pt>
                <c:pt idx="29">
                  <c:v>7.3890560989306504</c:v>
                </c:pt>
                <c:pt idx="30">
                  <c:v>7.7679011063067707</c:v>
                </c:pt>
                <c:pt idx="31">
                  <c:v>8.1661699125676517</c:v>
                </c:pt>
                <c:pt idx="32">
                  <c:v>8.5848583971778964</c:v>
                </c:pt>
                <c:pt idx="33">
                  <c:v>9.025013499434122</c:v>
                </c:pt>
                <c:pt idx="34">
                  <c:v>9.4877358363585262</c:v>
                </c:pt>
                <c:pt idx="35">
                  <c:v>9.9741824548147182</c:v>
                </c:pt>
                <c:pt idx="36">
                  <c:v>10.485569724727576</c:v>
                </c:pt>
                <c:pt idx="37">
                  <c:v>11.023176380641605</c:v>
                </c:pt>
                <c:pt idx="38">
                  <c:v>11.588346719223392</c:v>
                </c:pt>
                <c:pt idx="39">
                  <c:v>12.182493960703473</c:v>
                </c:pt>
                <c:pt idx="40">
                  <c:v>12.807103782663036</c:v>
                </c:pt>
                <c:pt idx="41">
                  <c:v>13.463738035001692</c:v>
                </c:pt>
                <c:pt idx="42">
                  <c:v>14.154038645375801</c:v>
                </c:pt>
                <c:pt idx="43">
                  <c:v>14.879731724872837</c:v>
                </c:pt>
                <c:pt idx="44">
                  <c:v>15.642631884188171</c:v>
                </c:pt>
                <c:pt idx="45">
                  <c:v>16.444646771097055</c:v>
                </c:pt>
                <c:pt idx="46">
                  <c:v>17.287781840567639</c:v>
                </c:pt>
                <c:pt idx="47">
                  <c:v>18.174145369443067</c:v>
                </c:pt>
                <c:pt idx="48">
                  <c:v>19.105953728231651</c:v>
                </c:pt>
                <c:pt idx="49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5D-4F52-8ECB-CBCD566DB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70696"/>
        <c:axId val="1"/>
      </c:scatterChart>
      <c:valAx>
        <c:axId val="29167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167069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'Minimal Repair'!$D$40</c:f>
              <c:strCache>
                <c:ptCount val="1"/>
                <c:pt idx="0">
                  <c:v>ρ(t)=abt^(b-1)</c:v>
                </c:pt>
              </c:strCache>
            </c:strRef>
          </c:tx>
          <c:marker>
            <c:symbol val="none"/>
          </c:marker>
          <c:xVal>
            <c:numRef>
              <c:f>'Minimal Repair'!$B$41:$B$90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'Minimal Repair'!$D$41:$D$90</c:f>
              <c:numCache>
                <c:formatCode>General</c:formatCode>
                <c:ptCount val="50"/>
                <c:pt idx="0">
                  <c:v>1.5E-3</c:v>
                </c:pt>
                <c:pt idx="1">
                  <c:v>2.1213203435596429E-3</c:v>
                </c:pt>
                <c:pt idx="2">
                  <c:v>2.5980762113533159E-3</c:v>
                </c:pt>
                <c:pt idx="3">
                  <c:v>3.0000000000000001E-3</c:v>
                </c:pt>
                <c:pt idx="4">
                  <c:v>3.3541019662496848E-3</c:v>
                </c:pt>
                <c:pt idx="5">
                  <c:v>3.6742346141747668E-3</c:v>
                </c:pt>
                <c:pt idx="6">
                  <c:v>3.9686269665968861E-3</c:v>
                </c:pt>
                <c:pt idx="7">
                  <c:v>4.2426406871192857E-3</c:v>
                </c:pt>
                <c:pt idx="8">
                  <c:v>4.5000000000000005E-3</c:v>
                </c:pt>
                <c:pt idx="9">
                  <c:v>4.7434164902525697E-3</c:v>
                </c:pt>
                <c:pt idx="10">
                  <c:v>4.9749371855330998E-3</c:v>
                </c:pt>
                <c:pt idx="11">
                  <c:v>5.1961524227066317E-3</c:v>
                </c:pt>
                <c:pt idx="12">
                  <c:v>5.4083269131959839E-3</c:v>
                </c:pt>
                <c:pt idx="13">
                  <c:v>5.6124860801609125E-3</c:v>
                </c:pt>
                <c:pt idx="14">
                  <c:v>5.8094750193111253E-3</c:v>
                </c:pt>
                <c:pt idx="15">
                  <c:v>6.0000000000000001E-3</c:v>
                </c:pt>
                <c:pt idx="16">
                  <c:v>6.1846584384264913E-3</c:v>
                </c:pt>
                <c:pt idx="17">
                  <c:v>6.3639610306789269E-3</c:v>
                </c:pt>
                <c:pt idx="18">
                  <c:v>6.5383484153110115E-3</c:v>
                </c:pt>
                <c:pt idx="19">
                  <c:v>6.7082039324993696E-3</c:v>
                </c:pt>
                <c:pt idx="20">
                  <c:v>6.8738635424337603E-3</c:v>
                </c:pt>
                <c:pt idx="21">
                  <c:v>7.0356236397351446E-3</c:v>
                </c:pt>
                <c:pt idx="22">
                  <c:v>7.1937472849690791E-3</c:v>
                </c:pt>
                <c:pt idx="23">
                  <c:v>7.3484692283495336E-3</c:v>
                </c:pt>
                <c:pt idx="24">
                  <c:v>7.4999999999999997E-3</c:v>
                </c:pt>
                <c:pt idx="25">
                  <c:v>7.6485292703891766E-3</c:v>
                </c:pt>
                <c:pt idx="26">
                  <c:v>7.794228634059948E-3</c:v>
                </c:pt>
                <c:pt idx="27">
                  <c:v>7.9372539331937723E-3</c:v>
                </c:pt>
                <c:pt idx="28">
                  <c:v>8.0777472107017561E-3</c:v>
                </c:pt>
                <c:pt idx="29">
                  <c:v>8.2158383625774919E-3</c:v>
                </c:pt>
                <c:pt idx="30">
                  <c:v>8.3516465442450318E-3</c:v>
                </c:pt>
                <c:pt idx="31">
                  <c:v>8.4852813742385715E-3</c:v>
                </c:pt>
                <c:pt idx="32">
                  <c:v>8.6168439698070427E-3</c:v>
                </c:pt>
                <c:pt idx="33">
                  <c:v>8.7464278422679509E-3</c:v>
                </c:pt>
                <c:pt idx="34">
                  <c:v>8.8741196746494246E-3</c:v>
                </c:pt>
                <c:pt idx="35">
                  <c:v>9.0000000000000011E-3</c:v>
                </c:pt>
                <c:pt idx="36">
                  <c:v>9.124143795447329E-3</c:v>
                </c:pt>
                <c:pt idx="37">
                  <c:v>9.2466210044534636E-3</c:v>
                </c:pt>
                <c:pt idx="38">
                  <c:v>9.3674969975975977E-3</c:v>
                </c:pt>
                <c:pt idx="39">
                  <c:v>9.4868329805051395E-3</c:v>
                </c:pt>
                <c:pt idx="40">
                  <c:v>9.6046863561492727E-3</c:v>
                </c:pt>
                <c:pt idx="41">
                  <c:v>9.7211110476117905E-3</c:v>
                </c:pt>
                <c:pt idx="42">
                  <c:v>9.8361577864530016E-3</c:v>
                </c:pt>
                <c:pt idx="43">
                  <c:v>9.9498743710661995E-3</c:v>
                </c:pt>
                <c:pt idx="44">
                  <c:v>1.0062305898749055E-2</c:v>
                </c:pt>
                <c:pt idx="45">
                  <c:v>1.0173494974687903E-2</c:v>
                </c:pt>
                <c:pt idx="46">
                  <c:v>1.0283481900601566E-2</c:v>
                </c:pt>
                <c:pt idx="47">
                  <c:v>1.0392304845413263E-2</c:v>
                </c:pt>
                <c:pt idx="48">
                  <c:v>1.0500000000000001E-2</c:v>
                </c:pt>
                <c:pt idx="49">
                  <c:v>1.0606601717798213E-2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C4-420D-B1F6-97B976D65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72992"/>
        <c:axId val="1"/>
      </c:scatterChart>
      <c:valAx>
        <c:axId val="29167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16729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ρ(t) = a(1-exp[-bt])</a:t>
            </a:r>
          </a:p>
        </c:rich>
      </c:tx>
      <c:layout>
        <c:manualLayout>
          <c:xMode val="edge"/>
          <c:yMode val="edge"/>
          <c:x val="8.2541557305336841E-2"/>
          <c:y val="3.240740740740740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'Minimal Repair'!$E$40</c:f>
              <c:strCache>
                <c:ptCount val="1"/>
                <c:pt idx="0">
                  <c:v>ρ(t) = a(1-exp[-bt]</c:v>
                </c:pt>
              </c:strCache>
            </c:strRef>
          </c:tx>
          <c:marker>
            <c:symbol val="none"/>
          </c:marker>
          <c:xVal>
            <c:numRef>
              <c:f>'Minimal Repair'!$B$41:$B$90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'Minimal Repair'!$E$41:$E$90</c:f>
              <c:numCache>
                <c:formatCode>General</c:formatCode>
                <c:ptCount val="50"/>
                <c:pt idx="0">
                  <c:v>1.9032516392808096E-3</c:v>
                </c:pt>
                <c:pt idx="1">
                  <c:v>3.6253849384403638E-3</c:v>
                </c:pt>
                <c:pt idx="2">
                  <c:v>5.1836355863656425E-3</c:v>
                </c:pt>
                <c:pt idx="3">
                  <c:v>6.5935990792872134E-3</c:v>
                </c:pt>
                <c:pt idx="4">
                  <c:v>7.8693868057473325E-3</c:v>
                </c:pt>
                <c:pt idx="5">
                  <c:v>9.0237672781194721E-3</c:v>
                </c:pt>
                <c:pt idx="6">
                  <c:v>1.0068293924171813E-2</c:v>
                </c:pt>
                <c:pt idx="7">
                  <c:v>1.1013420717655568E-2</c:v>
                </c:pt>
                <c:pt idx="8">
                  <c:v>1.1868606805188017E-2</c:v>
                </c:pt>
                <c:pt idx="9">
                  <c:v>1.2642411176571153E-2</c:v>
                </c:pt>
                <c:pt idx="10">
                  <c:v>1.3342578326038411E-2</c:v>
                </c:pt>
                <c:pt idx="11">
                  <c:v>1.3976115761755961E-2</c:v>
                </c:pt>
                <c:pt idx="12">
                  <c:v>1.4549364139319749E-2</c:v>
                </c:pt>
                <c:pt idx="13">
                  <c:v>1.5068060721167871E-2</c:v>
                </c:pt>
                <c:pt idx="14">
                  <c:v>1.5537396797031405E-2</c:v>
                </c:pt>
                <c:pt idx="15">
                  <c:v>1.5962069640106893E-2</c:v>
                </c:pt>
                <c:pt idx="16">
                  <c:v>1.634632951894531E-2</c:v>
                </c:pt>
                <c:pt idx="17">
                  <c:v>1.6694022235568269E-2</c:v>
                </c:pt>
                <c:pt idx="18">
                  <c:v>1.7008627615547299E-2</c:v>
                </c:pt>
                <c:pt idx="19">
                  <c:v>1.7293294335267745E-2</c:v>
                </c:pt>
                <c:pt idx="20">
                  <c:v>1.7550871434940364E-2</c:v>
                </c:pt>
                <c:pt idx="21">
                  <c:v>1.7783936832753321E-2</c:v>
                </c:pt>
                <c:pt idx="22">
                  <c:v>1.7994823125543926E-2</c:v>
                </c:pt>
                <c:pt idx="23">
                  <c:v>1.8185640934211753E-2</c:v>
                </c:pt>
                <c:pt idx="24">
                  <c:v>1.8358300027522024E-2</c:v>
                </c:pt>
                <c:pt idx="25">
                  <c:v>1.8514528435713322E-2</c:v>
                </c:pt>
                <c:pt idx="26">
                  <c:v>1.8655889745205007E-2</c:v>
                </c:pt>
                <c:pt idx="27">
                  <c:v>1.8783798747495643E-2</c:v>
                </c:pt>
                <c:pt idx="28">
                  <c:v>1.8899535598871857E-2</c:v>
                </c:pt>
                <c:pt idx="29">
                  <c:v>1.9004258632642722E-2</c:v>
                </c:pt>
                <c:pt idx="30">
                  <c:v>1.9099015952128845E-2</c:v>
                </c:pt>
                <c:pt idx="31">
                  <c:v>1.9184755920432676E-2</c:v>
                </c:pt>
                <c:pt idx="32">
                  <c:v>1.9262336651975201E-2</c:v>
                </c:pt>
                <c:pt idx="33">
                  <c:v>1.9332534600793479E-2</c:v>
                </c:pt>
                <c:pt idx="34">
                  <c:v>1.9396052331553632E-2</c:v>
                </c:pt>
                <c:pt idx="35">
                  <c:v>1.945352555105415E-2</c:v>
                </c:pt>
                <c:pt idx="36">
                  <c:v>1.9505529470593214E-2</c:v>
                </c:pt>
                <c:pt idx="37">
                  <c:v>1.9552584562876691E-2</c:v>
                </c:pt>
                <c:pt idx="38">
                  <c:v>1.9595161771083915E-2</c:v>
                </c:pt>
                <c:pt idx="39">
                  <c:v>1.9633687222225315E-2</c:v>
                </c:pt>
                <c:pt idx="40">
                  <c:v>1.9668546491964777E-2</c:v>
                </c:pt>
                <c:pt idx="41">
                  <c:v>1.9700088463590445E-2</c:v>
                </c:pt>
                <c:pt idx="42">
                  <c:v>1.9728628819755983E-2</c:v>
                </c:pt>
                <c:pt idx="43">
                  <c:v>1.9754453201938631E-2</c:v>
                </c:pt>
                <c:pt idx="44">
                  <c:v>1.9777820069235154E-2</c:v>
                </c:pt>
                <c:pt idx="45">
                  <c:v>1.9798963285107329E-2</c:v>
                </c:pt>
                <c:pt idx="46">
                  <c:v>1.9818094457966087E-2</c:v>
                </c:pt>
                <c:pt idx="47">
                  <c:v>1.9835405059019599E-2</c:v>
                </c:pt>
                <c:pt idx="48">
                  <c:v>1.9851068338581513E-2</c:v>
                </c:pt>
                <c:pt idx="49">
                  <c:v>1.9865241060018291E-2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8-4E1F-9F8A-87569F0E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77584"/>
        <c:axId val="1"/>
      </c:scatterChart>
      <c:valAx>
        <c:axId val="29167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16775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705555555555556"/>
          <c:y val="2.7777777777777776E-2"/>
        </c:manualLayout>
      </c:layout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'Cycle time'!$C$7</c:f>
              <c:strCache>
                <c:ptCount val="1"/>
                <c:pt idx="0">
                  <c:v>G(t)</c:v>
                </c:pt>
              </c:strCache>
            </c:strRef>
          </c:tx>
          <c:marker>
            <c:symbol val="none"/>
          </c:marker>
          <c:xVal>
            <c:numRef>
              <c:f>'Cycle time'!$B$8:$B$47</c:f>
              <c:numCache>
                <c:formatCode>General</c:formatCode>
                <c:ptCount val="4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90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</c:numCache>
            </c:numRef>
          </c:xVal>
          <c:yVal>
            <c:numRef>
              <c:f>'Cycle time'!$C$8:$C$47</c:f>
              <c:numCache>
                <c:formatCode>General</c:formatCode>
                <c:ptCount val="40"/>
                <c:pt idx="0">
                  <c:v>6.9121240108565796E-2</c:v>
                </c:pt>
                <c:pt idx="1">
                  <c:v>0.17247813632397391</c:v>
                </c:pt>
                <c:pt idx="2">
                  <c:v>0.26896441325234188</c:v>
                </c:pt>
                <c:pt idx="3">
                  <c:v>0.32170748238344204</c:v>
                </c:pt>
                <c:pt idx="4">
                  <c:v>0.43057485877628532</c:v>
                </c:pt>
                <c:pt idx="5">
                  <c:v>0.49748262857252723</c:v>
                </c:pt>
                <c:pt idx="6">
                  <c:v>0.55652979591790053</c:v>
                </c:pt>
                <c:pt idx="7">
                  <c:v>0.60863889605873056</c:v>
                </c:pt>
                <c:pt idx="8">
                  <c:v>0.65462503518435977</c:v>
                </c:pt>
                <c:pt idx="9">
                  <c:v>0.69520766297186842</c:v>
                </c:pt>
                <c:pt idx="10">
                  <c:v>0.73102170659781462</c:v>
                </c:pt>
                <c:pt idx="11">
                  <c:v>0.76262748920468448</c:v>
                </c:pt>
                <c:pt idx="12">
                  <c:v>0.79051949446373371</c:v>
                </c:pt>
                <c:pt idx="13">
                  <c:v>0.81513410271230613</c:v>
                </c:pt>
                <c:pt idx="14">
                  <c:v>0.83685641825007773</c:v>
                </c:pt>
                <c:pt idx="15">
                  <c:v>0.85602629442913569</c:v>
                </c:pt>
                <c:pt idx="16">
                  <c:v>0.87294365078008551</c:v>
                </c:pt>
                <c:pt idx="17">
                  <c:v>0.88787316535971883</c:v>
                </c:pt>
                <c:pt idx="18">
                  <c:v>0.90104841573333672</c:v>
                </c:pt>
                <c:pt idx="19">
                  <c:v>0.91267553337883101</c:v>
                </c:pt>
                <c:pt idx="20">
                  <c:v>0.92293642868696657</c:v>
                </c:pt>
                <c:pt idx="21">
                  <c:v>0.93199163701414089</c:v>
                </c:pt>
                <c:pt idx="22">
                  <c:v>0.93998283031513052</c:v>
                </c:pt>
                <c:pt idx="23">
                  <c:v>0.94703503365120856</c:v>
                </c:pt>
                <c:pt idx="24">
                  <c:v>0.95325858125169427</c:v>
                </c:pt>
                <c:pt idx="25">
                  <c:v>0.95875084273221067</c:v>
                </c:pt>
                <c:pt idx="26">
                  <c:v>0.96359774647695107</c:v>
                </c:pt>
                <c:pt idx="27">
                  <c:v>0.96787512401881015</c:v>
                </c:pt>
                <c:pt idx="28">
                  <c:v>0.97164989645068567</c:v>
                </c:pt>
                <c:pt idx="29">
                  <c:v>0.97498112142977755</c:v>
                </c:pt>
                <c:pt idx="30">
                  <c:v>0.97792091715563856</c:v>
                </c:pt>
                <c:pt idx="31">
                  <c:v>0.98051527777794234</c:v>
                </c:pt>
                <c:pt idx="32">
                  <c:v>0.98280479299131285</c:v>
                </c:pt>
                <c:pt idx="33">
                  <c:v>0.98482528307553274</c:v>
                </c:pt>
                <c:pt idx="34">
                  <c:v>0.98660835931655955</c:v>
                </c:pt>
                <c:pt idx="35">
                  <c:v>0.98818191857633797</c:v>
                </c:pt>
                <c:pt idx="36">
                  <c:v>0.98957057974912577</c:v>
                </c:pt>
                <c:pt idx="37">
                  <c:v>0.99079606893285044</c:v>
                </c:pt>
                <c:pt idx="38">
                  <c:v>0.99187755934163835</c:v>
                </c:pt>
                <c:pt idx="39">
                  <c:v>0.99283197127756861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4-48DA-8807-466403B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153304"/>
        <c:axId val="1"/>
      </c:scatterChart>
      <c:valAx>
        <c:axId val="290153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01533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'Preventive Maintenance'!$C$7</c:f>
              <c:strCache>
                <c:ptCount val="1"/>
                <c:pt idx="0">
                  <c:v>R(t)</c:v>
                </c:pt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Maintenance'!$C$8:$C$32</c:f>
              <c:numCache>
                <c:formatCode>0.00000</c:formatCode>
                <c:ptCount val="25"/>
                <c:pt idx="0">
                  <c:v>0.99004983374916811</c:v>
                </c:pt>
                <c:pt idx="1">
                  <c:v>0.96078943915232318</c:v>
                </c:pt>
                <c:pt idx="2">
                  <c:v>0.91393118527122819</c:v>
                </c:pt>
                <c:pt idx="3">
                  <c:v>0.85214378896621135</c:v>
                </c:pt>
                <c:pt idx="4">
                  <c:v>0.77880078307140488</c:v>
                </c:pt>
                <c:pt idx="5">
                  <c:v>0.69767632607103103</c:v>
                </c:pt>
                <c:pt idx="6">
                  <c:v>0.61262639418441611</c:v>
                </c:pt>
                <c:pt idx="7">
                  <c:v>0.52729242404304855</c:v>
                </c:pt>
                <c:pt idx="8">
                  <c:v>0.44485806622294111</c:v>
                </c:pt>
                <c:pt idx="9">
                  <c:v>0.36787944117144233</c:v>
                </c:pt>
                <c:pt idx="10">
                  <c:v>0.29819727942988733</c:v>
                </c:pt>
                <c:pt idx="11">
                  <c:v>0.23692775868212176</c:v>
                </c:pt>
                <c:pt idx="12">
                  <c:v>0.18451952399298924</c:v>
                </c:pt>
                <c:pt idx="13">
                  <c:v>0.14085842092104503</c:v>
                </c:pt>
                <c:pt idx="14">
                  <c:v>0.10539922456186433</c:v>
                </c:pt>
                <c:pt idx="15">
                  <c:v>7.7304740443299713E-2</c:v>
                </c:pt>
                <c:pt idx="16">
                  <c:v>5.5576212611483086E-2</c:v>
                </c:pt>
                <c:pt idx="17">
                  <c:v>3.9163895098987066E-2</c:v>
                </c:pt>
                <c:pt idx="18">
                  <c:v>2.7051846866350416E-2</c:v>
                </c:pt>
                <c:pt idx="19">
                  <c:v>1.8315638888734179E-2</c:v>
                </c:pt>
                <c:pt idx="20">
                  <c:v>1.2155178329914935E-2</c:v>
                </c:pt>
                <c:pt idx="21">
                  <c:v>7.9070540515934346E-3</c:v>
                </c:pt>
                <c:pt idx="22">
                  <c:v>5.0417602596909833E-3</c:v>
                </c:pt>
                <c:pt idx="23">
                  <c:v>3.1511115984444414E-3</c:v>
                </c:pt>
                <c:pt idx="24">
                  <c:v>1.9304541362277093E-3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2A-4288-889D-ECDA91D223BF}"/>
            </c:ext>
          </c:extLst>
        </c:ser>
        <c:ser>
          <c:idx val="1"/>
          <c:order val="1"/>
          <c:tx>
            <c:strRef>
              <c:f>'Preventive Maintenance'!$D$7</c:f>
              <c:strCache>
                <c:ptCount val="1"/>
                <c:pt idx="0">
                  <c:v>Rm(t)</c:v>
                </c:pt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Maintenance'!$D$8:$D$32</c:f>
              <c:numCache>
                <c:formatCode>0.00000</c:formatCode>
                <c:ptCount val="25"/>
                <c:pt idx="0">
                  <c:v>0.98014933541167637</c:v>
                </c:pt>
                <c:pt idx="1">
                  <c:v>0.96069271970795089</c:v>
                </c:pt>
                <c:pt idx="2">
                  <c:v>0.94162233075658397</c:v>
                </c:pt>
                <c:pt idx="3">
                  <c:v>0.92293050169985946</c:v>
                </c:pt>
                <c:pt idx="4">
                  <c:v>0.90460971787228228</c:v>
                </c:pt>
                <c:pt idx="5">
                  <c:v>0.88665261377946158</c:v>
                </c:pt>
                <c:pt idx="6">
                  <c:v>0.86905197013696511</c:v>
                </c:pt>
                <c:pt idx="7">
                  <c:v>0.85180071096795429</c:v>
                </c:pt>
                <c:pt idx="8">
                  <c:v>0.83489190075843389</c:v>
                </c:pt>
                <c:pt idx="9">
                  <c:v>0.81831874166897023</c:v>
                </c:pt>
                <c:pt idx="10">
                  <c:v>0.80207457080176048</c:v>
                </c:pt>
                <c:pt idx="11">
                  <c:v>0.78615285752195119</c:v>
                </c:pt>
                <c:pt idx="12">
                  <c:v>0.77054720083213069</c:v>
                </c:pt>
                <c:pt idx="13">
                  <c:v>0.75525132679894036</c:v>
                </c:pt>
                <c:pt idx="14">
                  <c:v>0.74025908603076829</c:v>
                </c:pt>
                <c:pt idx="15">
                  <c:v>0.7255644512055125</c:v>
                </c:pt>
                <c:pt idx="16">
                  <c:v>0.71116151464742072</c:v>
                </c:pt>
                <c:pt idx="17">
                  <c:v>0.69704448595203061</c:v>
                </c:pt>
                <c:pt idx="18">
                  <c:v>0.6832076896582564</c:v>
                </c:pt>
                <c:pt idx="19">
                  <c:v>0.66964556296668687</c:v>
                </c:pt>
                <c:pt idx="20">
                  <c:v>0.65635265350317606</c:v>
                </c:pt>
                <c:pt idx="21">
                  <c:v>0.64332361712682828</c:v>
                </c:pt>
                <c:pt idx="22">
                  <c:v>0.63055321578149659</c:v>
                </c:pt>
                <c:pt idx="23">
                  <c:v>0.6180363153899292</c:v>
                </c:pt>
                <c:pt idx="24">
                  <c:v>0.60576788378972024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2A-4288-889D-ECDA91D22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19680"/>
        <c:axId val="1"/>
      </c:scatterChart>
      <c:valAx>
        <c:axId val="26041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0419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453402025906529"/>
          <c:y val="0.40949569729159563"/>
          <c:w val="0.16252439371366326"/>
          <c:h val="0.1661721670168794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'Preventive Maintenance'!$E$7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Maintenance'!$E$8:$E$32</c:f>
              <c:numCache>
                <c:formatCode>General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E-4F00-A258-9D283734044A}"/>
            </c:ext>
          </c:extLst>
        </c:ser>
        <c:ser>
          <c:idx val="3"/>
          <c:order val="1"/>
          <c:tx>
            <c:strRef>
              <c:f>'Preventive Maintenance'!$F$7</c:f>
              <c:strCache>
                <c:ptCount val="1"/>
                <c:pt idx="0">
                  <c:v>R(t)</c:v>
                </c:pt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Maintenance'!$F$8:$F$32</c:f>
              <c:numCache>
                <c:formatCode>0.00000</c:formatCode>
                <c:ptCount val="25"/>
                <c:pt idx="0">
                  <c:v>0.98777552734495533</c:v>
                </c:pt>
                <c:pt idx="1">
                  <c:v>0.97724986805182079</c:v>
                </c:pt>
                <c:pt idx="2">
                  <c:v>0.95994084313618289</c:v>
                </c:pt>
                <c:pt idx="3">
                  <c:v>0.93319279873114191</c:v>
                </c:pt>
                <c:pt idx="4">
                  <c:v>0.89435022633314476</c:v>
                </c:pt>
                <c:pt idx="5">
                  <c:v>0.84134474606854304</c:v>
                </c:pt>
                <c:pt idx="6">
                  <c:v>0.77337264762313174</c:v>
                </c:pt>
                <c:pt idx="7">
                  <c:v>0.69146246127401312</c:v>
                </c:pt>
                <c:pt idx="8">
                  <c:v>0.5987063256829237</c:v>
                </c:pt>
                <c:pt idx="9">
                  <c:v>0.5</c:v>
                </c:pt>
                <c:pt idx="10">
                  <c:v>0.4012936743170763</c:v>
                </c:pt>
                <c:pt idx="11">
                  <c:v>0.30853753872598688</c:v>
                </c:pt>
                <c:pt idx="12">
                  <c:v>0.22662735237686826</c:v>
                </c:pt>
                <c:pt idx="13">
                  <c:v>0.15865525393145696</c:v>
                </c:pt>
                <c:pt idx="14">
                  <c:v>0.10564977366685524</c:v>
                </c:pt>
                <c:pt idx="15">
                  <c:v>6.6807201268858085E-2</c:v>
                </c:pt>
                <c:pt idx="16">
                  <c:v>4.0059156863817114E-2</c:v>
                </c:pt>
                <c:pt idx="17">
                  <c:v>2.2750131948179209E-2</c:v>
                </c:pt>
                <c:pt idx="18">
                  <c:v>1.2224472655044671E-2</c:v>
                </c:pt>
                <c:pt idx="19">
                  <c:v>6.2096653257761592E-3</c:v>
                </c:pt>
                <c:pt idx="20">
                  <c:v>2.9797632350545555E-3</c:v>
                </c:pt>
                <c:pt idx="21">
                  <c:v>1.3498980316301035E-3</c:v>
                </c:pt>
                <c:pt idx="22">
                  <c:v>5.7702504239076635E-4</c:v>
                </c:pt>
                <c:pt idx="23">
                  <c:v>2.3262907903554009E-4</c:v>
                </c:pt>
                <c:pt idx="24">
                  <c:v>8.841728520081471E-5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E-4F00-A258-9D283734044A}"/>
            </c:ext>
          </c:extLst>
        </c:ser>
        <c:ser>
          <c:idx val="4"/>
          <c:order val="2"/>
          <c:tx>
            <c:strRef>
              <c:f>'Preventive Maintenance'!$G$7</c:f>
              <c:strCache>
                <c:ptCount val="1"/>
                <c:pt idx="0">
                  <c:v>Rm(t)</c:v>
                </c:pt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Maintenance'!$G$8:$G$32</c:f>
              <c:numCache>
                <c:formatCode>0.00000</c:formatCode>
                <c:ptCount val="25"/>
                <c:pt idx="0">
                  <c:v>0.97789777207150574</c:v>
                </c:pt>
                <c:pt idx="1">
                  <c:v>0.95628405262241467</c:v>
                </c:pt>
                <c:pt idx="2">
                  <c:v>0.93514804452696987</c:v>
                </c:pt>
                <c:pt idx="3">
                  <c:v>0.91447918929994909</c:v>
                </c:pt>
                <c:pt idx="4">
                  <c:v>0.89426716182217703</c:v>
                </c:pt>
                <c:pt idx="5">
                  <c:v>0.87450186518261563</c:v>
                </c:pt>
                <c:pt idx="6">
                  <c:v>0.8551734256344562</c:v>
                </c:pt>
                <c:pt idx="7">
                  <c:v>0.83627218766269218</c:v>
                </c:pt>
                <c:pt idx="8">
                  <c:v>0.81778870916071078</c:v>
                </c:pt>
                <c:pt idx="9">
                  <c:v>0.79971375671349176</c:v>
                </c:pt>
                <c:pt idx="10">
                  <c:v>0.78203830098505778</c:v>
                </c:pt>
                <c:pt idx="11">
                  <c:v>0.76475351220787369</c:v>
                </c:pt>
                <c:pt idx="12">
                  <c:v>0.74785075577193871</c:v>
                </c:pt>
                <c:pt idx="13">
                  <c:v>0.7313215879113707</c:v>
                </c:pt>
                <c:pt idx="14">
                  <c:v>0.71515775148632532</c:v>
                </c:pt>
                <c:pt idx="15">
                  <c:v>0.6993511718581451</c:v>
                </c:pt>
                <c:pt idx="16">
                  <c:v>0.68389395285567689</c:v>
                </c:pt>
                <c:pt idx="17">
                  <c:v>0.66877837283074182</c:v>
                </c:pt>
                <c:pt idx="18">
                  <c:v>0.65399688080078922</c:v>
                </c:pt>
                <c:pt idx="19">
                  <c:v>0.63954209267680606</c:v>
                </c:pt>
                <c:pt idx="20">
                  <c:v>0.62540678757459711</c:v>
                </c:pt>
                <c:pt idx="21">
                  <c:v>0.6115839042075959</c:v>
                </c:pt>
                <c:pt idx="22">
                  <c:v>0.5980665373594013</c:v>
                </c:pt>
                <c:pt idx="23">
                  <c:v>0.5848479344342784</c:v>
                </c:pt>
                <c:pt idx="24">
                  <c:v>0.57192149208390297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2E-4F00-A258-9D2837340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944864"/>
        <c:axId val="1"/>
      </c:scatterChart>
      <c:valAx>
        <c:axId val="29094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0944864"/>
        <c:crosses val="autoZero"/>
        <c:crossBetween val="midCat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1453402025906529"/>
          <c:y val="0.40259788128489465"/>
          <c:w val="0.16252439371366326"/>
          <c:h val="0.1818183979996298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'Preventive Maintenance'!$E$7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Maintenance'!$E$8:$E$32</c:f>
              <c:numCache>
                <c:formatCode>General</c:formatCode>
                <c:ptCount val="2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E1-4B1E-9E05-8FF73874C578}"/>
            </c:ext>
          </c:extLst>
        </c:ser>
        <c:ser>
          <c:idx val="5"/>
          <c:order val="1"/>
          <c:tx>
            <c:strRef>
              <c:f>'Preventive Maintenance'!$H$7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Maintenance'!$H$8:$H$32</c:f>
              <c:numCache>
                <c:formatCode>General</c:formatCode>
                <c:ptCount val="2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E1-4B1E-9E05-8FF73874C578}"/>
            </c:ext>
          </c:extLst>
        </c:ser>
        <c:ser>
          <c:idx val="6"/>
          <c:order val="2"/>
          <c:tx>
            <c:strRef>
              <c:f>'Preventive Maintenance'!$I$7</c:f>
              <c:strCache>
                <c:ptCount val="1"/>
                <c:pt idx="0">
                  <c:v>R(t)</c:v>
                </c:pt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Maintenance'!$I$8:$I$32</c:f>
              <c:numCache>
                <c:formatCode>General</c:formatCode>
                <c:ptCount val="25"/>
                <c:pt idx="0">
                  <c:v>0.98934890065829983</c:v>
                </c:pt>
                <c:pt idx="1">
                  <c:v>0.94623968954833693</c:v>
                </c:pt>
                <c:pt idx="2">
                  <c:v>0.88569995495084841</c:v>
                </c:pt>
                <c:pt idx="3">
                  <c:v>0.82024278610421464</c:v>
                </c:pt>
                <c:pt idx="4">
                  <c:v>0.75589140421441736</c:v>
                </c:pt>
                <c:pt idx="5">
                  <c:v>0.69526341748976828</c:v>
                </c:pt>
                <c:pt idx="6">
                  <c:v>0.63933241737735091</c:v>
                </c:pt>
                <c:pt idx="7">
                  <c:v>0.58828810814254506</c:v>
                </c:pt>
                <c:pt idx="8">
                  <c:v>0.54195512721434103</c:v>
                </c:pt>
                <c:pt idx="9">
                  <c:v>0.5</c:v>
                </c:pt>
                <c:pt idx="10">
                  <c:v>0.46203422857538301</c:v>
                </c:pt>
                <c:pt idx="11">
                  <c:v>0.42766519116323154</c:v>
                </c:pt>
                <c:pt idx="12">
                  <c:v>0.39652031036784829</c:v>
                </c:pt>
                <c:pt idx="13">
                  <c:v>0.36825739216332454</c:v>
                </c:pt>
                <c:pt idx="14">
                  <c:v>0.34256783051484585</c:v>
                </c:pt>
                <c:pt idx="15">
                  <c:v>0.31917621232517324</c:v>
                </c:pt>
                <c:pt idx="16">
                  <c:v>0.29783820730085475</c:v>
                </c:pt>
                <c:pt idx="17">
                  <c:v>0.27833774793491528</c:v>
                </c:pt>
                <c:pt idx="18">
                  <c:v>0.26048402896529455</c:v>
                </c:pt>
                <c:pt idx="19">
                  <c:v>0.24410859578558264</c:v>
                </c:pt>
                <c:pt idx="20">
                  <c:v>0.22906264902455675</c:v>
                </c:pt>
                <c:pt idx="21">
                  <c:v>0.21521461518285712</c:v>
                </c:pt>
                <c:pt idx="22">
                  <c:v>0.20244799204952113</c:v>
                </c:pt>
                <c:pt idx="23">
                  <c:v>0.1906594566648856</c:v>
                </c:pt>
                <c:pt idx="24">
                  <c:v>0.17975721389578536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E1-4B1E-9E05-8FF73874C578}"/>
            </c:ext>
          </c:extLst>
        </c:ser>
        <c:ser>
          <c:idx val="7"/>
          <c:order val="3"/>
          <c:tx>
            <c:strRef>
              <c:f>'Preventive Maintenance'!$J$7</c:f>
              <c:strCache>
                <c:ptCount val="1"/>
                <c:pt idx="0">
                  <c:v>Rm(t)</c:v>
                </c:pt>
              </c:strCache>
            </c:strRef>
          </c:tx>
          <c:marker>
            <c:symbol val="none"/>
          </c:marker>
          <c:xVal>
            <c:numRef>
              <c:f>'Preventive Maintenance'!$B$8:$B$32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xVal>
          <c:yVal>
            <c:numRef>
              <c:f>'Preventive Maintenance'!$J$8:$J$32</c:f>
              <c:numCache>
                <c:formatCode>0.00000</c:formatCode>
                <c:ptCount val="25"/>
                <c:pt idx="0">
                  <c:v>0.97945541165171679</c:v>
                </c:pt>
                <c:pt idx="1">
                  <c:v>0.95933290341383404</c:v>
                </c:pt>
                <c:pt idx="2">
                  <c:v>0.93962380382423349</c:v>
                </c:pt>
                <c:pt idx="3">
                  <c:v>0.9203196195724167</c:v>
                </c:pt>
                <c:pt idx="4">
                  <c:v>0.90141203183945273</c:v>
                </c:pt>
                <c:pt idx="5">
                  <c:v>0.88289289271312166</c:v>
                </c:pt>
                <c:pt idx="6">
                  <c:v>0.86475422167670568</c:v>
                </c:pt>
                <c:pt idx="7">
                  <c:v>0.84698820216991777</c:v>
                </c:pt>
                <c:pt idx="8">
                  <c:v>0.82958717822048433</c:v>
                </c:pt>
                <c:pt idx="9">
                  <c:v>0.81254365114493066</c:v>
                </c:pt>
                <c:pt idx="10">
                  <c:v>0.79585027631714711</c:v>
                </c:pt>
                <c:pt idx="11">
                  <c:v>0.77949986000334393</c:v>
                </c:pt>
                <c:pt idx="12">
                  <c:v>0.76348535626203062</c:v>
                </c:pt>
                <c:pt idx="13">
                  <c:v>0.74779986390768505</c:v>
                </c:pt>
                <c:pt idx="14">
                  <c:v>0.7324366235367995</c:v>
                </c:pt>
                <c:pt idx="15">
                  <c:v>0.71738901461502957</c:v>
                </c:pt>
                <c:pt idx="16">
                  <c:v>0.70265055262418319</c:v>
                </c:pt>
                <c:pt idx="17">
                  <c:v>0.68821488626782579</c:v>
                </c:pt>
                <c:pt idx="18">
                  <c:v>0.67407579473429269</c:v>
                </c:pt>
                <c:pt idx="19">
                  <c:v>0.66022718501593491</c:v>
                </c:pt>
                <c:pt idx="20">
                  <c:v>0.64666308928343663</c:v>
                </c:pt>
                <c:pt idx="21">
                  <c:v>0.63337766231407933</c:v>
                </c:pt>
                <c:pt idx="22">
                  <c:v>0.62036517897283872</c:v>
                </c:pt>
                <c:pt idx="23">
                  <c:v>0.60762003174523271</c:v>
                </c:pt>
                <c:pt idx="24">
                  <c:v>0.59513672832085618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E1-4B1E-9E05-8FF73874C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943552"/>
        <c:axId val="1"/>
      </c:scatterChart>
      <c:valAx>
        <c:axId val="29094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0943552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81417833957288854"/>
          <c:y val="0.40672949891610827"/>
          <c:w val="0.16283566791457771"/>
          <c:h val="0.171254525859414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'Active with Repair'!$C$6</c:f>
              <c:strCache>
                <c:ptCount val="1"/>
                <c:pt idx="0">
                  <c:v>P1(t)</c:v>
                </c:pt>
              </c:strCache>
            </c:strRef>
          </c:tx>
          <c:marker>
            <c:symbol val="none"/>
          </c:marker>
          <c:xVal>
            <c:numRef>
              <c:f>'Active with Repair'!$B$7:$B$26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'Active with Repair'!$C$7:$C$26</c:f>
              <c:numCache>
                <c:formatCode>0.00000</c:formatCode>
                <c:ptCount val="20"/>
                <c:pt idx="0">
                  <c:v>0.64179381639750466</c:v>
                </c:pt>
                <c:pt idx="1">
                  <c:v>0.54513063833035769</c:v>
                </c:pt>
                <c:pt idx="2">
                  <c:v>0.46929503350624124</c:v>
                </c:pt>
                <c:pt idx="3">
                  <c:v>0.40423213122031626</c:v>
                </c:pt>
                <c:pt idx="4">
                  <c:v>0.34819734487275245</c:v>
                </c:pt>
                <c:pt idx="5">
                  <c:v>0.29993039246065462</c:v>
                </c:pt>
                <c:pt idx="6">
                  <c:v>0.25835419193077119</c:v>
                </c:pt>
                <c:pt idx="7">
                  <c:v>0.22254126379666975</c:v>
                </c:pt>
                <c:pt idx="8">
                  <c:v>0.19169270575853578</c:v>
                </c:pt>
                <c:pt idx="9">
                  <c:v>0.16512035931769783</c:v>
                </c:pt>
                <c:pt idx="10">
                  <c:v>0.1422314581732298</c:v>
                </c:pt>
                <c:pt idx="11">
                  <c:v>0.12251540499109756</c:v>
                </c:pt>
                <c:pt idx="12">
                  <c:v>0.10553238118286956</c:v>
                </c:pt>
                <c:pt idx="13">
                  <c:v>9.0903535591591492E-2</c:v>
                </c:pt>
                <c:pt idx="14">
                  <c:v>7.8302533217104148E-2</c:v>
                </c:pt>
                <c:pt idx="15">
                  <c:v>6.7448275452806905E-2</c:v>
                </c:pt>
                <c:pt idx="16">
                  <c:v>5.8098629439538814E-2</c:v>
                </c:pt>
                <c:pt idx="17">
                  <c:v>5.0045026653270437E-2</c:v>
                </c:pt>
                <c:pt idx="18">
                  <c:v>4.3107810233852364E-2</c:v>
                </c:pt>
                <c:pt idx="19">
                  <c:v>3.7132227264712395E-2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8A-4BF7-8BCC-F65A86DE09A1}"/>
            </c:ext>
          </c:extLst>
        </c:ser>
        <c:ser>
          <c:idx val="1"/>
          <c:order val="1"/>
          <c:tx>
            <c:strRef>
              <c:f>'Active with Repair'!$D$6</c:f>
              <c:strCache>
                <c:ptCount val="1"/>
                <c:pt idx="0">
                  <c:v>P2(t)</c:v>
                </c:pt>
              </c:strCache>
            </c:strRef>
          </c:tx>
          <c:marker>
            <c:symbol val="none"/>
          </c:marker>
          <c:xVal>
            <c:numRef>
              <c:f>'Active with Repair'!$B$7:$B$26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'Active with Repair'!$D$7:$D$26</c:f>
              <c:numCache>
                <c:formatCode>0.00000</c:formatCode>
                <c:ptCount val="20"/>
                <c:pt idx="0">
                  <c:v>0.25810011193748417</c:v>
                </c:pt>
                <c:pt idx="1">
                  <c:v>0.23137061003274942</c:v>
                </c:pt>
                <c:pt idx="2">
                  <c:v>0.19961533506600956</c:v>
                </c:pt>
                <c:pt idx="3">
                  <c:v>0.17195587789568392</c:v>
                </c:pt>
                <c:pt idx="4">
                  <c:v>0.14811983044356916</c:v>
                </c:pt>
                <c:pt idx="5">
                  <c:v>0.12758754772605213</c:v>
                </c:pt>
                <c:pt idx="6">
                  <c:v>0.10990142652256553</c:v>
                </c:pt>
                <c:pt idx="7">
                  <c:v>9.4666946080952538E-2</c:v>
                </c:pt>
                <c:pt idx="8">
                  <c:v>8.1544261638210533E-2</c:v>
                </c:pt>
                <c:pt idx="9">
                  <c:v>7.0240637110958612E-2</c:v>
                </c:pt>
                <c:pt idx="10">
                  <c:v>6.0503915329341802E-2</c:v>
                </c:pt>
                <c:pt idx="11">
                  <c:v>5.2116893023013186E-2</c:v>
                </c:pt>
                <c:pt idx="12">
                  <c:v>4.4892475529678212E-2</c:v>
                </c:pt>
                <c:pt idx="13">
                  <c:v>3.8669503155010575E-2</c:v>
                </c:pt>
                <c:pt idx="14">
                  <c:v>3.3309156080439731E-2</c:v>
                </c:pt>
                <c:pt idx="15">
                  <c:v>2.8691857620811775E-2</c:v>
                </c:pt>
                <c:pt idx="16">
                  <c:v>2.4714606750915521E-2</c:v>
                </c:pt>
                <c:pt idx="17">
                  <c:v>2.1288680395839692E-2</c:v>
                </c:pt>
                <c:pt idx="18">
                  <c:v>1.8337654228684847E-2</c:v>
                </c:pt>
                <c:pt idx="19">
                  <c:v>1.5795697824300948E-2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8A-4BF7-8BCC-F65A86DE09A1}"/>
            </c:ext>
          </c:extLst>
        </c:ser>
        <c:ser>
          <c:idx val="2"/>
          <c:order val="2"/>
          <c:tx>
            <c:strRef>
              <c:f>'Active with Repair'!$E$6</c:f>
              <c:strCache>
                <c:ptCount val="1"/>
                <c:pt idx="0">
                  <c:v>P3(t)</c:v>
                </c:pt>
              </c:strCache>
            </c:strRef>
          </c:tx>
          <c:marker>
            <c:symbol val="none"/>
          </c:marker>
          <c:xVal>
            <c:numRef>
              <c:f>'Active with Repair'!$B$7:$B$26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'Active with Repair'!$E$7:$E$26</c:f>
              <c:numCache>
                <c:formatCode>0.00000</c:formatCode>
                <c:ptCount val="20"/>
                <c:pt idx="0">
                  <c:v>0.10010607166501122</c:v>
                </c:pt>
                <c:pt idx="1">
                  <c:v>0.22349875163689306</c:v>
                </c:pt>
                <c:pt idx="2">
                  <c:v>0.33108963142774928</c:v>
                </c:pt>
                <c:pt idx="3">
                  <c:v>0.42381199088399979</c:v>
                </c:pt>
                <c:pt idx="4">
                  <c:v>0.50368282468367842</c:v>
                </c:pt>
                <c:pt idx="5">
                  <c:v>0.57248205981329325</c:v>
                </c:pt>
                <c:pt idx="6">
                  <c:v>0.63174438154666335</c:v>
                </c:pt>
                <c:pt idx="7">
                  <c:v>0.68279179012237767</c:v>
                </c:pt>
                <c:pt idx="8">
                  <c:v>0.7267630326032537</c:v>
                </c:pt>
                <c:pt idx="9">
                  <c:v>0.76463900357134362</c:v>
                </c:pt>
                <c:pt idx="10">
                  <c:v>0.79726462649742846</c:v>
                </c:pt>
                <c:pt idx="11">
                  <c:v>0.82536770198588927</c:v>
                </c:pt>
                <c:pt idx="12">
                  <c:v>0.84957514328745221</c:v>
                </c:pt>
                <c:pt idx="13">
                  <c:v>0.87042696125339791</c:v>
                </c:pt>
                <c:pt idx="14">
                  <c:v>0.88838831070245616</c:v>
                </c:pt>
                <c:pt idx="15">
                  <c:v>0.90385986692638132</c:v>
                </c:pt>
                <c:pt idx="16">
                  <c:v>0.91718676380954567</c:v>
                </c:pt>
                <c:pt idx="17">
                  <c:v>0.92866629295088987</c:v>
                </c:pt>
                <c:pt idx="18">
                  <c:v>0.93855453553746282</c:v>
                </c:pt>
                <c:pt idx="19">
                  <c:v>0.94707207491098666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8A-4BF7-8BCC-F65A86DE09A1}"/>
            </c:ext>
          </c:extLst>
        </c:ser>
        <c:ser>
          <c:idx val="3"/>
          <c:order val="3"/>
          <c:tx>
            <c:strRef>
              <c:f>'Active with Repair'!$F$6</c:f>
              <c:strCache>
                <c:ptCount val="1"/>
                <c:pt idx="0">
                  <c:v>R(t)</c:v>
                </c:pt>
              </c:strCache>
            </c:strRef>
          </c:tx>
          <c:marker>
            <c:symbol val="none"/>
          </c:marker>
          <c:xVal>
            <c:numRef>
              <c:f>'Active with Repair'!$B$7:$B$26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'Active with Repair'!$F$7:$F$26</c:f>
              <c:numCache>
                <c:formatCode>0.00000</c:formatCode>
                <c:ptCount val="20"/>
                <c:pt idx="0">
                  <c:v>0.89989392833498882</c:v>
                </c:pt>
                <c:pt idx="1">
                  <c:v>0.77650124836310697</c:v>
                </c:pt>
                <c:pt idx="2">
                  <c:v>0.66891036857225072</c:v>
                </c:pt>
                <c:pt idx="3">
                  <c:v>0.57618800911600021</c:v>
                </c:pt>
                <c:pt idx="4">
                  <c:v>0.49631717531632158</c:v>
                </c:pt>
                <c:pt idx="5">
                  <c:v>0.42751794018670675</c:v>
                </c:pt>
                <c:pt idx="6">
                  <c:v>0.36825561845333665</c:v>
                </c:pt>
                <c:pt idx="7">
                  <c:v>0.31720820987762233</c:v>
                </c:pt>
                <c:pt idx="8">
                  <c:v>0.2732369673967463</c:v>
                </c:pt>
                <c:pt idx="9">
                  <c:v>0.23536099642865638</c:v>
                </c:pt>
                <c:pt idx="10">
                  <c:v>0.20273537350257154</c:v>
                </c:pt>
                <c:pt idx="11">
                  <c:v>0.17463229801411073</c:v>
                </c:pt>
                <c:pt idx="12">
                  <c:v>0.15042485671254779</c:v>
                </c:pt>
                <c:pt idx="13">
                  <c:v>0.12957303874660209</c:v>
                </c:pt>
                <c:pt idx="14">
                  <c:v>0.11161168929754384</c:v>
                </c:pt>
                <c:pt idx="15">
                  <c:v>9.6140133073618683E-2</c:v>
                </c:pt>
                <c:pt idx="16">
                  <c:v>8.2813236190454331E-2</c:v>
                </c:pt>
                <c:pt idx="17">
                  <c:v>7.1333707049110129E-2</c:v>
                </c:pt>
                <c:pt idx="18">
                  <c:v>6.144546446253718E-2</c:v>
                </c:pt>
                <c:pt idx="19">
                  <c:v>5.2927925089013339E-2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8A-4BF7-8BCC-F65A86DE0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158552"/>
        <c:axId val="1"/>
      </c:scatterChart>
      <c:valAx>
        <c:axId val="290158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0158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629911403433133"/>
          <c:y val="0.32326331674748154"/>
          <c:w val="0.14234878536754578"/>
          <c:h val="0.34441138419825129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'Standby with repair'!$C$7</c:f>
              <c:strCache>
                <c:ptCount val="1"/>
                <c:pt idx="0">
                  <c:v>P1(t)</c:v>
                </c:pt>
              </c:strCache>
            </c:strRef>
          </c:tx>
          <c:marker>
            <c:symbol val="none"/>
          </c:marker>
          <c:xVal>
            <c:numRef>
              <c:f>'Standby with repair'!$B$8:$B$27</c:f>
              <c:numCache>
                <c:formatCode>General</c:formatCode>
                <c:ptCount val="2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</c:numCache>
            </c:numRef>
          </c:xVal>
          <c:yVal>
            <c:numRef>
              <c:f>'Standby with repair'!$C$8:$C$27</c:f>
              <c:numCache>
                <c:formatCode>0.00000</c:formatCode>
                <c:ptCount val="20"/>
                <c:pt idx="0">
                  <c:v>0.93049211822261146</c:v>
                </c:pt>
                <c:pt idx="1">
                  <c:v>0.84632680200570642</c:v>
                </c:pt>
                <c:pt idx="2">
                  <c:v>0.75174377307169293</c:v>
                </c:pt>
                <c:pt idx="3">
                  <c:v>0.667731069148221</c:v>
                </c:pt>
                <c:pt idx="4">
                  <c:v>0.59310738136743368</c:v>
                </c:pt>
                <c:pt idx="5">
                  <c:v>0.52682342051459685</c:v>
                </c:pt>
                <c:pt idx="6">
                  <c:v>0.46794716289453847</c:v>
                </c:pt>
                <c:pt idx="7">
                  <c:v>0.41565074507726935</c:v>
                </c:pt>
                <c:pt idx="8">
                  <c:v>0.36919882324882353</c:v>
                </c:pt>
                <c:pt idx="9">
                  <c:v>0.32793823348729106</c:v>
                </c:pt>
                <c:pt idx="10">
                  <c:v>0.29128880757641384</c:v>
                </c:pt>
                <c:pt idx="11">
                  <c:v>0.25873521521721965</c:v>
                </c:pt>
                <c:pt idx="12">
                  <c:v>0.22981971793042399</c:v>
                </c:pt>
                <c:pt idx="13">
                  <c:v>0.2041357327616859</c:v>
                </c:pt>
                <c:pt idx="14">
                  <c:v>0.18132211528849804</c:v>
                </c:pt>
                <c:pt idx="15">
                  <c:v>0.16105808154164653</c:v>
                </c:pt>
                <c:pt idx="16">
                  <c:v>0.14305869743800151</c:v>
                </c:pt>
                <c:pt idx="17">
                  <c:v>0.12707087230121761</c:v>
                </c:pt>
                <c:pt idx="18">
                  <c:v>0.11286980013494188</c:v>
                </c:pt>
                <c:pt idx="19">
                  <c:v>0.10025579860900703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1B-4534-A1A0-65C44A099D62}"/>
            </c:ext>
          </c:extLst>
        </c:ser>
        <c:ser>
          <c:idx val="1"/>
          <c:order val="1"/>
          <c:tx>
            <c:strRef>
              <c:f>'Standby with repair'!$D$7</c:f>
              <c:strCache>
                <c:ptCount val="1"/>
                <c:pt idx="0">
                  <c:v>P2(t)</c:v>
                </c:pt>
              </c:strCache>
            </c:strRef>
          </c:tx>
          <c:marker>
            <c:symbol val="none"/>
          </c:marker>
          <c:xVal>
            <c:numRef>
              <c:f>'Standby with repair'!$B$8:$B$27</c:f>
              <c:numCache>
                <c:formatCode>General</c:formatCode>
                <c:ptCount val="2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</c:numCache>
            </c:numRef>
          </c:xVal>
          <c:yVal>
            <c:numRef>
              <c:f>'Standby with repair'!$D$8:$D$27</c:f>
              <c:numCache>
                <c:formatCode>0.00000</c:formatCode>
                <c:ptCount val="20"/>
                <c:pt idx="0">
                  <c:v>4.6304060600019951E-2</c:v>
                </c:pt>
                <c:pt idx="1">
                  <c:v>4.2115743658688219E-2</c:v>
                </c:pt>
                <c:pt idx="2">
                  <c:v>3.7409010288544584E-2</c:v>
                </c:pt>
                <c:pt idx="3">
                  <c:v>3.3228287789707357E-2</c:v>
                </c:pt>
                <c:pt idx="4">
                  <c:v>2.9514790712699471E-2</c:v>
                </c:pt>
                <c:pt idx="5">
                  <c:v>2.6216303299391983E-2</c:v>
                </c:pt>
                <c:pt idx="6">
                  <c:v>2.3286445273351886E-2</c:v>
                </c:pt>
                <c:pt idx="7">
                  <c:v>2.0684019683331507E-2</c:v>
                </c:pt>
                <c:pt idx="8">
                  <c:v>1.837243362987806E-2</c:v>
                </c:pt>
                <c:pt idx="9">
                  <c:v>1.6319183729857429E-2</c:v>
                </c:pt>
                <c:pt idx="10">
                  <c:v>1.4495399083970505E-2</c:v>
                </c:pt>
                <c:pt idx="11">
                  <c:v>1.2875435320894487E-2</c:v>
                </c:pt>
                <c:pt idx="12">
                  <c:v>1.1436514009873585E-2</c:v>
                </c:pt>
                <c:pt idx="13">
                  <c:v>1.015840237151284E-2</c:v>
                </c:pt>
                <c:pt idx="14">
                  <c:v>9.0231287831647865E-3</c:v>
                </c:pt>
                <c:pt idx="15">
                  <c:v>8.0147300786089885E-3</c:v>
                </c:pt>
                <c:pt idx="16">
                  <c:v>7.1190270887865423E-3</c:v>
                </c:pt>
                <c:pt idx="17">
                  <c:v>6.3234252674511209E-3</c:v>
                </c:pt>
                <c:pt idx="18">
                  <c:v>5.6167375983190637E-3</c:v>
                </c:pt>
                <c:pt idx="19">
                  <c:v>4.9890272936027628E-3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1B-4534-A1A0-65C44A099D62}"/>
            </c:ext>
          </c:extLst>
        </c:ser>
        <c:ser>
          <c:idx val="2"/>
          <c:order val="2"/>
          <c:tx>
            <c:strRef>
              <c:f>'Standby with repair'!$E$7</c:f>
              <c:strCache>
                <c:ptCount val="1"/>
                <c:pt idx="0">
                  <c:v>P4(t)</c:v>
                </c:pt>
              </c:strCache>
            </c:strRef>
          </c:tx>
          <c:marker>
            <c:symbol val="none"/>
          </c:marker>
          <c:xVal>
            <c:numRef>
              <c:f>'Standby with repair'!$B$8:$B$27</c:f>
              <c:numCache>
                <c:formatCode>General</c:formatCode>
                <c:ptCount val="2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</c:numCache>
            </c:numRef>
          </c:xVal>
          <c:yVal>
            <c:numRef>
              <c:f>'Standby with repair'!$E$8:$E$27</c:f>
              <c:numCache>
                <c:formatCode>0.00000</c:formatCode>
                <c:ptCount val="20"/>
                <c:pt idx="0">
                  <c:v>2.3203821177368585E-2</c:v>
                </c:pt>
                <c:pt idx="1">
                  <c:v>0.11155745433560535</c:v>
                </c:pt>
                <c:pt idx="2">
                  <c:v>0.21084721663976247</c:v>
                </c:pt>
                <c:pt idx="3">
                  <c:v>0.29904064306207162</c:v>
                </c:pt>
                <c:pt idx="4">
                  <c:v>0.37737782791986685</c:v>
                </c:pt>
                <c:pt idx="5">
                  <c:v>0.44696027618601114</c:v>
                </c:pt>
                <c:pt idx="6">
                  <c:v>0.5087663918321097</c:v>
                </c:pt>
                <c:pt idx="7">
                  <c:v>0.56366523523939915</c:v>
                </c:pt>
                <c:pt idx="8">
                  <c:v>0.61242874312129847</c:v>
                </c:pt>
                <c:pt idx="9">
                  <c:v>0.65574258278285147</c:v>
                </c:pt>
                <c:pt idx="10">
                  <c:v>0.69421579333961569</c:v>
                </c:pt>
                <c:pt idx="11">
                  <c:v>0.72838934946188583</c:v>
                </c:pt>
                <c:pt idx="12">
                  <c:v>0.75874376805970245</c:v>
                </c:pt>
                <c:pt idx="13">
                  <c:v>0.78570586486680116</c:v>
                </c:pt>
                <c:pt idx="14">
                  <c:v>0.80965475592833713</c:v>
                </c:pt>
                <c:pt idx="15">
                  <c:v>0.83092718837974455</c:v>
                </c:pt>
                <c:pt idx="16">
                  <c:v>0.84982227547321199</c:v>
                </c:pt>
                <c:pt idx="17">
                  <c:v>0.86660570243133128</c:v>
                </c:pt>
                <c:pt idx="18">
                  <c:v>0.8815134622667391</c:v>
                </c:pt>
                <c:pt idx="19">
                  <c:v>0.89475517409739025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1B-4534-A1A0-65C44A099D62}"/>
            </c:ext>
          </c:extLst>
        </c:ser>
        <c:ser>
          <c:idx val="3"/>
          <c:order val="3"/>
          <c:tx>
            <c:strRef>
              <c:f>'Standby with repair'!$F$7</c:f>
              <c:strCache>
                <c:ptCount val="1"/>
                <c:pt idx="0">
                  <c:v>R(t)</c:v>
                </c:pt>
              </c:strCache>
            </c:strRef>
          </c:tx>
          <c:marker>
            <c:symbol val="none"/>
          </c:marker>
          <c:xVal>
            <c:numRef>
              <c:f>'Standby with repair'!$B$8:$B$27</c:f>
              <c:numCache>
                <c:formatCode>General</c:formatCode>
                <c:ptCount val="2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</c:numCache>
            </c:numRef>
          </c:xVal>
          <c:yVal>
            <c:numRef>
              <c:f>'Standby with repair'!$F$8:$F$27</c:f>
              <c:numCache>
                <c:formatCode>0.00000</c:formatCode>
                <c:ptCount val="20"/>
                <c:pt idx="0">
                  <c:v>0.97679617882263137</c:v>
                </c:pt>
                <c:pt idx="1">
                  <c:v>0.88844254566439462</c:v>
                </c:pt>
                <c:pt idx="2">
                  <c:v>0.78915278336023753</c:v>
                </c:pt>
                <c:pt idx="3">
                  <c:v>0.70095935693792832</c:v>
                </c:pt>
                <c:pt idx="4">
                  <c:v>0.62262217208013315</c:v>
                </c:pt>
                <c:pt idx="5">
                  <c:v>0.5530397238139888</c:v>
                </c:pt>
                <c:pt idx="6">
                  <c:v>0.49123360816789036</c:v>
                </c:pt>
                <c:pt idx="7">
                  <c:v>0.43633476476060085</c:v>
                </c:pt>
                <c:pt idx="8">
                  <c:v>0.38757125687870159</c:v>
                </c:pt>
                <c:pt idx="9">
                  <c:v>0.34425741721714848</c:v>
                </c:pt>
                <c:pt idx="10">
                  <c:v>0.30578420666038436</c:v>
                </c:pt>
                <c:pt idx="11">
                  <c:v>0.27161065053811412</c:v>
                </c:pt>
                <c:pt idx="12">
                  <c:v>0.24125623194029758</c:v>
                </c:pt>
                <c:pt idx="13">
                  <c:v>0.21429413513319873</c:v>
                </c:pt>
                <c:pt idx="14">
                  <c:v>0.19034524407166281</c:v>
                </c:pt>
                <c:pt idx="15">
                  <c:v>0.1690728116202555</c:v>
                </c:pt>
                <c:pt idx="16">
                  <c:v>0.15017772452678804</c:v>
                </c:pt>
                <c:pt idx="17">
                  <c:v>0.13339429756866872</c:v>
                </c:pt>
                <c:pt idx="18">
                  <c:v>0.11848653773326094</c:v>
                </c:pt>
                <c:pt idx="19">
                  <c:v>0.10524482590260979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1B-4534-A1A0-65C44A099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942568"/>
        <c:axId val="1"/>
      </c:scatterChart>
      <c:valAx>
        <c:axId val="290942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09425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577251401280373"/>
          <c:y val="0.3414639794392233"/>
          <c:w val="0.13267019827651827"/>
          <c:h val="0.30894360044501151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30</xdr:row>
      <xdr:rowOff>30480</xdr:rowOff>
    </xdr:from>
    <xdr:to>
      <xdr:col>16</xdr:col>
      <xdr:colOff>571500</xdr:colOff>
      <xdr:row>46</xdr:row>
      <xdr:rowOff>0</xdr:rowOff>
    </xdr:to>
    <xdr:graphicFrame macro="">
      <xdr:nvGraphicFramePr>
        <xdr:cNvPr id="1081" name="Chart 2">
          <a:extLst>
            <a:ext uri="{FF2B5EF4-FFF2-40B4-BE49-F238E27FC236}">
              <a16:creationId xmlns:a16="http://schemas.microsoft.com/office/drawing/2014/main" id="{C9376091-8494-402A-9873-B2B58DBE2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</xdr:row>
      <xdr:rowOff>30480</xdr:rowOff>
    </xdr:from>
    <xdr:to>
      <xdr:col>16</xdr:col>
      <xdr:colOff>571500</xdr:colOff>
      <xdr:row>15</xdr:row>
      <xdr:rowOff>106680</xdr:rowOff>
    </xdr:to>
    <xdr:graphicFrame macro="">
      <xdr:nvGraphicFramePr>
        <xdr:cNvPr id="1082" name="Chart 2">
          <a:extLst>
            <a:ext uri="{FF2B5EF4-FFF2-40B4-BE49-F238E27FC236}">
              <a16:creationId xmlns:a16="http://schemas.microsoft.com/office/drawing/2014/main" id="{AF4649D8-0696-49F4-B9DB-06AEF9792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15</xdr:row>
      <xdr:rowOff>129540</xdr:rowOff>
    </xdr:from>
    <xdr:to>
      <xdr:col>16</xdr:col>
      <xdr:colOff>571500</xdr:colOff>
      <xdr:row>30</xdr:row>
      <xdr:rowOff>30480</xdr:rowOff>
    </xdr:to>
    <xdr:graphicFrame macro="">
      <xdr:nvGraphicFramePr>
        <xdr:cNvPr id="1083" name="Chart 3">
          <a:extLst>
            <a:ext uri="{FF2B5EF4-FFF2-40B4-BE49-F238E27FC236}">
              <a16:creationId xmlns:a16="http://schemas.microsoft.com/office/drawing/2014/main" id="{E7D78BB5-178E-4405-9501-31CAC63C3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17</xdr:row>
          <xdr:rowOff>38100</xdr:rowOff>
        </xdr:from>
        <xdr:to>
          <xdr:col>7</xdr:col>
          <xdr:colOff>556260</xdr:colOff>
          <xdr:row>19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9B9F94F-4C30-4A36-BEE9-DEC080639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60960</xdr:colOff>
          <xdr:row>28</xdr:row>
          <xdr:rowOff>167640</xdr:rowOff>
        </xdr:from>
        <xdr:to>
          <xdr:col>8</xdr:col>
          <xdr:colOff>563880</xdr:colOff>
          <xdr:row>31</xdr:row>
          <xdr:rowOff>182880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EB65A8C-E32F-4DDE-A8AB-CF5170C28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22860</xdr:rowOff>
    </xdr:from>
    <xdr:to>
      <xdr:col>10</xdr:col>
      <xdr:colOff>106680</xdr:colOff>
      <xdr:row>24</xdr:row>
      <xdr:rowOff>7620</xdr:rowOff>
    </xdr:to>
    <xdr:graphicFrame macro="">
      <xdr:nvGraphicFramePr>
        <xdr:cNvPr id="57354" name="Chart 1">
          <a:extLst>
            <a:ext uri="{FF2B5EF4-FFF2-40B4-BE49-F238E27FC236}">
              <a16:creationId xmlns:a16="http://schemas.microsoft.com/office/drawing/2014/main" id="{EBFD7EA9-4F97-4E14-A9B5-B0036EEF1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7620</xdr:rowOff>
    </xdr:from>
    <xdr:to>
      <xdr:col>16</xdr:col>
      <xdr:colOff>327660</xdr:colOff>
      <xdr:row>14</xdr:row>
      <xdr:rowOff>0</xdr:rowOff>
    </xdr:to>
    <xdr:graphicFrame macro="">
      <xdr:nvGraphicFramePr>
        <xdr:cNvPr id="10286" name="Chart 1">
          <a:extLst>
            <a:ext uri="{FF2B5EF4-FFF2-40B4-BE49-F238E27FC236}">
              <a16:creationId xmlns:a16="http://schemas.microsoft.com/office/drawing/2014/main" id="{8A97F3C8-30D9-48FA-978B-0CCB5A28E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22860</xdr:rowOff>
    </xdr:from>
    <xdr:to>
      <xdr:col>16</xdr:col>
      <xdr:colOff>327660</xdr:colOff>
      <xdr:row>28</xdr:row>
      <xdr:rowOff>22860</xdr:rowOff>
    </xdr:to>
    <xdr:graphicFrame macro="">
      <xdr:nvGraphicFramePr>
        <xdr:cNvPr id="10287" name="Chart 2">
          <a:extLst>
            <a:ext uri="{FF2B5EF4-FFF2-40B4-BE49-F238E27FC236}">
              <a16:creationId xmlns:a16="http://schemas.microsoft.com/office/drawing/2014/main" id="{E761667C-1569-4830-BB5B-179C1CA78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28</xdr:row>
      <xdr:rowOff>22860</xdr:rowOff>
    </xdr:from>
    <xdr:to>
      <xdr:col>16</xdr:col>
      <xdr:colOff>327660</xdr:colOff>
      <xdr:row>43</xdr:row>
      <xdr:rowOff>0</xdr:rowOff>
    </xdr:to>
    <xdr:graphicFrame macro="">
      <xdr:nvGraphicFramePr>
        <xdr:cNvPr id="10288" name="Chart 3">
          <a:extLst>
            <a:ext uri="{FF2B5EF4-FFF2-40B4-BE49-F238E27FC236}">
              <a16:creationId xmlns:a16="http://schemas.microsoft.com/office/drawing/2014/main" id="{AFA2ECD6-2274-40F1-8181-DAA88E8EB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0.76384</cdr:x>
      <cdr:y>0.15231</cdr:y>
    </cdr:from>
    <cdr:to>
      <cdr:x>0.99522</cdr:x>
      <cdr:y>0.53341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48000" y="3524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Weibull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0.8025</cdr:x>
      <cdr:y>0.22525</cdr:y>
    </cdr:from>
    <cdr:to>
      <cdr:x>0.80274</cdr:x>
      <cdr:y>0.21879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90875" y="4476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Normal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0.80225</cdr:x>
      <cdr:y>0.20875</cdr:y>
    </cdr:from>
    <cdr:to>
      <cdr:x>0.80249</cdr:x>
      <cdr:y>0.20539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81350" y="4381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Lognormal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45720</xdr:rowOff>
    </xdr:from>
    <xdr:to>
      <xdr:col>14</xdr:col>
      <xdr:colOff>541020</xdr:colOff>
      <xdr:row>16</xdr:row>
      <xdr:rowOff>0</xdr:rowOff>
    </xdr:to>
    <xdr:graphicFrame macro="">
      <xdr:nvGraphicFramePr>
        <xdr:cNvPr id="30734" name="Chart 1">
          <a:extLst>
            <a:ext uri="{FF2B5EF4-FFF2-40B4-BE49-F238E27FC236}">
              <a16:creationId xmlns:a16="http://schemas.microsoft.com/office/drawing/2014/main" id="{4FFA9059-FBE8-4FDF-A622-1C69A94B3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121920</xdr:rowOff>
    </xdr:from>
    <xdr:to>
      <xdr:col>15</xdr:col>
      <xdr:colOff>228600</xdr:colOff>
      <xdr:row>17</xdr:row>
      <xdr:rowOff>160020</xdr:rowOff>
    </xdr:to>
    <xdr:graphicFrame macro="">
      <xdr:nvGraphicFramePr>
        <xdr:cNvPr id="39948" name="Chart 2">
          <a:extLst>
            <a:ext uri="{FF2B5EF4-FFF2-40B4-BE49-F238E27FC236}">
              <a16:creationId xmlns:a16="http://schemas.microsoft.com/office/drawing/2014/main" id="{2F6C92B2-1B05-444F-AC29-9CE404B6E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zoomScale="85" zoomScaleNormal="85" workbookViewId="0">
      <selection activeCell="C4" sqref="C4"/>
    </sheetView>
  </sheetViews>
  <sheetFormatPr defaultRowHeight="13.2" x14ac:dyDescent="0.25"/>
  <cols>
    <col min="2" max="2" width="10" customWidth="1"/>
    <col min="3" max="3" width="10.44140625" customWidth="1"/>
    <col min="4" max="4" width="11.109375" customWidth="1"/>
    <col min="5" max="5" width="6.88671875" customWidth="1"/>
    <col min="6" max="6" width="10.44140625" customWidth="1"/>
    <col min="7" max="7" width="11" customWidth="1"/>
    <col min="8" max="8" width="8.109375" customWidth="1"/>
    <col min="9" max="9" width="10.109375" customWidth="1"/>
    <col min="10" max="10" width="12.88671875" customWidth="1"/>
    <col min="11" max="11" width="7.6640625" customWidth="1"/>
    <col min="12" max="12" width="3.6640625" style="2" customWidth="1"/>
  </cols>
  <sheetData>
    <row r="1" spans="2:14" ht="16.2" thickBot="1" x14ac:dyDescent="0.35">
      <c r="B1" s="202" t="s">
        <v>65</v>
      </c>
      <c r="C1" s="200"/>
      <c r="D1" s="200"/>
      <c r="E1" s="203"/>
      <c r="F1" s="107" t="s">
        <v>74</v>
      </c>
      <c r="G1" s="50"/>
      <c r="H1" s="51"/>
      <c r="I1" s="52"/>
      <c r="J1" s="52"/>
      <c r="K1" s="205"/>
    </row>
    <row r="2" spans="2:14" x14ac:dyDescent="0.25">
      <c r="B2" s="204"/>
      <c r="C2" s="204"/>
      <c r="D2" s="205"/>
      <c r="E2" s="204"/>
      <c r="F2" s="205"/>
      <c r="G2" s="204"/>
      <c r="H2" s="204"/>
      <c r="I2" s="204"/>
      <c r="J2" s="204"/>
      <c r="K2" s="205"/>
    </row>
    <row r="3" spans="2:14" ht="13.8" x14ac:dyDescent="0.25">
      <c r="B3" s="206" t="s">
        <v>73</v>
      </c>
      <c r="C3" s="207"/>
      <c r="D3" s="207"/>
      <c r="E3" s="207"/>
      <c r="F3" s="206" t="s">
        <v>71</v>
      </c>
      <c r="G3" s="207"/>
      <c r="H3" s="208"/>
      <c r="I3" s="206" t="s">
        <v>72</v>
      </c>
      <c r="J3" s="207"/>
      <c r="K3" s="208"/>
    </row>
    <row r="4" spans="2:14" ht="15.6" thickBot="1" x14ac:dyDescent="0.3">
      <c r="B4" s="105" t="s">
        <v>55</v>
      </c>
      <c r="C4" s="98">
        <v>5</v>
      </c>
      <c r="D4" s="209"/>
      <c r="E4" s="209"/>
      <c r="F4" s="210" t="s">
        <v>63</v>
      </c>
      <c r="G4" s="205"/>
      <c r="H4" s="205"/>
      <c r="I4" s="101" t="s">
        <v>67</v>
      </c>
      <c r="J4" s="98">
        <v>1.5</v>
      </c>
      <c r="K4" s="205"/>
    </row>
    <row r="5" spans="2:14" ht="15.6" thickBot="1" x14ac:dyDescent="0.3">
      <c r="B5" s="106" t="s">
        <v>56</v>
      </c>
      <c r="C5" s="99">
        <v>1</v>
      </c>
      <c r="D5" s="112" t="s">
        <v>61</v>
      </c>
      <c r="E5" s="209"/>
      <c r="F5" s="104" t="s">
        <v>55</v>
      </c>
      <c r="G5" s="98">
        <v>10</v>
      </c>
      <c r="H5" s="205"/>
      <c r="I5" s="102" t="s">
        <v>66</v>
      </c>
      <c r="J5" s="99">
        <v>3</v>
      </c>
      <c r="K5" s="205"/>
    </row>
    <row r="6" spans="2:14" ht="15.6" thickBot="1" x14ac:dyDescent="0.3">
      <c r="B6" s="103" t="s">
        <v>57</v>
      </c>
      <c r="C6" s="100">
        <v>12</v>
      </c>
      <c r="D6" s="113">
        <f>SUM(M9:M32)</f>
        <v>1.9630143291012292</v>
      </c>
      <c r="E6" s="205"/>
      <c r="F6" s="103" t="s">
        <v>62</v>
      </c>
      <c r="G6" s="100">
        <v>50</v>
      </c>
      <c r="H6" s="114" t="s">
        <v>61</v>
      </c>
      <c r="I6" s="103" t="s">
        <v>62</v>
      </c>
      <c r="J6" s="100">
        <v>10</v>
      </c>
      <c r="K6" s="112" t="s">
        <v>61</v>
      </c>
      <c r="L6" s="38"/>
      <c r="M6" s="37" t="s">
        <v>70</v>
      </c>
    </row>
    <row r="7" spans="2:14" ht="15.6" thickBot="1" x14ac:dyDescent="0.3">
      <c r="B7" s="110" t="s">
        <v>59</v>
      </c>
      <c r="C7" s="111" t="s">
        <v>60</v>
      </c>
      <c r="D7" s="111" t="s">
        <v>58</v>
      </c>
      <c r="E7" s="205"/>
      <c r="F7" s="111" t="s">
        <v>60</v>
      </c>
      <c r="G7" s="111" t="s">
        <v>58</v>
      </c>
      <c r="H7" s="115">
        <f>G6/G5</f>
        <v>5</v>
      </c>
      <c r="I7" s="111" t="s">
        <v>60</v>
      </c>
      <c r="J7" s="111" t="s">
        <v>58</v>
      </c>
      <c r="K7" s="116">
        <f>SUM(N9:N32)</f>
        <v>2.0559008341511777</v>
      </c>
      <c r="L7" s="39"/>
      <c r="M7" s="37" t="s">
        <v>68</v>
      </c>
      <c r="N7" s="37" t="s">
        <v>69</v>
      </c>
    </row>
    <row r="8" spans="2:14" x14ac:dyDescent="0.25">
      <c r="B8" s="108">
        <v>0</v>
      </c>
      <c r="C8" s="1" t="s">
        <v>64</v>
      </c>
      <c r="D8">
        <f>C9</f>
        <v>1.2798651027878805E-12</v>
      </c>
      <c r="E8" s="205"/>
      <c r="F8" s="31" t="s">
        <v>64</v>
      </c>
      <c r="G8" s="32">
        <f t="shared" ref="G8:G33" si="0">POISSON(B8,$G$6/$G$5,FALSE)</f>
        <v>6.737946999085467E-3</v>
      </c>
      <c r="H8" s="205"/>
      <c r="I8" s="31" t="s">
        <v>64</v>
      </c>
      <c r="J8">
        <f>I9</f>
        <v>8.3316305511201838E-2</v>
      </c>
      <c r="K8" s="213"/>
      <c r="L8" s="40"/>
      <c r="M8" s="37" t="s">
        <v>61</v>
      </c>
      <c r="N8" s="37" t="s">
        <v>61</v>
      </c>
    </row>
    <row r="9" spans="2:14" x14ac:dyDescent="0.25">
      <c r="B9" s="108">
        <v>1</v>
      </c>
      <c r="C9">
        <f t="shared" ref="C9:C33" si="1">1-NORMDIST($C$6,B9*$C$4,SQRT(B9)*$C$5,TRUE)</f>
        <v>1.2798651027878805E-12</v>
      </c>
      <c r="D9" s="27">
        <f>C10-C9</f>
        <v>7.8649603523862743E-2</v>
      </c>
      <c r="E9" s="205"/>
      <c r="F9" s="33">
        <f>G8</f>
        <v>6.737946999085467E-3</v>
      </c>
      <c r="G9" s="32">
        <f t="shared" si="0"/>
        <v>3.368973499542733E-2</v>
      </c>
      <c r="H9" s="205"/>
      <c r="I9">
        <f t="shared" ref="I9:I33" si="2">1-GAMMADIST($J$6,B9*$J$4,$J$5,TRUE)</f>
        <v>8.3316305511201838E-2</v>
      </c>
      <c r="J9" s="36">
        <f>I10-I9</f>
        <v>0.26945985092273861</v>
      </c>
      <c r="K9" s="213"/>
      <c r="L9" s="40"/>
      <c r="M9">
        <f t="shared" ref="M9:M32" si="3">B9*D9</f>
        <v>7.8649603523862743E-2</v>
      </c>
      <c r="N9">
        <f>B9*J9</f>
        <v>0.26945985092273861</v>
      </c>
    </row>
    <row r="10" spans="2:14" x14ac:dyDescent="0.25">
      <c r="B10" s="108">
        <v>2</v>
      </c>
      <c r="C10">
        <f t="shared" si="1"/>
        <v>7.8649603525142608E-2</v>
      </c>
      <c r="D10" s="27">
        <f t="shared" ref="D10:D32" si="4">C11-C10</f>
        <v>0.8797181381430822</v>
      </c>
      <c r="E10" s="205"/>
      <c r="F10" s="33">
        <f t="shared" ref="F10:F33" si="5">POISSON(B9,$H$7,TRUE)</f>
        <v>4.0427681994512799E-2</v>
      </c>
      <c r="G10" s="32">
        <f t="shared" si="0"/>
        <v>8.4224337488568335E-2</v>
      </c>
      <c r="H10" s="205"/>
      <c r="I10">
        <f t="shared" si="2"/>
        <v>0.35277615643394045</v>
      </c>
      <c r="J10" s="36">
        <f t="shared" ref="J10:J32" si="6">I11-I10</f>
        <v>0.31900286646124587</v>
      </c>
      <c r="K10" s="213"/>
      <c r="L10" s="40"/>
      <c r="M10">
        <f t="shared" si="3"/>
        <v>1.7594362762861644</v>
      </c>
      <c r="N10">
        <f t="shared" ref="N10:N32" si="7">B10*J10</f>
        <v>0.63800573292249174</v>
      </c>
    </row>
    <row r="11" spans="2:14" x14ac:dyDescent="0.25">
      <c r="B11" s="108">
        <v>3</v>
      </c>
      <c r="C11">
        <f t="shared" si="1"/>
        <v>0.9583677416682248</v>
      </c>
      <c r="D11" s="27">
        <f t="shared" si="4"/>
        <v>4.1600587089942076E-2</v>
      </c>
      <c r="E11" s="205"/>
      <c r="F11" s="33">
        <f t="shared" si="5"/>
        <v>0.12465201948308113</v>
      </c>
      <c r="G11" s="32">
        <f t="shared" si="0"/>
        <v>0.14037389581428059</v>
      </c>
      <c r="H11" s="205"/>
      <c r="I11">
        <f t="shared" si="2"/>
        <v>0.67177902289518632</v>
      </c>
      <c r="J11" s="36">
        <f t="shared" si="6"/>
        <v>0.20705396273349097</v>
      </c>
      <c r="K11" s="213"/>
      <c r="L11" s="40"/>
      <c r="M11">
        <f t="shared" si="3"/>
        <v>0.12480176126982623</v>
      </c>
      <c r="N11">
        <f t="shared" si="7"/>
        <v>0.62116188820047291</v>
      </c>
    </row>
    <row r="12" spans="2:14" x14ac:dyDescent="0.25">
      <c r="B12" s="108">
        <v>4</v>
      </c>
      <c r="C12">
        <f t="shared" si="1"/>
        <v>0.99996832875816688</v>
      </c>
      <c r="D12" s="27">
        <f t="shared" si="4"/>
        <v>3.1668187889910548E-5</v>
      </c>
      <c r="E12" s="205"/>
      <c r="F12" s="33">
        <f t="shared" si="5"/>
        <v>0.26502591529736169</v>
      </c>
      <c r="G12" s="32">
        <f t="shared" si="0"/>
        <v>0.17546736976785074</v>
      </c>
      <c r="H12" s="205"/>
      <c r="I12">
        <f t="shared" si="2"/>
        <v>0.87883298562867729</v>
      </c>
      <c r="J12" s="36">
        <f t="shared" si="6"/>
        <v>8.7415264607512366E-2</v>
      </c>
      <c r="K12" s="213"/>
      <c r="L12" s="40"/>
      <c r="M12">
        <f t="shared" si="3"/>
        <v>1.2667275155964219E-4</v>
      </c>
      <c r="N12">
        <f t="shared" si="7"/>
        <v>0.34966105843004947</v>
      </c>
    </row>
    <row r="13" spans="2:14" x14ac:dyDescent="0.25">
      <c r="B13" s="108">
        <v>5</v>
      </c>
      <c r="C13">
        <f t="shared" si="1"/>
        <v>0.99999999694605679</v>
      </c>
      <c r="D13" s="27">
        <f t="shared" si="4"/>
        <v>3.0538429562909641E-9</v>
      </c>
      <c r="E13" s="205"/>
      <c r="F13" s="33">
        <f t="shared" si="5"/>
        <v>0.44049328506521235</v>
      </c>
      <c r="G13" s="32">
        <f t="shared" si="0"/>
        <v>0.17546736976785071</v>
      </c>
      <c r="H13" s="205"/>
      <c r="I13">
        <f t="shared" si="2"/>
        <v>0.96624825023618965</v>
      </c>
      <c r="J13" s="36">
        <f t="shared" si="6"/>
        <v>2.6400812419772768E-2</v>
      </c>
      <c r="K13" s="213"/>
      <c r="L13" s="40"/>
      <c r="M13">
        <f t="shared" si="3"/>
        <v>1.5269214781454821E-8</v>
      </c>
      <c r="N13">
        <f t="shared" si="7"/>
        <v>0.13200406209886384</v>
      </c>
    </row>
    <row r="14" spans="2:14" x14ac:dyDescent="0.25">
      <c r="B14" s="108">
        <v>6</v>
      </c>
      <c r="C14">
        <f t="shared" si="1"/>
        <v>0.99999999999989975</v>
      </c>
      <c r="D14" s="27">
        <f t="shared" si="4"/>
        <v>1.0025313912365164E-13</v>
      </c>
      <c r="E14" s="205"/>
      <c r="F14" s="33">
        <f t="shared" si="5"/>
        <v>0.61596065483306306</v>
      </c>
      <c r="G14" s="32">
        <f t="shared" si="0"/>
        <v>0.14622280813987559</v>
      </c>
      <c r="H14" s="205"/>
      <c r="I14">
        <f t="shared" si="2"/>
        <v>0.99264906265596242</v>
      </c>
      <c r="J14" s="36">
        <f t="shared" si="6"/>
        <v>6.060818692636416E-3</v>
      </c>
      <c r="K14" s="213"/>
      <c r="L14" s="40"/>
      <c r="M14">
        <f t="shared" si="3"/>
        <v>6.0151883474190981E-13</v>
      </c>
      <c r="N14">
        <f t="shared" si="7"/>
        <v>3.6364912155818496E-2</v>
      </c>
    </row>
    <row r="15" spans="2:14" x14ac:dyDescent="0.25">
      <c r="B15" s="108">
        <v>7</v>
      </c>
      <c r="C15">
        <f t="shared" si="1"/>
        <v>1</v>
      </c>
      <c r="D15" s="27">
        <f t="shared" si="4"/>
        <v>0</v>
      </c>
      <c r="E15" s="205"/>
      <c r="F15" s="33">
        <f t="shared" si="5"/>
        <v>0.7621834629729386</v>
      </c>
      <c r="G15" s="32">
        <f t="shared" si="0"/>
        <v>0.104444862957054</v>
      </c>
      <c r="H15" s="205"/>
      <c r="I15">
        <f t="shared" si="2"/>
        <v>0.99870988134859884</v>
      </c>
      <c r="J15" s="36">
        <f t="shared" si="6"/>
        <v>1.103098404380165E-3</v>
      </c>
      <c r="K15" s="213"/>
      <c r="L15" s="40"/>
      <c r="M15">
        <f t="shared" si="3"/>
        <v>0</v>
      </c>
      <c r="N15">
        <f t="shared" si="7"/>
        <v>7.7216888306611553E-3</v>
      </c>
    </row>
    <row r="16" spans="2:14" x14ac:dyDescent="0.25">
      <c r="B16" s="108">
        <v>8</v>
      </c>
      <c r="C16">
        <f t="shared" si="1"/>
        <v>1</v>
      </c>
      <c r="D16" s="27">
        <f t="shared" si="4"/>
        <v>0</v>
      </c>
      <c r="E16" s="205"/>
      <c r="F16" s="33">
        <f t="shared" si="5"/>
        <v>0.86662832592999273</v>
      </c>
      <c r="G16" s="32">
        <f t="shared" si="0"/>
        <v>6.5278039348158706E-2</v>
      </c>
      <c r="H16" s="205"/>
      <c r="I16">
        <f t="shared" si="2"/>
        <v>0.999812979752979</v>
      </c>
      <c r="J16" s="36">
        <f t="shared" si="6"/>
        <v>1.6417037705218629E-4</v>
      </c>
      <c r="K16" s="213"/>
      <c r="L16" s="40"/>
      <c r="M16">
        <f t="shared" si="3"/>
        <v>0</v>
      </c>
      <c r="N16">
        <f t="shared" si="7"/>
        <v>1.3133630164174903E-3</v>
      </c>
    </row>
    <row r="17" spans="2:14" x14ac:dyDescent="0.25">
      <c r="B17" s="108">
        <v>9</v>
      </c>
      <c r="C17">
        <f t="shared" si="1"/>
        <v>1</v>
      </c>
      <c r="D17" s="27">
        <f t="shared" si="4"/>
        <v>0</v>
      </c>
      <c r="E17" s="205"/>
      <c r="F17" s="33">
        <f t="shared" si="5"/>
        <v>0.93190636527815141</v>
      </c>
      <c r="G17" s="32">
        <f t="shared" si="0"/>
        <v>3.6265577415643749E-2</v>
      </c>
      <c r="H17" s="205"/>
      <c r="I17">
        <f t="shared" si="2"/>
        <v>0.99997715013003119</v>
      </c>
      <c r="J17" s="36">
        <f t="shared" si="6"/>
        <v>2.0457488614789021E-5</v>
      </c>
      <c r="K17" s="213"/>
      <c r="L17" s="40"/>
      <c r="M17">
        <f t="shared" si="3"/>
        <v>0</v>
      </c>
      <c r="N17">
        <f t="shared" si="7"/>
        <v>1.8411739753310119E-4</v>
      </c>
    </row>
    <row r="18" spans="2:14" x14ac:dyDescent="0.25">
      <c r="B18" s="108">
        <v>10</v>
      </c>
      <c r="C18">
        <f t="shared" si="1"/>
        <v>1</v>
      </c>
      <c r="D18" s="27">
        <f t="shared" si="4"/>
        <v>0</v>
      </c>
      <c r="E18" s="205"/>
      <c r="F18" s="33">
        <f t="shared" si="5"/>
        <v>0.96817194269379514</v>
      </c>
      <c r="G18" s="32">
        <f t="shared" si="0"/>
        <v>1.8132788707821874E-2</v>
      </c>
      <c r="H18" s="205"/>
      <c r="I18">
        <f t="shared" si="2"/>
        <v>0.99999760761864598</v>
      </c>
      <c r="J18" s="36">
        <f t="shared" si="6"/>
        <v>2.1747424119311631E-6</v>
      </c>
      <c r="K18" s="213"/>
      <c r="L18" s="40"/>
      <c r="M18">
        <f t="shared" si="3"/>
        <v>0</v>
      </c>
      <c r="N18">
        <f t="shared" si="7"/>
        <v>2.1747424119311631E-5</v>
      </c>
    </row>
    <row r="19" spans="2:14" x14ac:dyDescent="0.25">
      <c r="B19" s="108">
        <v>11</v>
      </c>
      <c r="C19">
        <f t="shared" si="1"/>
        <v>1</v>
      </c>
      <c r="D19" s="27">
        <f t="shared" si="4"/>
        <v>0</v>
      </c>
      <c r="E19" s="205"/>
      <c r="F19" s="33">
        <f t="shared" si="5"/>
        <v>0.98630473140161712</v>
      </c>
      <c r="G19" s="32">
        <f t="shared" si="0"/>
        <v>8.2421766853735742E-3</v>
      </c>
      <c r="H19" s="205"/>
      <c r="I19">
        <f t="shared" si="2"/>
        <v>0.99999978236105791</v>
      </c>
      <c r="J19" s="36">
        <f t="shared" si="6"/>
        <v>2.0023433944249547E-7</v>
      </c>
      <c r="K19" s="213"/>
      <c r="L19" s="40"/>
      <c r="M19">
        <f t="shared" si="3"/>
        <v>0</v>
      </c>
      <c r="N19">
        <f t="shared" si="7"/>
        <v>2.2025777338674501E-6</v>
      </c>
    </row>
    <row r="20" spans="2:14" x14ac:dyDescent="0.25">
      <c r="B20" s="108">
        <v>12</v>
      </c>
      <c r="C20">
        <f t="shared" si="1"/>
        <v>1</v>
      </c>
      <c r="D20" s="27">
        <f t="shared" si="4"/>
        <v>0</v>
      </c>
      <c r="E20" s="205"/>
      <c r="F20" s="33">
        <f t="shared" si="5"/>
        <v>0.99454690808699064</v>
      </c>
      <c r="G20" s="32">
        <f t="shared" si="0"/>
        <v>3.4342402855723282E-3</v>
      </c>
      <c r="H20" s="205"/>
      <c r="I20">
        <f t="shared" si="2"/>
        <v>0.99999998259539735</v>
      </c>
      <c r="J20" s="36">
        <f t="shared" si="6"/>
        <v>1.616886657895833E-8</v>
      </c>
      <c r="K20" s="213"/>
      <c r="L20" s="40"/>
      <c r="M20">
        <f t="shared" si="3"/>
        <v>0</v>
      </c>
      <c r="N20">
        <f t="shared" si="7"/>
        <v>1.9402639894749996E-7</v>
      </c>
    </row>
    <row r="21" spans="2:14" x14ac:dyDescent="0.25">
      <c r="B21" s="108">
        <v>13</v>
      </c>
      <c r="C21">
        <f t="shared" si="1"/>
        <v>1</v>
      </c>
      <c r="D21" s="27">
        <f t="shared" si="4"/>
        <v>0</v>
      </c>
      <c r="E21" s="205"/>
      <c r="F21" s="33">
        <f t="shared" si="5"/>
        <v>0.99798114837256291</v>
      </c>
      <c r="G21" s="32">
        <f t="shared" si="0"/>
        <v>1.3208616482970471E-3</v>
      </c>
      <c r="H21" s="205"/>
      <c r="I21">
        <f t="shared" si="2"/>
        <v>0.99999999876426393</v>
      </c>
      <c r="J21" s="36">
        <f t="shared" si="6"/>
        <v>1.1571701374890608E-9</v>
      </c>
      <c r="K21" s="213"/>
      <c r="L21" s="40"/>
      <c r="M21">
        <f t="shared" si="3"/>
        <v>0</v>
      </c>
      <c r="N21">
        <f t="shared" si="7"/>
        <v>1.5043211787357791E-8</v>
      </c>
    </row>
    <row r="22" spans="2:14" x14ac:dyDescent="0.25">
      <c r="B22" s="108">
        <v>14</v>
      </c>
      <c r="C22">
        <f t="shared" si="1"/>
        <v>1</v>
      </c>
      <c r="D22" s="27">
        <f t="shared" si="4"/>
        <v>0</v>
      </c>
      <c r="E22" s="205"/>
      <c r="F22" s="33">
        <f t="shared" si="5"/>
        <v>0.99930201002086005</v>
      </c>
      <c r="G22" s="32">
        <f t="shared" si="0"/>
        <v>4.7173630296323246E-4</v>
      </c>
      <c r="H22" s="205"/>
      <c r="I22">
        <f t="shared" si="2"/>
        <v>0.99999999992143407</v>
      </c>
      <c r="J22" s="36">
        <f t="shared" si="6"/>
        <v>7.4059647303670317E-11</v>
      </c>
      <c r="K22" s="213"/>
      <c r="L22" s="40"/>
      <c r="M22">
        <f t="shared" si="3"/>
        <v>0</v>
      </c>
      <c r="N22">
        <f t="shared" si="7"/>
        <v>1.0368350622513844E-9</v>
      </c>
    </row>
    <row r="23" spans="2:14" x14ac:dyDescent="0.25">
      <c r="B23" s="108">
        <v>15</v>
      </c>
      <c r="C23">
        <f t="shared" si="1"/>
        <v>1</v>
      </c>
      <c r="D23" s="27">
        <f t="shared" si="4"/>
        <v>0</v>
      </c>
      <c r="E23" s="205"/>
      <c r="F23" s="33">
        <f t="shared" si="5"/>
        <v>0.99977374632382321</v>
      </c>
      <c r="G23" s="32">
        <f t="shared" si="0"/>
        <v>1.5724543432107704E-4</v>
      </c>
      <c r="H23" s="205"/>
      <c r="I23">
        <f t="shared" si="2"/>
        <v>0.99999999999549372</v>
      </c>
      <c r="J23" s="36">
        <f t="shared" si="6"/>
        <v>4.2715830872452898E-12</v>
      </c>
      <c r="K23" s="213"/>
      <c r="L23" s="40"/>
      <c r="M23">
        <f t="shared" si="3"/>
        <v>0</v>
      </c>
      <c r="N23">
        <f t="shared" si="7"/>
        <v>6.4073746308679347E-11</v>
      </c>
    </row>
    <row r="24" spans="2:14" x14ac:dyDescent="0.25">
      <c r="B24" s="108">
        <v>16</v>
      </c>
      <c r="C24">
        <f t="shared" si="1"/>
        <v>1</v>
      </c>
      <c r="D24" s="27">
        <f t="shared" si="4"/>
        <v>0</v>
      </c>
      <c r="E24" s="205"/>
      <c r="F24" s="33">
        <f t="shared" si="5"/>
        <v>0.99993099175814426</v>
      </c>
      <c r="G24" s="32">
        <f t="shared" si="0"/>
        <v>4.9139198225336609E-5</v>
      </c>
      <c r="H24" s="205"/>
      <c r="I24">
        <f t="shared" si="2"/>
        <v>0.9999999999997653</v>
      </c>
      <c r="J24" s="36">
        <f t="shared" si="6"/>
        <v>2.2348789485704401E-13</v>
      </c>
      <c r="K24" s="213"/>
      <c r="L24" s="40"/>
      <c r="M24">
        <f t="shared" si="3"/>
        <v>0</v>
      </c>
      <c r="N24">
        <f t="shared" si="7"/>
        <v>3.5758063177127042E-12</v>
      </c>
    </row>
    <row r="25" spans="2:14" x14ac:dyDescent="0.25">
      <c r="B25" s="108">
        <v>17</v>
      </c>
      <c r="C25">
        <f t="shared" si="1"/>
        <v>1</v>
      </c>
      <c r="D25" s="27">
        <f t="shared" si="4"/>
        <v>0</v>
      </c>
      <c r="E25" s="205"/>
      <c r="F25" s="33">
        <f t="shared" si="5"/>
        <v>0.99998013095636962</v>
      </c>
      <c r="G25" s="32">
        <f t="shared" si="0"/>
        <v>1.4452705360393124E-5</v>
      </c>
      <c r="H25" s="205"/>
      <c r="I25">
        <f t="shared" si="2"/>
        <v>0.99999999999998879</v>
      </c>
      <c r="J25" s="36">
        <f t="shared" si="6"/>
        <v>1.0769163338864018E-14</v>
      </c>
      <c r="K25" s="213"/>
      <c r="L25" s="40"/>
      <c r="M25">
        <f t="shared" si="3"/>
        <v>0</v>
      </c>
      <c r="N25">
        <f t="shared" si="7"/>
        <v>1.8307577676068831E-13</v>
      </c>
    </row>
    <row r="26" spans="2:14" x14ac:dyDescent="0.25">
      <c r="B26" s="108">
        <v>18</v>
      </c>
      <c r="C26">
        <f t="shared" si="1"/>
        <v>1</v>
      </c>
      <c r="D26" s="27">
        <f t="shared" si="4"/>
        <v>0</v>
      </c>
      <c r="E26" s="205"/>
      <c r="F26" s="33">
        <f t="shared" si="5"/>
        <v>0.99999458366173011</v>
      </c>
      <c r="G26" s="32">
        <f t="shared" si="0"/>
        <v>4.0146403778869831E-6</v>
      </c>
      <c r="H26" s="205"/>
      <c r="I26">
        <f t="shared" si="2"/>
        <v>0.99999999999999956</v>
      </c>
      <c r="J26" s="36">
        <f t="shared" si="6"/>
        <v>0</v>
      </c>
      <c r="K26" s="213"/>
      <c r="L26" s="40"/>
      <c r="M26">
        <f t="shared" si="3"/>
        <v>0</v>
      </c>
      <c r="N26">
        <f t="shared" si="7"/>
        <v>0</v>
      </c>
    </row>
    <row r="27" spans="2:14" x14ac:dyDescent="0.25">
      <c r="B27" s="108">
        <v>19</v>
      </c>
      <c r="C27">
        <f t="shared" si="1"/>
        <v>1</v>
      </c>
      <c r="D27" s="27">
        <f t="shared" si="4"/>
        <v>0</v>
      </c>
      <c r="E27" s="205"/>
      <c r="F27" s="33">
        <f t="shared" si="5"/>
        <v>0.99999859830210791</v>
      </c>
      <c r="G27" s="32">
        <f t="shared" si="0"/>
        <v>1.0564843099702586E-6</v>
      </c>
      <c r="H27" s="205"/>
      <c r="I27">
        <f t="shared" si="2"/>
        <v>1</v>
      </c>
      <c r="J27" s="36">
        <f t="shared" si="6"/>
        <v>0</v>
      </c>
      <c r="K27" s="213"/>
      <c r="L27" s="40"/>
      <c r="M27">
        <f t="shared" si="3"/>
        <v>0</v>
      </c>
      <c r="N27">
        <f t="shared" si="7"/>
        <v>0</v>
      </c>
    </row>
    <row r="28" spans="2:14" x14ac:dyDescent="0.25">
      <c r="B28" s="108">
        <v>20</v>
      </c>
      <c r="C28">
        <f t="shared" si="1"/>
        <v>1</v>
      </c>
      <c r="D28" s="27">
        <f t="shared" si="4"/>
        <v>0</v>
      </c>
      <c r="E28" s="205"/>
      <c r="F28" s="33">
        <f t="shared" si="5"/>
        <v>0.99999965478641784</v>
      </c>
      <c r="G28" s="32">
        <f t="shared" si="0"/>
        <v>2.6412107749256427E-7</v>
      </c>
      <c r="H28" s="205"/>
      <c r="I28">
        <f t="shared" si="2"/>
        <v>1</v>
      </c>
      <c r="J28" s="36">
        <f t="shared" si="6"/>
        <v>0</v>
      </c>
      <c r="K28" s="213"/>
      <c r="L28" s="40"/>
      <c r="M28">
        <f t="shared" si="3"/>
        <v>0</v>
      </c>
      <c r="N28">
        <f t="shared" si="7"/>
        <v>0</v>
      </c>
    </row>
    <row r="29" spans="2:14" x14ac:dyDescent="0.25">
      <c r="B29" s="108">
        <v>21</v>
      </c>
      <c r="C29">
        <f t="shared" si="1"/>
        <v>1</v>
      </c>
      <c r="D29" s="27">
        <f t="shared" si="4"/>
        <v>0</v>
      </c>
      <c r="E29" s="205"/>
      <c r="F29" s="33">
        <f t="shared" si="5"/>
        <v>0.9999999189074954</v>
      </c>
      <c r="G29" s="32">
        <f t="shared" si="0"/>
        <v>6.2885970831562693E-8</v>
      </c>
      <c r="H29" s="205"/>
      <c r="I29">
        <f t="shared" si="2"/>
        <v>1</v>
      </c>
      <c r="J29" s="36">
        <f t="shared" si="6"/>
        <v>0</v>
      </c>
      <c r="K29" s="213"/>
      <c r="L29" s="40"/>
      <c r="M29">
        <f t="shared" si="3"/>
        <v>0</v>
      </c>
      <c r="N29">
        <f t="shared" si="7"/>
        <v>0</v>
      </c>
    </row>
    <row r="30" spans="2:14" x14ac:dyDescent="0.25">
      <c r="B30" s="108">
        <v>22</v>
      </c>
      <c r="C30">
        <f t="shared" si="1"/>
        <v>1</v>
      </c>
      <c r="D30" s="27">
        <f t="shared" si="4"/>
        <v>0</v>
      </c>
      <c r="E30" s="205"/>
      <c r="F30" s="33">
        <f t="shared" si="5"/>
        <v>0.99999998179346616</v>
      </c>
      <c r="G30" s="32">
        <f t="shared" si="0"/>
        <v>1.4292266098082472E-8</v>
      </c>
      <c r="H30" s="205"/>
      <c r="I30">
        <f t="shared" si="2"/>
        <v>1</v>
      </c>
      <c r="J30" s="36">
        <f t="shared" si="6"/>
        <v>0</v>
      </c>
      <c r="K30" s="213"/>
      <c r="L30" s="40"/>
      <c r="M30">
        <f t="shared" si="3"/>
        <v>0</v>
      </c>
      <c r="N30">
        <f t="shared" si="7"/>
        <v>0</v>
      </c>
    </row>
    <row r="31" spans="2:14" x14ac:dyDescent="0.25">
      <c r="B31" s="108">
        <v>23</v>
      </c>
      <c r="C31">
        <f t="shared" si="1"/>
        <v>1</v>
      </c>
      <c r="D31" s="27">
        <f t="shared" si="4"/>
        <v>0</v>
      </c>
      <c r="E31" s="205"/>
      <c r="F31" s="33">
        <f t="shared" si="5"/>
        <v>0.99999999608573231</v>
      </c>
      <c r="G31" s="32">
        <f t="shared" si="0"/>
        <v>3.1070143691483715E-9</v>
      </c>
      <c r="H31" s="205"/>
      <c r="I31">
        <f t="shared" si="2"/>
        <v>1</v>
      </c>
      <c r="J31" s="36">
        <f t="shared" si="6"/>
        <v>0</v>
      </c>
      <c r="K31" s="213"/>
      <c r="L31" s="40"/>
      <c r="M31">
        <f t="shared" si="3"/>
        <v>0</v>
      </c>
      <c r="N31">
        <f t="shared" si="7"/>
        <v>0</v>
      </c>
    </row>
    <row r="32" spans="2:14" x14ac:dyDescent="0.25">
      <c r="B32" s="108">
        <v>24</v>
      </c>
      <c r="C32">
        <f t="shared" si="1"/>
        <v>1</v>
      </c>
      <c r="D32" s="27">
        <f t="shared" si="4"/>
        <v>0</v>
      </c>
      <c r="E32" s="205"/>
      <c r="F32" s="33">
        <f t="shared" si="5"/>
        <v>0.99999999919274662</v>
      </c>
      <c r="G32" s="32">
        <f t="shared" si="0"/>
        <v>6.4729466023924485E-10</v>
      </c>
      <c r="H32" s="205"/>
      <c r="I32">
        <f t="shared" si="2"/>
        <v>1</v>
      </c>
      <c r="J32" s="36">
        <f t="shared" si="6"/>
        <v>0</v>
      </c>
      <c r="K32" s="213"/>
      <c r="L32" s="40"/>
      <c r="M32">
        <f t="shared" si="3"/>
        <v>0</v>
      </c>
      <c r="N32">
        <f t="shared" si="7"/>
        <v>0</v>
      </c>
    </row>
    <row r="33" spans="2:12" x14ac:dyDescent="0.25">
      <c r="B33" s="109">
        <v>25</v>
      </c>
      <c r="C33" s="23">
        <f t="shared" si="1"/>
        <v>1</v>
      </c>
      <c r="D33" s="23"/>
      <c r="E33" s="211"/>
      <c r="F33" s="34">
        <f t="shared" si="5"/>
        <v>0.99999999984004129</v>
      </c>
      <c r="G33" s="35">
        <f t="shared" si="0"/>
        <v>1.2945893204784874E-10</v>
      </c>
      <c r="H33" s="212"/>
      <c r="I33">
        <f t="shared" si="2"/>
        <v>1</v>
      </c>
      <c r="J33" s="36"/>
      <c r="K33" s="214"/>
      <c r="L33" s="41"/>
    </row>
  </sheetData>
  <sheetProtection password="DC2F" sheet="1" formatCells="0"/>
  <protectedRanges>
    <protectedRange sqref="B8:B33" name="Range4"/>
    <protectedRange sqref="J4:J6" name="Range3"/>
    <protectedRange sqref="G5:G6" name="Range2"/>
    <protectedRange sqref="C4:C6" name="Range1"/>
  </protectedRange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"/>
  <sheetViews>
    <sheetView zoomScale="85" zoomScaleNormal="85" workbookViewId="0">
      <selection activeCell="G2" sqref="G2"/>
    </sheetView>
  </sheetViews>
  <sheetFormatPr defaultRowHeight="13.2" x14ac:dyDescent="0.25"/>
  <cols>
    <col min="1" max="1" width="12.88671875" customWidth="1"/>
    <col min="2" max="2" width="10.109375" customWidth="1"/>
    <col min="3" max="3" width="13.88671875" customWidth="1"/>
    <col min="4" max="4" width="12.33203125" customWidth="1"/>
    <col min="5" max="5" width="10.44140625" bestFit="1" customWidth="1"/>
    <col min="8" max="8" width="12.44140625" bestFit="1" customWidth="1"/>
  </cols>
  <sheetData>
    <row r="1" spans="2:10" x14ac:dyDescent="0.25">
      <c r="C1" s="6"/>
      <c r="D1" s="6"/>
      <c r="E1" s="6"/>
      <c r="F1" s="6"/>
      <c r="G1" s="6"/>
      <c r="H1" s="4"/>
    </row>
    <row r="2" spans="2:10" ht="17.399999999999999" x14ac:dyDescent="0.3">
      <c r="B2" s="199" t="s">
        <v>5</v>
      </c>
      <c r="C2" s="200"/>
      <c r="D2" s="201"/>
      <c r="E2" s="3"/>
      <c r="F2" s="6"/>
      <c r="G2" s="6"/>
      <c r="H2" s="6"/>
      <c r="I2" s="2"/>
    </row>
    <row r="3" spans="2:10" ht="13.8" thickBot="1" x14ac:dyDescent="0.3">
      <c r="C3" s="7"/>
      <c r="D3" s="3"/>
      <c r="E3" s="6"/>
    </row>
    <row r="4" spans="2:10" ht="18" thickBot="1" x14ac:dyDescent="0.35">
      <c r="B4" s="226" t="s">
        <v>4</v>
      </c>
      <c r="C4" s="240"/>
      <c r="D4" s="241" t="s">
        <v>13</v>
      </c>
      <c r="E4" s="230"/>
      <c r="F4" s="230"/>
      <c r="G4" s="231"/>
      <c r="H4" s="230"/>
      <c r="I4" s="239"/>
      <c r="J4" s="4"/>
    </row>
    <row r="5" spans="2:10" ht="15" x14ac:dyDescent="0.25">
      <c r="B5" s="227" t="s">
        <v>0</v>
      </c>
      <c r="C5" s="55">
        <v>1.5</v>
      </c>
      <c r="D5" s="204"/>
      <c r="E5" s="204"/>
      <c r="F5" s="204"/>
      <c r="G5" s="204"/>
      <c r="H5" s="204"/>
      <c r="I5" s="242"/>
      <c r="J5" s="4"/>
    </row>
    <row r="6" spans="2:10" ht="18" thickBot="1" x14ac:dyDescent="0.35">
      <c r="B6" s="227" t="s">
        <v>2</v>
      </c>
      <c r="C6" s="56">
        <v>1E-3</v>
      </c>
      <c r="D6" s="204"/>
      <c r="E6" s="243" t="s">
        <v>80</v>
      </c>
      <c r="F6" s="204"/>
      <c r="G6" s="204"/>
      <c r="H6" s="204"/>
      <c r="I6" s="232"/>
      <c r="J6" s="4"/>
    </row>
    <row r="7" spans="2:10" ht="15" x14ac:dyDescent="0.25">
      <c r="B7" s="217" t="s">
        <v>1</v>
      </c>
      <c r="C7" s="238">
        <f>C5*C6</f>
        <v>1.5E-3</v>
      </c>
      <c r="D7" s="224"/>
      <c r="E7" s="211"/>
      <c r="F7" s="211"/>
      <c r="G7" s="236"/>
      <c r="H7" s="236"/>
      <c r="I7" s="232"/>
      <c r="J7" s="4"/>
    </row>
    <row r="8" spans="2:10" x14ac:dyDescent="0.25">
      <c r="B8" s="219"/>
      <c r="C8" s="220"/>
      <c r="D8" s="10" t="s">
        <v>11</v>
      </c>
      <c r="E8" s="19" t="s">
        <v>12</v>
      </c>
      <c r="F8" s="12" t="s">
        <v>51</v>
      </c>
      <c r="G8" s="13"/>
      <c r="H8" s="20"/>
      <c r="I8" s="232"/>
      <c r="J8" s="4"/>
    </row>
    <row r="9" spans="2:10" ht="15.6" thickBot="1" x14ac:dyDescent="0.3">
      <c r="B9" s="221"/>
      <c r="C9" s="222" t="s">
        <v>8</v>
      </c>
      <c r="D9" s="53">
        <v>10</v>
      </c>
      <c r="E9" s="54">
        <v>20</v>
      </c>
      <c r="F9" s="19">
        <f>E9-D9</f>
        <v>10</v>
      </c>
      <c r="G9" s="12"/>
      <c r="H9" s="20"/>
      <c r="I9" s="233" t="s">
        <v>54</v>
      </c>
      <c r="J9" s="4"/>
    </row>
    <row r="10" spans="2:10" ht="15" x14ac:dyDescent="0.25">
      <c r="B10" s="221"/>
      <c r="C10" s="222" t="s">
        <v>9</v>
      </c>
      <c r="D10" s="11">
        <f>$C$6*$C$5*D9^($C$5-1)</f>
        <v>4.7434164902525697E-3</v>
      </c>
      <c r="E10" s="18">
        <f>$C$6*$C$5*E9^($C$5-1)</f>
        <v>6.7082039324993696E-3</v>
      </c>
      <c r="F10" s="18"/>
      <c r="G10" s="15"/>
      <c r="H10" s="11"/>
      <c r="I10" s="234" t="s">
        <v>27</v>
      </c>
      <c r="J10" s="4"/>
    </row>
    <row r="11" spans="2:10" ht="13.8" thickBot="1" x14ac:dyDescent="0.3">
      <c r="B11" s="221" t="s">
        <v>6</v>
      </c>
      <c r="C11" s="223"/>
      <c r="D11" s="11">
        <f>IF(D10&gt;0,1/D10,"")</f>
        <v>210.81851067789194</v>
      </c>
      <c r="E11" s="18">
        <f>1/E10</f>
        <v>149.07119849998597</v>
      </c>
      <c r="F11" s="18"/>
      <c r="G11" s="5"/>
      <c r="H11" s="11"/>
      <c r="I11" s="57">
        <v>2</v>
      </c>
      <c r="J11" s="4"/>
    </row>
    <row r="12" spans="2:10" x14ac:dyDescent="0.25">
      <c r="B12" s="221" t="s">
        <v>10</v>
      </c>
      <c r="C12" s="223"/>
      <c r="D12" s="11">
        <f>$C$6*D9^$C$5</f>
        <v>3.1622776601683805E-2</v>
      </c>
      <c r="E12" s="18">
        <f>$C$6*E9^$C$5</f>
        <v>8.9442719099991588E-2</v>
      </c>
      <c r="F12" s="18">
        <f>E12-D12</f>
        <v>5.7819942498307783E-2</v>
      </c>
      <c r="G12" s="20" t="s">
        <v>14</v>
      </c>
      <c r="H12" s="12" t="s">
        <v>15</v>
      </c>
      <c r="I12" s="29" t="s">
        <v>52</v>
      </c>
      <c r="J12" s="4"/>
    </row>
    <row r="13" spans="2:10" ht="15.6" thickBot="1" x14ac:dyDescent="0.3">
      <c r="B13" s="224"/>
      <c r="C13" s="225" t="s">
        <v>3</v>
      </c>
      <c r="D13" s="14">
        <f>EXP(-D12)</f>
        <v>0.96887199434007543</v>
      </c>
      <c r="E13" s="16">
        <f>EXP(-E12)</f>
        <v>0.914440643607217</v>
      </c>
      <c r="F13" s="16">
        <f>EXP(-F12)</f>
        <v>0.94381987398662193</v>
      </c>
      <c r="G13" s="17">
        <f>F12*EXP(-F12)</f>
        <v>5.4571610842666575E-2</v>
      </c>
      <c r="H13" s="28">
        <f>G13*F12/2</f>
        <v>1.5776637004815055E-3</v>
      </c>
      <c r="I13" s="30">
        <f>POISSON(I11,F12,FALSE)</f>
        <v>1.5776637004815055E-3</v>
      </c>
      <c r="J13" s="4"/>
    </row>
    <row r="14" spans="2:10" x14ac:dyDescent="0.25">
      <c r="F14" s="4"/>
      <c r="G14" s="4"/>
      <c r="H14" s="4"/>
      <c r="I14" s="4"/>
      <c r="J14" s="4"/>
    </row>
    <row r="15" spans="2:10" x14ac:dyDescent="0.25">
      <c r="C15" s="78" t="s">
        <v>53</v>
      </c>
      <c r="F15" s="4"/>
      <c r="G15" s="4"/>
      <c r="H15" s="4"/>
      <c r="I15" s="9"/>
      <c r="J15" s="4"/>
    </row>
    <row r="16" spans="2:10" ht="13.8" thickBot="1" x14ac:dyDescent="0.3">
      <c r="F16" s="4"/>
      <c r="G16" s="8"/>
      <c r="H16" s="4"/>
      <c r="I16" s="4"/>
      <c r="J16" s="4"/>
    </row>
    <row r="17" spans="1:10" ht="18" thickBot="1" x14ac:dyDescent="0.35">
      <c r="B17" s="226" t="s">
        <v>4</v>
      </c>
      <c r="C17" s="240"/>
      <c r="D17" s="229" t="s">
        <v>75</v>
      </c>
      <c r="E17" s="230"/>
      <c r="F17" s="230"/>
      <c r="G17" s="231"/>
      <c r="H17" s="230"/>
      <c r="I17" s="239"/>
      <c r="J17" s="4"/>
    </row>
    <row r="18" spans="1:10" ht="15" x14ac:dyDescent="0.25">
      <c r="B18" s="227" t="s">
        <v>0</v>
      </c>
      <c r="C18" s="55">
        <v>0.1</v>
      </c>
      <c r="D18" s="204"/>
      <c r="E18" s="204"/>
      <c r="F18" s="204"/>
      <c r="G18" s="204"/>
      <c r="H18" s="204"/>
      <c r="I18" s="45" t="s">
        <v>77</v>
      </c>
    </row>
    <row r="19" spans="1:10" ht="15.6" thickBot="1" x14ac:dyDescent="0.3">
      <c r="B19" s="227" t="s">
        <v>2</v>
      </c>
      <c r="C19" s="56">
        <v>0.02</v>
      </c>
      <c r="D19" s="204"/>
      <c r="E19" s="205"/>
      <c r="F19" s="204"/>
      <c r="G19" s="204"/>
      <c r="H19" s="204"/>
      <c r="I19" s="44" t="s">
        <v>55</v>
      </c>
    </row>
    <row r="20" spans="1:10" ht="15.6" thickBot="1" x14ac:dyDescent="0.3">
      <c r="B20" s="217"/>
      <c r="C20" s="238"/>
      <c r="D20" s="224"/>
      <c r="E20" s="211"/>
      <c r="F20" s="211"/>
      <c r="G20" s="236"/>
      <c r="H20" s="236"/>
      <c r="I20" s="46">
        <f>1/C19</f>
        <v>50</v>
      </c>
    </row>
    <row r="21" spans="1:10" x14ac:dyDescent="0.25">
      <c r="A21" s="1"/>
      <c r="B21" s="219"/>
      <c r="C21" s="220"/>
      <c r="D21" s="10" t="s">
        <v>11</v>
      </c>
      <c r="E21" s="19" t="s">
        <v>12</v>
      </c>
      <c r="F21" s="12" t="s">
        <v>51</v>
      </c>
      <c r="G21" s="13"/>
      <c r="H21" s="20"/>
      <c r="I21" s="232"/>
    </row>
    <row r="22" spans="1:10" ht="15.6" thickBot="1" x14ac:dyDescent="0.3">
      <c r="B22" s="221"/>
      <c r="C22" s="222" t="s">
        <v>8</v>
      </c>
      <c r="D22" s="53">
        <v>20</v>
      </c>
      <c r="E22" s="54">
        <v>30</v>
      </c>
      <c r="F22" s="19">
        <f>E22-D22</f>
        <v>10</v>
      </c>
      <c r="G22" s="12"/>
      <c r="H22" s="20"/>
      <c r="I22" s="233" t="s">
        <v>54</v>
      </c>
    </row>
    <row r="23" spans="1:10" ht="15" x14ac:dyDescent="0.25">
      <c r="B23" s="221"/>
      <c r="C23" s="222" t="s">
        <v>9</v>
      </c>
      <c r="D23" s="42">
        <f>$C$19*(1-EXP(-D22*$C$18))</f>
        <v>1.7293294335267745E-2</v>
      </c>
      <c r="E23" s="42">
        <f>$C$19*(1-EXP(-E22*$C$18))</f>
        <v>1.9004258632642722E-2</v>
      </c>
      <c r="F23" s="18"/>
      <c r="G23" s="15"/>
      <c r="H23" s="11"/>
      <c r="I23" s="234" t="s">
        <v>27</v>
      </c>
    </row>
    <row r="24" spans="1:10" ht="13.8" thickBot="1" x14ac:dyDescent="0.3">
      <c r="B24" s="221" t="s">
        <v>6</v>
      </c>
      <c r="C24" s="223"/>
      <c r="D24" s="11">
        <f>IF(D23&gt;0,1/D23,"")</f>
        <v>57.825882137483291</v>
      </c>
      <c r="E24" s="11">
        <f>IF(E23&gt;0,1/E23,"")</f>
        <v>52.619784824562792</v>
      </c>
      <c r="F24" s="18"/>
      <c r="G24" s="5"/>
      <c r="H24" s="11"/>
      <c r="I24" s="57">
        <v>5</v>
      </c>
    </row>
    <row r="25" spans="1:10" x14ac:dyDescent="0.25">
      <c r="B25" s="221" t="s">
        <v>10</v>
      </c>
      <c r="C25" s="223"/>
      <c r="D25" s="43">
        <f>$C$19*(D22+EXP(-$C$18*D22)/$C$18-1/$C$18)</f>
        <v>0.22706705664732255</v>
      </c>
      <c r="E25" s="43">
        <f>$C$19*(E22+EXP(-$C$18*E22)/$C$18-1/$C$18)</f>
        <v>0.40995741367357275</v>
      </c>
      <c r="F25" s="18">
        <f>E25-D25</f>
        <v>0.1828903570262502</v>
      </c>
      <c r="G25" s="20" t="s">
        <v>14</v>
      </c>
      <c r="H25" s="12" t="s">
        <v>15</v>
      </c>
      <c r="I25" s="29" t="s">
        <v>52</v>
      </c>
    </row>
    <row r="26" spans="1:10" ht="15.6" thickBot="1" x14ac:dyDescent="0.3">
      <c r="B26" s="224"/>
      <c r="C26" s="225" t="s">
        <v>3</v>
      </c>
      <c r="D26" s="14">
        <f>EXP(-D25)</f>
        <v>0.79686734524597214</v>
      </c>
      <c r="E26" s="16">
        <f>EXP(-E25)</f>
        <v>0.66367851316431015</v>
      </c>
      <c r="F26" s="16">
        <f>EXP(-F25)</f>
        <v>0.83285946791990828</v>
      </c>
      <c r="G26" s="17">
        <f>F25*EXP(-F25)</f>
        <v>0.15232196544056481</v>
      </c>
      <c r="H26" s="28">
        <f>G26*F25/2</f>
        <v>1.3929109321182522E-2</v>
      </c>
      <c r="I26" s="30">
        <f>POISSON(I24,F25,FALSE)</f>
        <v>1.4201836865900238E-6</v>
      </c>
    </row>
    <row r="28" spans="1:10" x14ac:dyDescent="0.25">
      <c r="B28" s="47"/>
      <c r="C28" s="47"/>
      <c r="F28" s="37"/>
    </row>
    <row r="29" spans="1:10" ht="18" thickBot="1" x14ac:dyDescent="0.35">
      <c r="B29" s="226" t="s">
        <v>4</v>
      </c>
      <c r="C29" s="228"/>
      <c r="D29" s="229" t="s">
        <v>78</v>
      </c>
      <c r="E29" s="230"/>
      <c r="F29" s="230"/>
      <c r="G29" s="231"/>
      <c r="H29" s="230"/>
      <c r="I29" s="220"/>
    </row>
    <row r="30" spans="1:10" ht="15" x14ac:dyDescent="0.25">
      <c r="B30" s="227" t="s">
        <v>0</v>
      </c>
      <c r="C30" s="58">
        <v>0.05</v>
      </c>
      <c r="D30" s="221"/>
      <c r="E30" s="204"/>
      <c r="F30" s="204"/>
      <c r="G30" s="204"/>
      <c r="H30" s="204"/>
      <c r="I30" s="235"/>
    </row>
    <row r="31" spans="1:10" ht="15.6" thickBot="1" x14ac:dyDescent="0.3">
      <c r="B31" s="227" t="s">
        <v>2</v>
      </c>
      <c r="C31" s="59">
        <v>0.5</v>
      </c>
      <c r="D31" s="221"/>
      <c r="E31" s="204"/>
      <c r="F31" s="204"/>
      <c r="G31" s="204"/>
      <c r="H31" s="204"/>
      <c r="I31" s="235"/>
    </row>
    <row r="32" spans="1:10" ht="15" x14ac:dyDescent="0.25">
      <c r="B32" s="217" t="s">
        <v>79</v>
      </c>
      <c r="C32" s="218">
        <f>EXP(C31)</f>
        <v>1.6487212707001282</v>
      </c>
      <c r="D32" s="224"/>
      <c r="E32" s="211"/>
      <c r="F32" s="211"/>
      <c r="G32" s="236"/>
      <c r="H32" s="236"/>
      <c r="I32" s="237"/>
    </row>
    <row r="33" spans="2:9" x14ac:dyDescent="0.25">
      <c r="B33" s="219"/>
      <c r="C33" s="220"/>
      <c r="D33" s="60" t="s">
        <v>11</v>
      </c>
      <c r="E33" s="61" t="s">
        <v>12</v>
      </c>
      <c r="F33" s="22" t="s">
        <v>51</v>
      </c>
      <c r="G33" s="25"/>
      <c r="H33" s="17"/>
      <c r="I33" s="232"/>
    </row>
    <row r="34" spans="2:9" ht="15.6" thickBot="1" x14ac:dyDescent="0.3">
      <c r="B34" s="221"/>
      <c r="C34" s="222" t="s">
        <v>8</v>
      </c>
      <c r="D34" s="53">
        <v>4</v>
      </c>
      <c r="E34" s="54">
        <v>5</v>
      </c>
      <c r="F34" s="19">
        <f>E34-D34</f>
        <v>1</v>
      </c>
      <c r="G34" s="12"/>
      <c r="H34" s="20"/>
      <c r="I34" s="233" t="s">
        <v>54</v>
      </c>
    </row>
    <row r="35" spans="2:9" ht="15" x14ac:dyDescent="0.25">
      <c r="B35" s="221"/>
      <c r="C35" s="222" t="s">
        <v>9</v>
      </c>
      <c r="D35" s="42">
        <f>EXP($C$31+$C$30*D34)</f>
        <v>2.0137527074704766</v>
      </c>
      <c r="E35" s="42">
        <f>EXP($C$31+$C$30*E34)</f>
        <v>2.1170000166126748</v>
      </c>
      <c r="F35" s="18"/>
      <c r="G35" s="15"/>
      <c r="H35" s="11"/>
      <c r="I35" s="234" t="s">
        <v>27</v>
      </c>
    </row>
    <row r="36" spans="2:9" ht="13.8" thickBot="1" x14ac:dyDescent="0.3">
      <c r="B36" s="221" t="s">
        <v>6</v>
      </c>
      <c r="C36" s="223"/>
      <c r="D36" s="11">
        <f>IF(D35&gt;0,1/D35,"")</f>
        <v>0.49658530379140947</v>
      </c>
      <c r="E36" s="11">
        <f>IF(E35&gt;0,1/E35,"")</f>
        <v>0.47236655274101469</v>
      </c>
      <c r="F36" s="18"/>
      <c r="G36" s="5"/>
      <c r="H36" s="11"/>
      <c r="I36" s="57">
        <v>5</v>
      </c>
    </row>
    <row r="37" spans="2:9" x14ac:dyDescent="0.25">
      <c r="B37" s="221" t="s">
        <v>10</v>
      </c>
      <c r="C37" s="223"/>
      <c r="D37" s="43">
        <f>($C$32/$C$30)*(EXP($C$30*D34)-1)</f>
        <v>7.3006287354069679</v>
      </c>
      <c r="E37" s="43">
        <f>($C$32/$C$30)*(EXP($C$30*E34)-1)</f>
        <v>9.3655749182509265</v>
      </c>
      <c r="F37" s="18">
        <f>E37-D37</f>
        <v>2.0649461828439586</v>
      </c>
      <c r="G37" s="20" t="s">
        <v>14</v>
      </c>
      <c r="H37" s="12" t="s">
        <v>15</v>
      </c>
      <c r="I37" s="29" t="s">
        <v>52</v>
      </c>
    </row>
    <row r="38" spans="2:9" ht="15.6" thickBot="1" x14ac:dyDescent="0.3">
      <c r="B38" s="224"/>
      <c r="C38" s="225" t="s">
        <v>3</v>
      </c>
      <c r="D38" s="14">
        <f>EXP(-D37)</f>
        <v>6.7511417354213367E-4</v>
      </c>
      <c r="E38" s="16">
        <f>EXP(-E37)</f>
        <v>8.5621433204879574E-5</v>
      </c>
      <c r="F38" s="16">
        <f>EXP(-F37)</f>
        <v>0.12682511575138181</v>
      </c>
      <c r="G38" s="17">
        <f>F37*EXP(-F37)</f>
        <v>0.26188703865955909</v>
      </c>
      <c r="H38" s="28">
        <f>G38*F37/2</f>
        <v>0.27039132040818237</v>
      </c>
      <c r="I38" s="30">
        <f>POISSON(I36,F37,FALSE)</f>
        <v>3.9679638652650881E-2</v>
      </c>
    </row>
    <row r="39" spans="2:9" x14ac:dyDescent="0.25">
      <c r="B39" s="6"/>
      <c r="C39" s="48"/>
    </row>
    <row r="40" spans="2:9" ht="26.4" x14ac:dyDescent="0.25">
      <c r="B40" s="215" t="s">
        <v>76</v>
      </c>
      <c r="C40" s="216" t="s">
        <v>81</v>
      </c>
      <c r="D40" s="216" t="s">
        <v>82</v>
      </c>
      <c r="E40" s="216" t="s">
        <v>83</v>
      </c>
    </row>
    <row r="41" spans="2:9" x14ac:dyDescent="0.25">
      <c r="B41" s="62">
        <v>1</v>
      </c>
      <c r="C41" s="65">
        <f>EXP($C$31+$C$30*B41)</f>
        <v>1.7332530178673953</v>
      </c>
      <c r="D41" s="69">
        <f>$C$5*$C$6*B41^($C$5-1)</f>
        <v>1.5E-3</v>
      </c>
      <c r="E41" s="70">
        <f>$C$19*(1-EXP(-$C$18*B41))</f>
        <v>1.9032516392808096E-3</v>
      </c>
    </row>
    <row r="42" spans="2:9" x14ac:dyDescent="0.25">
      <c r="B42" s="63">
        <v>2</v>
      </c>
      <c r="C42" s="66">
        <f t="shared" ref="C42:C90" si="0">EXP($C$31+$C$30*B42)</f>
        <v>1.8221188003905089</v>
      </c>
      <c r="D42" s="4">
        <f t="shared" ref="D42:D90" si="1">$C$5*$C$6*B42^($C$5-1)</f>
        <v>2.1213203435596429E-3</v>
      </c>
      <c r="E42" s="24">
        <f t="shared" ref="E42:E90" si="2">$C$19*(1-EXP(-$C$18*B42))</f>
        <v>3.6253849384403638E-3</v>
      </c>
    </row>
    <row r="43" spans="2:9" x14ac:dyDescent="0.25">
      <c r="B43" s="63">
        <v>3</v>
      </c>
      <c r="C43" s="66">
        <f t="shared" si="0"/>
        <v>1.9155408290138962</v>
      </c>
      <c r="D43" s="4">
        <f t="shared" si="1"/>
        <v>2.5980762113533159E-3</v>
      </c>
      <c r="E43" s="24">
        <f t="shared" si="2"/>
        <v>5.1836355863656425E-3</v>
      </c>
    </row>
    <row r="44" spans="2:9" x14ac:dyDescent="0.25">
      <c r="B44" s="63">
        <v>4</v>
      </c>
      <c r="C44" s="66">
        <f t="shared" si="0"/>
        <v>2.0137527074704766</v>
      </c>
      <c r="D44" s="4">
        <f t="shared" si="1"/>
        <v>3.0000000000000001E-3</v>
      </c>
      <c r="E44" s="24">
        <f t="shared" si="2"/>
        <v>6.5935990792872134E-3</v>
      </c>
    </row>
    <row r="45" spans="2:9" x14ac:dyDescent="0.25">
      <c r="B45" s="63">
        <v>5</v>
      </c>
      <c r="C45" s="66">
        <f t="shared" si="0"/>
        <v>2.1170000166126748</v>
      </c>
      <c r="D45" s="4">
        <f t="shared" si="1"/>
        <v>3.3541019662496848E-3</v>
      </c>
      <c r="E45" s="24">
        <f t="shared" si="2"/>
        <v>7.8693868057473325E-3</v>
      </c>
    </row>
    <row r="46" spans="2:9" x14ac:dyDescent="0.25">
      <c r="B46" s="63">
        <v>6</v>
      </c>
      <c r="C46" s="66">
        <f t="shared" si="0"/>
        <v>2.2255409284924679</v>
      </c>
      <c r="D46" s="4">
        <f t="shared" si="1"/>
        <v>3.6742346141747668E-3</v>
      </c>
      <c r="E46" s="24">
        <f t="shared" si="2"/>
        <v>9.0237672781194721E-3</v>
      </c>
    </row>
    <row r="47" spans="2:9" x14ac:dyDescent="0.25">
      <c r="B47" s="63">
        <v>7</v>
      </c>
      <c r="C47" s="66">
        <f t="shared" si="0"/>
        <v>2.3396468519259912</v>
      </c>
      <c r="D47" s="4">
        <f t="shared" si="1"/>
        <v>3.9686269665968861E-3</v>
      </c>
      <c r="E47" s="24">
        <f t="shared" si="2"/>
        <v>1.0068293924171813E-2</v>
      </c>
    </row>
    <row r="48" spans="2:9" x14ac:dyDescent="0.25">
      <c r="B48" s="63">
        <v>8</v>
      </c>
      <c r="C48" s="66">
        <f t="shared" si="0"/>
        <v>2.4596031111569499</v>
      </c>
      <c r="D48" s="4">
        <f t="shared" si="1"/>
        <v>4.2426406871192857E-3</v>
      </c>
      <c r="E48" s="24">
        <f t="shared" si="2"/>
        <v>1.1013420717655568E-2</v>
      </c>
    </row>
    <row r="49" spans="2:5" x14ac:dyDescent="0.25">
      <c r="B49" s="63">
        <v>9</v>
      </c>
      <c r="C49" s="66">
        <f t="shared" si="0"/>
        <v>2.585709659315846</v>
      </c>
      <c r="D49" s="4">
        <f t="shared" si="1"/>
        <v>4.5000000000000005E-3</v>
      </c>
      <c r="E49" s="24">
        <f t="shared" si="2"/>
        <v>1.1868606805188017E-2</v>
      </c>
    </row>
    <row r="50" spans="2:5" x14ac:dyDescent="0.25">
      <c r="B50" s="63">
        <v>10</v>
      </c>
      <c r="C50" s="66">
        <f t="shared" si="0"/>
        <v>2.7182818284590451</v>
      </c>
      <c r="D50" s="4">
        <f t="shared" si="1"/>
        <v>4.7434164902525697E-3</v>
      </c>
      <c r="E50" s="24">
        <f t="shared" si="2"/>
        <v>1.2642411176571153E-2</v>
      </c>
    </row>
    <row r="51" spans="2:5" x14ac:dyDescent="0.25">
      <c r="B51" s="63">
        <v>11</v>
      </c>
      <c r="C51" s="66">
        <f t="shared" si="0"/>
        <v>2.8576511180631639</v>
      </c>
      <c r="D51" s="4">
        <f t="shared" si="1"/>
        <v>4.9749371855330998E-3</v>
      </c>
      <c r="E51" s="24">
        <f t="shared" si="2"/>
        <v>1.3342578326038411E-2</v>
      </c>
    </row>
    <row r="52" spans="2:5" x14ac:dyDescent="0.25">
      <c r="B52" s="63">
        <v>12</v>
      </c>
      <c r="C52" s="66">
        <f t="shared" si="0"/>
        <v>3.0041660239464334</v>
      </c>
      <c r="D52" s="4">
        <f t="shared" si="1"/>
        <v>5.1961524227066317E-3</v>
      </c>
      <c r="E52" s="24">
        <f t="shared" si="2"/>
        <v>1.3976115761755961E-2</v>
      </c>
    </row>
    <row r="53" spans="2:5" x14ac:dyDescent="0.25">
      <c r="B53" s="63">
        <v>13</v>
      </c>
      <c r="C53" s="66">
        <f t="shared" si="0"/>
        <v>3.1581929096897672</v>
      </c>
      <c r="D53" s="4">
        <f t="shared" si="1"/>
        <v>5.4083269131959839E-3</v>
      </c>
      <c r="E53" s="24">
        <f t="shared" si="2"/>
        <v>1.4549364139319749E-2</v>
      </c>
    </row>
    <row r="54" spans="2:5" x14ac:dyDescent="0.25">
      <c r="B54" s="63">
        <v>14</v>
      </c>
      <c r="C54" s="66">
        <f t="shared" si="0"/>
        <v>3.3201169227365481</v>
      </c>
      <c r="D54" s="4">
        <f t="shared" si="1"/>
        <v>5.6124860801609125E-3</v>
      </c>
      <c r="E54" s="24">
        <f t="shared" si="2"/>
        <v>1.5068060721167871E-2</v>
      </c>
    </row>
    <row r="55" spans="2:5" x14ac:dyDescent="0.25">
      <c r="B55" s="63">
        <v>15</v>
      </c>
      <c r="C55" s="66">
        <f t="shared" si="0"/>
        <v>3.4903429574618414</v>
      </c>
      <c r="D55" s="4">
        <f t="shared" si="1"/>
        <v>5.8094750193111253E-3</v>
      </c>
      <c r="E55" s="24">
        <f t="shared" si="2"/>
        <v>1.5537396797031405E-2</v>
      </c>
    </row>
    <row r="56" spans="2:5" x14ac:dyDescent="0.25">
      <c r="B56" s="63">
        <v>16</v>
      </c>
      <c r="C56" s="66">
        <f t="shared" si="0"/>
        <v>3.6692966676192444</v>
      </c>
      <c r="D56" s="4">
        <f t="shared" si="1"/>
        <v>6.0000000000000001E-3</v>
      </c>
      <c r="E56" s="24">
        <f t="shared" si="2"/>
        <v>1.5962069640106893E-2</v>
      </c>
    </row>
    <row r="57" spans="2:5" x14ac:dyDescent="0.25">
      <c r="B57" s="63">
        <v>17</v>
      </c>
      <c r="C57" s="66">
        <f t="shared" si="0"/>
        <v>3.8574255306969745</v>
      </c>
      <c r="D57" s="4">
        <f t="shared" si="1"/>
        <v>6.1846584384264913E-3</v>
      </c>
      <c r="E57" s="24">
        <f t="shared" si="2"/>
        <v>1.634632951894531E-2</v>
      </c>
    </row>
    <row r="58" spans="2:5" x14ac:dyDescent="0.25">
      <c r="B58" s="63">
        <v>18</v>
      </c>
      <c r="C58" s="66">
        <f t="shared" si="0"/>
        <v>4.0551999668446745</v>
      </c>
      <c r="D58" s="4">
        <f t="shared" si="1"/>
        <v>6.3639610306789269E-3</v>
      </c>
      <c r="E58" s="24">
        <f t="shared" si="2"/>
        <v>1.6694022235568269E-2</v>
      </c>
    </row>
    <row r="59" spans="2:5" x14ac:dyDescent="0.25">
      <c r="B59" s="63">
        <v>19</v>
      </c>
      <c r="C59" s="66">
        <f t="shared" si="0"/>
        <v>4.2631145151688186</v>
      </c>
      <c r="D59" s="4">
        <f t="shared" si="1"/>
        <v>6.5383484153110115E-3</v>
      </c>
      <c r="E59" s="24">
        <f t="shared" si="2"/>
        <v>1.7008627615547299E-2</v>
      </c>
    </row>
    <row r="60" spans="2:5" x14ac:dyDescent="0.25">
      <c r="B60" s="63">
        <v>20</v>
      </c>
      <c r="C60" s="66">
        <f t="shared" si="0"/>
        <v>4.4816890703380645</v>
      </c>
      <c r="D60" s="4">
        <f t="shared" si="1"/>
        <v>6.7082039324993696E-3</v>
      </c>
      <c r="E60" s="24">
        <f t="shared" si="2"/>
        <v>1.7293294335267745E-2</v>
      </c>
    </row>
    <row r="61" spans="2:5" x14ac:dyDescent="0.25">
      <c r="B61" s="63">
        <v>21</v>
      </c>
      <c r="C61" s="66">
        <f t="shared" si="0"/>
        <v>4.7114701825907419</v>
      </c>
      <c r="D61" s="4">
        <f t="shared" si="1"/>
        <v>6.8738635424337603E-3</v>
      </c>
      <c r="E61" s="24">
        <f t="shared" si="2"/>
        <v>1.7550871434940364E-2</v>
      </c>
    </row>
    <row r="62" spans="2:5" x14ac:dyDescent="0.25">
      <c r="B62" s="63">
        <v>22</v>
      </c>
      <c r="C62" s="66">
        <f t="shared" si="0"/>
        <v>4.9530324243951149</v>
      </c>
      <c r="D62" s="4">
        <f t="shared" si="1"/>
        <v>7.0356236397351446E-3</v>
      </c>
      <c r="E62" s="24">
        <f t="shared" si="2"/>
        <v>1.7783936832753321E-2</v>
      </c>
    </row>
    <row r="63" spans="2:5" x14ac:dyDescent="0.25">
      <c r="B63" s="63">
        <v>23</v>
      </c>
      <c r="C63" s="66">
        <f t="shared" si="0"/>
        <v>5.2069798271798495</v>
      </c>
      <c r="D63" s="4">
        <f t="shared" si="1"/>
        <v>7.1937472849690791E-3</v>
      </c>
      <c r="E63" s="24">
        <f t="shared" si="2"/>
        <v>1.7994823125543926E-2</v>
      </c>
    </row>
    <row r="64" spans="2:5" x14ac:dyDescent="0.25">
      <c r="B64" s="63">
        <v>24</v>
      </c>
      <c r="C64" s="66">
        <f t="shared" si="0"/>
        <v>5.4739473917272008</v>
      </c>
      <c r="D64" s="4">
        <f t="shared" si="1"/>
        <v>7.3484692283495336E-3</v>
      </c>
      <c r="E64" s="24">
        <f t="shared" si="2"/>
        <v>1.8185640934211753E-2</v>
      </c>
    </row>
    <row r="65" spans="2:5" x14ac:dyDescent="0.25">
      <c r="B65" s="63">
        <v>25</v>
      </c>
      <c r="C65" s="66">
        <f t="shared" si="0"/>
        <v>5.7546026760057307</v>
      </c>
      <c r="D65" s="4">
        <f t="shared" si="1"/>
        <v>7.4999999999999997E-3</v>
      </c>
      <c r="E65" s="24">
        <f t="shared" si="2"/>
        <v>1.8358300027522024E-2</v>
      </c>
    </row>
    <row r="66" spans="2:5" x14ac:dyDescent="0.25">
      <c r="B66" s="63">
        <v>26</v>
      </c>
      <c r="C66" s="66">
        <f t="shared" si="0"/>
        <v>6.0496474644129465</v>
      </c>
      <c r="D66" s="4">
        <f t="shared" si="1"/>
        <v>7.6485292703891766E-3</v>
      </c>
      <c r="E66" s="24">
        <f t="shared" si="2"/>
        <v>1.8514528435713322E-2</v>
      </c>
    </row>
    <row r="67" spans="2:5" x14ac:dyDescent="0.25">
      <c r="B67" s="63">
        <v>27</v>
      </c>
      <c r="C67" s="66">
        <f t="shared" si="0"/>
        <v>6.3598195226018319</v>
      </c>
      <c r="D67" s="4">
        <f t="shared" si="1"/>
        <v>7.794228634059948E-3</v>
      </c>
      <c r="E67" s="24">
        <f t="shared" si="2"/>
        <v>1.8655889745205007E-2</v>
      </c>
    </row>
    <row r="68" spans="2:5" x14ac:dyDescent="0.25">
      <c r="B68" s="63">
        <v>28</v>
      </c>
      <c r="C68" s="66">
        <f t="shared" si="0"/>
        <v>6.6858944422792703</v>
      </c>
      <c r="D68" s="4">
        <f t="shared" si="1"/>
        <v>7.9372539331937723E-3</v>
      </c>
      <c r="E68" s="24">
        <f t="shared" si="2"/>
        <v>1.8783798747495643E-2</v>
      </c>
    </row>
    <row r="69" spans="2:5" x14ac:dyDescent="0.25">
      <c r="B69" s="63">
        <v>29</v>
      </c>
      <c r="C69" s="66">
        <f t="shared" si="0"/>
        <v>7.0286875805892945</v>
      </c>
      <c r="D69" s="4">
        <f t="shared" si="1"/>
        <v>8.0777472107017561E-3</v>
      </c>
      <c r="E69" s="24">
        <f t="shared" si="2"/>
        <v>1.8899535598871857E-2</v>
      </c>
    </row>
    <row r="70" spans="2:5" x14ac:dyDescent="0.25">
      <c r="B70" s="63">
        <v>30</v>
      </c>
      <c r="C70" s="66">
        <f t="shared" si="0"/>
        <v>7.3890560989306504</v>
      </c>
      <c r="D70" s="4">
        <f t="shared" si="1"/>
        <v>8.2158383625774919E-3</v>
      </c>
      <c r="E70" s="24">
        <f t="shared" si="2"/>
        <v>1.9004258632642722E-2</v>
      </c>
    </row>
    <row r="71" spans="2:5" x14ac:dyDescent="0.25">
      <c r="B71" s="63">
        <v>31</v>
      </c>
      <c r="C71" s="66">
        <f t="shared" si="0"/>
        <v>7.7679011063067707</v>
      </c>
      <c r="D71" s="4">
        <f t="shared" si="1"/>
        <v>8.3516465442450318E-3</v>
      </c>
      <c r="E71" s="24">
        <f t="shared" si="2"/>
        <v>1.9099015952128845E-2</v>
      </c>
    </row>
    <row r="72" spans="2:5" x14ac:dyDescent="0.25">
      <c r="B72" s="63">
        <v>32</v>
      </c>
      <c r="C72" s="66">
        <f t="shared" si="0"/>
        <v>8.1661699125676517</v>
      </c>
      <c r="D72" s="4">
        <f t="shared" si="1"/>
        <v>8.4852813742385715E-3</v>
      </c>
      <c r="E72" s="24">
        <f t="shared" si="2"/>
        <v>1.9184755920432676E-2</v>
      </c>
    </row>
    <row r="73" spans="2:5" x14ac:dyDescent="0.25">
      <c r="B73" s="63">
        <v>33</v>
      </c>
      <c r="C73" s="66">
        <f t="shared" si="0"/>
        <v>8.5848583971778964</v>
      </c>
      <c r="D73" s="4">
        <f t="shared" si="1"/>
        <v>8.6168439698070427E-3</v>
      </c>
      <c r="E73" s="24">
        <f t="shared" si="2"/>
        <v>1.9262336651975201E-2</v>
      </c>
    </row>
    <row r="74" spans="2:5" x14ac:dyDescent="0.25">
      <c r="B74" s="63">
        <v>34</v>
      </c>
      <c r="C74" s="66">
        <f t="shared" si="0"/>
        <v>9.025013499434122</v>
      </c>
      <c r="D74" s="4">
        <f t="shared" si="1"/>
        <v>8.7464278422679509E-3</v>
      </c>
      <c r="E74" s="24">
        <f t="shared" si="2"/>
        <v>1.9332534600793479E-2</v>
      </c>
    </row>
    <row r="75" spans="2:5" x14ac:dyDescent="0.25">
      <c r="B75" s="63">
        <v>35</v>
      </c>
      <c r="C75" s="66">
        <f t="shared" si="0"/>
        <v>9.4877358363585262</v>
      </c>
      <c r="D75" s="4">
        <f t="shared" si="1"/>
        <v>8.8741196746494246E-3</v>
      </c>
      <c r="E75" s="24">
        <f t="shared" si="2"/>
        <v>1.9396052331553632E-2</v>
      </c>
    </row>
    <row r="76" spans="2:5" x14ac:dyDescent="0.25">
      <c r="B76" s="63">
        <v>36</v>
      </c>
      <c r="C76" s="66">
        <f t="shared" si="0"/>
        <v>9.9741824548147182</v>
      </c>
      <c r="D76" s="4">
        <f t="shared" si="1"/>
        <v>9.0000000000000011E-3</v>
      </c>
      <c r="E76" s="24">
        <f t="shared" si="2"/>
        <v>1.945352555105415E-2</v>
      </c>
    </row>
    <row r="77" spans="2:5" x14ac:dyDescent="0.25">
      <c r="B77" s="63">
        <v>37</v>
      </c>
      <c r="C77" s="66">
        <f t="shared" si="0"/>
        <v>10.485569724727576</v>
      </c>
      <c r="D77" s="4">
        <f t="shared" si="1"/>
        <v>9.124143795447329E-3</v>
      </c>
      <c r="E77" s="24">
        <f t="shared" si="2"/>
        <v>1.9505529470593214E-2</v>
      </c>
    </row>
    <row r="78" spans="2:5" x14ac:dyDescent="0.25">
      <c r="B78" s="63">
        <v>38</v>
      </c>
      <c r="C78" s="66">
        <f t="shared" si="0"/>
        <v>11.023176380641605</v>
      </c>
      <c r="D78" s="4">
        <f t="shared" si="1"/>
        <v>9.2466210044534636E-3</v>
      </c>
      <c r="E78" s="24">
        <f t="shared" si="2"/>
        <v>1.9552584562876691E-2</v>
      </c>
    </row>
    <row r="79" spans="2:5" x14ac:dyDescent="0.25">
      <c r="B79" s="63">
        <v>39</v>
      </c>
      <c r="C79" s="66">
        <f t="shared" si="0"/>
        <v>11.588346719223392</v>
      </c>
      <c r="D79" s="4">
        <f t="shared" si="1"/>
        <v>9.3674969975975977E-3</v>
      </c>
      <c r="E79" s="24">
        <f t="shared" si="2"/>
        <v>1.9595161771083915E-2</v>
      </c>
    </row>
    <row r="80" spans="2:5" x14ac:dyDescent="0.25">
      <c r="B80" s="63">
        <v>40</v>
      </c>
      <c r="C80" s="66">
        <f t="shared" si="0"/>
        <v>12.182493960703473</v>
      </c>
      <c r="D80" s="4">
        <f t="shared" si="1"/>
        <v>9.4868329805051395E-3</v>
      </c>
      <c r="E80" s="24">
        <f t="shared" si="2"/>
        <v>1.9633687222225315E-2</v>
      </c>
    </row>
    <row r="81" spans="2:5" x14ac:dyDescent="0.25">
      <c r="B81" s="63">
        <v>41</v>
      </c>
      <c r="C81" s="66">
        <f t="shared" si="0"/>
        <v>12.807103782663036</v>
      </c>
      <c r="D81" s="4">
        <f t="shared" si="1"/>
        <v>9.6046863561492727E-3</v>
      </c>
      <c r="E81" s="24">
        <f t="shared" si="2"/>
        <v>1.9668546491964777E-2</v>
      </c>
    </row>
    <row r="82" spans="2:5" x14ac:dyDescent="0.25">
      <c r="B82" s="63">
        <v>42</v>
      </c>
      <c r="C82" s="66">
        <f t="shared" si="0"/>
        <v>13.463738035001692</v>
      </c>
      <c r="D82" s="4">
        <f t="shared" si="1"/>
        <v>9.7211110476117905E-3</v>
      </c>
      <c r="E82" s="24">
        <f t="shared" si="2"/>
        <v>1.9700088463590445E-2</v>
      </c>
    </row>
    <row r="83" spans="2:5" x14ac:dyDescent="0.25">
      <c r="B83" s="63">
        <v>43</v>
      </c>
      <c r="C83" s="66">
        <f t="shared" si="0"/>
        <v>14.154038645375801</v>
      </c>
      <c r="D83" s="4">
        <f t="shared" si="1"/>
        <v>9.8361577864530016E-3</v>
      </c>
      <c r="E83" s="24">
        <f t="shared" si="2"/>
        <v>1.9728628819755983E-2</v>
      </c>
    </row>
    <row r="84" spans="2:5" x14ac:dyDescent="0.25">
      <c r="B84" s="63">
        <v>44</v>
      </c>
      <c r="C84" s="66">
        <f t="shared" si="0"/>
        <v>14.879731724872837</v>
      </c>
      <c r="D84" s="4">
        <f t="shared" si="1"/>
        <v>9.9498743710661995E-3</v>
      </c>
      <c r="E84" s="24">
        <f t="shared" si="2"/>
        <v>1.9754453201938631E-2</v>
      </c>
    </row>
    <row r="85" spans="2:5" x14ac:dyDescent="0.25">
      <c r="B85" s="63">
        <v>45</v>
      </c>
      <c r="C85" s="66">
        <f t="shared" si="0"/>
        <v>15.642631884188171</v>
      </c>
      <c r="D85" s="4">
        <f t="shared" si="1"/>
        <v>1.0062305898749055E-2</v>
      </c>
      <c r="E85" s="24">
        <f t="shared" si="2"/>
        <v>1.9777820069235154E-2</v>
      </c>
    </row>
    <row r="86" spans="2:5" x14ac:dyDescent="0.25">
      <c r="B86" s="63">
        <v>46</v>
      </c>
      <c r="C86" s="66">
        <f t="shared" si="0"/>
        <v>16.444646771097055</v>
      </c>
      <c r="D86" s="4">
        <f t="shared" si="1"/>
        <v>1.0173494974687903E-2</v>
      </c>
      <c r="E86" s="24">
        <f t="shared" si="2"/>
        <v>1.9798963285107329E-2</v>
      </c>
    </row>
    <row r="87" spans="2:5" x14ac:dyDescent="0.25">
      <c r="B87" s="63">
        <v>47</v>
      </c>
      <c r="C87" s="66">
        <f t="shared" si="0"/>
        <v>17.287781840567639</v>
      </c>
      <c r="D87" s="4">
        <f t="shared" si="1"/>
        <v>1.0283481900601566E-2</v>
      </c>
      <c r="E87" s="24">
        <f t="shared" si="2"/>
        <v>1.9818094457966087E-2</v>
      </c>
    </row>
    <row r="88" spans="2:5" x14ac:dyDescent="0.25">
      <c r="B88" s="63">
        <v>48</v>
      </c>
      <c r="C88" s="66">
        <f t="shared" si="0"/>
        <v>18.174145369443067</v>
      </c>
      <c r="D88" s="4">
        <f t="shared" si="1"/>
        <v>1.0392304845413263E-2</v>
      </c>
      <c r="E88" s="24">
        <f t="shared" si="2"/>
        <v>1.9835405059019599E-2</v>
      </c>
    </row>
    <row r="89" spans="2:5" x14ac:dyDescent="0.25">
      <c r="B89" s="63">
        <v>49</v>
      </c>
      <c r="C89" s="66">
        <f t="shared" si="0"/>
        <v>19.105953728231651</v>
      </c>
      <c r="D89" s="4">
        <f t="shared" si="1"/>
        <v>1.0500000000000001E-2</v>
      </c>
      <c r="E89" s="24">
        <f t="shared" si="2"/>
        <v>1.9851068338581513E-2</v>
      </c>
    </row>
    <row r="90" spans="2:5" x14ac:dyDescent="0.25">
      <c r="B90" s="64">
        <v>50</v>
      </c>
      <c r="C90" s="67">
        <f t="shared" si="0"/>
        <v>20.085536923187668</v>
      </c>
      <c r="D90" s="23">
        <f t="shared" si="1"/>
        <v>1.0606601717798213E-2</v>
      </c>
      <c r="E90" s="71">
        <f t="shared" si="2"/>
        <v>1.9865241060018291E-2</v>
      </c>
    </row>
  </sheetData>
  <sheetProtection password="DC2F" sheet="1" formatCells="0"/>
  <protectedRanges>
    <protectedRange sqref="B41:B90" name="Range10"/>
    <protectedRange sqref="I36" name="Range9"/>
    <protectedRange sqref="D34:E34" name="Range8"/>
    <protectedRange sqref="C30:C31" name="Range7"/>
    <protectedRange sqref="I24" name="Range6"/>
    <protectedRange sqref="D22:E22" name="Range5"/>
    <protectedRange sqref="C18:C19" name="Range4"/>
    <protectedRange sqref="I11" name="Range3"/>
    <protectedRange sqref="D9:E9" name="Range2"/>
    <protectedRange sqref="C5:C6" name="Range1"/>
  </protectedRanges>
  <phoneticPr fontId="0" type="noConversion"/>
  <pageMargins left="0.75" right="0.75" top="1" bottom="1" header="0.5" footer="0.5"/>
  <pageSetup orientation="portrait" r:id="rId1"/>
  <headerFooter alignWithMargins="0">
    <oddHeader>&amp;LMSC 565&amp;CQuiz #3
fall 2003&amp;R&amp;D</oddHeader>
  </headerFooter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3</xdr:col>
                <xdr:colOff>76200</xdr:colOff>
                <xdr:row>17</xdr:row>
                <xdr:rowOff>38100</xdr:rowOff>
              </from>
              <to>
                <xdr:col>7</xdr:col>
                <xdr:colOff>556260</xdr:colOff>
                <xdr:row>19</xdr:row>
                <xdr:rowOff>76200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30" r:id="rId6">
          <objectPr defaultSize="0" autoPict="0" r:id="rId7">
            <anchor moveWithCells="1" sizeWithCells="1">
              <from>
                <xdr:col>3</xdr:col>
                <xdr:colOff>60960</xdr:colOff>
                <xdr:row>28</xdr:row>
                <xdr:rowOff>167640</xdr:rowOff>
              </from>
              <to>
                <xdr:col>8</xdr:col>
                <xdr:colOff>563880</xdr:colOff>
                <xdr:row>31</xdr:row>
                <xdr:rowOff>182880</xdr:rowOff>
              </to>
            </anchor>
          </objectPr>
        </oleObject>
      </mc:Choice>
      <mc:Fallback>
        <oleObject progId="Equation.DSMT4" shapeId="103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G6" sqref="G6"/>
    </sheetView>
  </sheetViews>
  <sheetFormatPr defaultRowHeight="13.2" x14ac:dyDescent="0.25"/>
  <cols>
    <col min="1" max="1" width="15.44140625" customWidth="1"/>
    <col min="2" max="2" width="23.33203125" customWidth="1"/>
    <col min="3" max="3" width="13.44140625" customWidth="1"/>
    <col min="4" max="4" width="6.88671875" customWidth="1"/>
    <col min="5" max="5" width="14.5546875" customWidth="1"/>
  </cols>
  <sheetData>
    <row r="1" spans="1:6" ht="17.399999999999999" x14ac:dyDescent="0.3">
      <c r="A1" s="219"/>
      <c r="B1" s="244" t="s">
        <v>90</v>
      </c>
      <c r="C1" s="230"/>
      <c r="D1" s="230"/>
      <c r="E1" s="220"/>
      <c r="F1" s="6"/>
    </row>
    <row r="2" spans="1:6" ht="13.8" x14ac:dyDescent="0.25">
      <c r="A2" s="245"/>
      <c r="B2" s="246" t="s">
        <v>91</v>
      </c>
      <c r="C2" s="246"/>
      <c r="D2" s="246" t="s">
        <v>98</v>
      </c>
      <c r="E2" s="247" t="s">
        <v>100</v>
      </c>
      <c r="F2" s="6"/>
    </row>
    <row r="3" spans="1:6" ht="13.8" x14ac:dyDescent="0.25">
      <c r="A3" s="248"/>
      <c r="B3" s="249" t="s">
        <v>95</v>
      </c>
      <c r="C3" s="164">
        <v>500</v>
      </c>
      <c r="D3" s="167" t="s">
        <v>99</v>
      </c>
      <c r="E3" s="250">
        <f>1/C3</f>
        <v>2E-3</v>
      </c>
      <c r="F3" s="6"/>
    </row>
    <row r="4" spans="1:6" ht="13.8" x14ac:dyDescent="0.25">
      <c r="A4" s="248"/>
      <c r="B4" s="249" t="s">
        <v>92</v>
      </c>
      <c r="C4" s="165">
        <v>200</v>
      </c>
      <c r="D4" s="207" t="str">
        <f>D3</f>
        <v>days</v>
      </c>
      <c r="E4" s="250">
        <f>1/C4</f>
        <v>5.0000000000000001E-3</v>
      </c>
      <c r="F4" s="6"/>
    </row>
    <row r="5" spans="1:6" ht="13.8" x14ac:dyDescent="0.25">
      <c r="A5" s="248"/>
      <c r="B5" s="249" t="s">
        <v>93</v>
      </c>
      <c r="C5" s="166">
        <v>12</v>
      </c>
      <c r="D5" s="207" t="str">
        <f>D3</f>
        <v>days</v>
      </c>
      <c r="E5" s="250">
        <f>1/C5</f>
        <v>8.3333333333333329E-2</v>
      </c>
      <c r="F5" s="6"/>
    </row>
    <row r="6" spans="1:6" ht="13.8" x14ac:dyDescent="0.25">
      <c r="A6" s="153"/>
      <c r="B6" s="154" t="s">
        <v>94</v>
      </c>
      <c r="C6" s="155">
        <f>C4*(1-EXP(-E4*C3))</f>
        <v>183.58300027522023</v>
      </c>
      <c r="D6" s="156" t="str">
        <f>D3</f>
        <v>days</v>
      </c>
      <c r="E6" s="157"/>
      <c r="F6" s="6"/>
    </row>
    <row r="7" spans="1:6" ht="13.8" x14ac:dyDescent="0.25">
      <c r="A7" s="245"/>
      <c r="B7" s="251" t="s">
        <v>96</v>
      </c>
      <c r="C7" s="252" t="s">
        <v>101</v>
      </c>
      <c r="D7" s="246" t="s">
        <v>97</v>
      </c>
      <c r="E7" s="253"/>
      <c r="F7" s="6"/>
    </row>
    <row r="8" spans="1:6" x14ac:dyDescent="0.25">
      <c r="B8" s="158">
        <v>25</v>
      </c>
      <c r="C8" s="161">
        <f>1-($E$5*EXP(-$E$4*B8)-$E$4*EXP(-$E$5*B8))/($E$5-$E$4)</f>
        <v>6.9121240108565796E-2</v>
      </c>
    </row>
    <row r="9" spans="1:6" x14ac:dyDescent="0.25">
      <c r="B9" s="159">
        <v>50</v>
      </c>
      <c r="C9" s="162">
        <f>1-($E$5*EXP(-$E$4*B9)-$E$4*EXP(-$E$5*B9))/($E$5-$E$4)</f>
        <v>0.17247813632397391</v>
      </c>
    </row>
    <row r="10" spans="1:6" x14ac:dyDescent="0.25">
      <c r="B10" s="159">
        <v>75</v>
      </c>
      <c r="C10" s="162">
        <f>1-($E$5*EXP(-$E$4*B10)-$E$4*EXP(-$E$5*B10))/($E$5-$E$4)</f>
        <v>0.26896441325234188</v>
      </c>
    </row>
    <row r="11" spans="1:6" x14ac:dyDescent="0.25">
      <c r="B11" s="159">
        <v>90</v>
      </c>
      <c r="C11" s="162">
        <f t="shared" ref="C11:C47" si="0">1-($E$5*EXP(-$E$4*B11)-$E$4*EXP(-$E$5*B11))/($E$5-$E$4)</f>
        <v>0.32170748238344204</v>
      </c>
    </row>
    <row r="12" spans="1:6" x14ac:dyDescent="0.25">
      <c r="B12" s="159">
        <v>125</v>
      </c>
      <c r="C12" s="162">
        <f t="shared" si="0"/>
        <v>0.43057485877628532</v>
      </c>
    </row>
    <row r="13" spans="1:6" x14ac:dyDescent="0.25">
      <c r="B13" s="159">
        <v>150</v>
      </c>
      <c r="C13" s="162">
        <f t="shared" si="0"/>
        <v>0.49748262857252723</v>
      </c>
    </row>
    <row r="14" spans="1:6" x14ac:dyDescent="0.25">
      <c r="B14" s="159">
        <v>175</v>
      </c>
      <c r="C14" s="162">
        <f t="shared" si="0"/>
        <v>0.55652979591790053</v>
      </c>
    </row>
    <row r="15" spans="1:6" x14ac:dyDescent="0.25">
      <c r="B15" s="159">
        <v>200</v>
      </c>
      <c r="C15" s="162">
        <f t="shared" si="0"/>
        <v>0.60863889605873056</v>
      </c>
    </row>
    <row r="16" spans="1:6" x14ac:dyDescent="0.25">
      <c r="B16" s="159">
        <v>225</v>
      </c>
      <c r="C16" s="162">
        <f t="shared" si="0"/>
        <v>0.65462503518435977</v>
      </c>
    </row>
    <row r="17" spans="2:3" x14ac:dyDescent="0.25">
      <c r="B17" s="159">
        <v>250</v>
      </c>
      <c r="C17" s="162">
        <f t="shared" si="0"/>
        <v>0.69520766297186842</v>
      </c>
    </row>
    <row r="18" spans="2:3" x14ac:dyDescent="0.25">
      <c r="B18" s="159">
        <v>275</v>
      </c>
      <c r="C18" s="162">
        <f t="shared" si="0"/>
        <v>0.73102170659781462</v>
      </c>
    </row>
    <row r="19" spans="2:3" x14ac:dyDescent="0.25">
      <c r="B19" s="159">
        <v>300</v>
      </c>
      <c r="C19" s="162">
        <f t="shared" si="0"/>
        <v>0.76262748920468448</v>
      </c>
    </row>
    <row r="20" spans="2:3" x14ac:dyDescent="0.25">
      <c r="B20" s="159">
        <v>325</v>
      </c>
      <c r="C20" s="162">
        <f t="shared" si="0"/>
        <v>0.79051949446373371</v>
      </c>
    </row>
    <row r="21" spans="2:3" x14ac:dyDescent="0.25">
      <c r="B21" s="159">
        <v>350</v>
      </c>
      <c r="C21" s="162">
        <f t="shared" si="0"/>
        <v>0.81513410271230613</v>
      </c>
    </row>
    <row r="22" spans="2:3" x14ac:dyDescent="0.25">
      <c r="B22" s="159">
        <v>375</v>
      </c>
      <c r="C22" s="162">
        <f t="shared" si="0"/>
        <v>0.83685641825007773</v>
      </c>
    </row>
    <row r="23" spans="2:3" x14ac:dyDescent="0.25">
      <c r="B23" s="159">
        <v>400</v>
      </c>
      <c r="C23" s="162">
        <f t="shared" si="0"/>
        <v>0.85602629442913569</v>
      </c>
    </row>
    <row r="24" spans="2:3" x14ac:dyDescent="0.25">
      <c r="B24" s="159">
        <v>425</v>
      </c>
      <c r="C24" s="162">
        <f t="shared" si="0"/>
        <v>0.87294365078008551</v>
      </c>
    </row>
    <row r="25" spans="2:3" x14ac:dyDescent="0.25">
      <c r="B25" s="159">
        <v>450</v>
      </c>
      <c r="C25" s="162">
        <f t="shared" si="0"/>
        <v>0.88787316535971883</v>
      </c>
    </row>
    <row r="26" spans="2:3" x14ac:dyDescent="0.25">
      <c r="B26" s="159">
        <v>475</v>
      </c>
      <c r="C26" s="162">
        <f t="shared" si="0"/>
        <v>0.90104841573333672</v>
      </c>
    </row>
    <row r="27" spans="2:3" x14ac:dyDescent="0.25">
      <c r="B27" s="159">
        <v>500</v>
      </c>
      <c r="C27" s="162">
        <f t="shared" si="0"/>
        <v>0.91267553337883101</v>
      </c>
    </row>
    <row r="28" spans="2:3" x14ac:dyDescent="0.25">
      <c r="B28" s="159">
        <v>525</v>
      </c>
      <c r="C28" s="162">
        <f t="shared" si="0"/>
        <v>0.92293642868696657</v>
      </c>
    </row>
    <row r="29" spans="2:3" x14ac:dyDescent="0.25">
      <c r="B29" s="159">
        <v>550</v>
      </c>
      <c r="C29" s="162">
        <f t="shared" si="0"/>
        <v>0.93199163701414089</v>
      </c>
    </row>
    <row r="30" spans="2:3" x14ac:dyDescent="0.25">
      <c r="B30" s="159">
        <v>575</v>
      </c>
      <c r="C30" s="162">
        <f t="shared" si="0"/>
        <v>0.93998283031513052</v>
      </c>
    </row>
    <row r="31" spans="2:3" x14ac:dyDescent="0.25">
      <c r="B31" s="159">
        <v>600</v>
      </c>
      <c r="C31" s="162">
        <f t="shared" si="0"/>
        <v>0.94703503365120856</v>
      </c>
    </row>
    <row r="32" spans="2:3" x14ac:dyDescent="0.25">
      <c r="B32" s="159">
        <v>625</v>
      </c>
      <c r="C32" s="162">
        <f t="shared" si="0"/>
        <v>0.95325858125169427</v>
      </c>
    </row>
    <row r="33" spans="2:3" x14ac:dyDescent="0.25">
      <c r="B33" s="159">
        <v>650</v>
      </c>
      <c r="C33" s="162">
        <f t="shared" si="0"/>
        <v>0.95875084273221067</v>
      </c>
    </row>
    <row r="34" spans="2:3" x14ac:dyDescent="0.25">
      <c r="B34" s="159">
        <v>675</v>
      </c>
      <c r="C34" s="162">
        <f t="shared" si="0"/>
        <v>0.96359774647695107</v>
      </c>
    </row>
    <row r="35" spans="2:3" x14ac:dyDescent="0.25">
      <c r="B35" s="159">
        <v>700</v>
      </c>
      <c r="C35" s="162">
        <f t="shared" si="0"/>
        <v>0.96787512401881015</v>
      </c>
    </row>
    <row r="36" spans="2:3" x14ac:dyDescent="0.25">
      <c r="B36" s="159">
        <v>725</v>
      </c>
      <c r="C36" s="162">
        <f t="shared" si="0"/>
        <v>0.97164989645068567</v>
      </c>
    </row>
    <row r="37" spans="2:3" x14ac:dyDescent="0.25">
      <c r="B37" s="159">
        <v>750</v>
      </c>
      <c r="C37" s="162">
        <f t="shared" si="0"/>
        <v>0.97498112142977755</v>
      </c>
    </row>
    <row r="38" spans="2:3" x14ac:dyDescent="0.25">
      <c r="B38" s="159">
        <v>775</v>
      </c>
      <c r="C38" s="162">
        <f t="shared" si="0"/>
        <v>0.97792091715563856</v>
      </c>
    </row>
    <row r="39" spans="2:3" x14ac:dyDescent="0.25">
      <c r="B39" s="159">
        <v>800</v>
      </c>
      <c r="C39" s="162">
        <f t="shared" si="0"/>
        <v>0.98051527777794234</v>
      </c>
    </row>
    <row r="40" spans="2:3" x14ac:dyDescent="0.25">
      <c r="B40" s="159">
        <v>825</v>
      </c>
      <c r="C40" s="162">
        <f t="shared" si="0"/>
        <v>0.98280479299131285</v>
      </c>
    </row>
    <row r="41" spans="2:3" x14ac:dyDescent="0.25">
      <c r="B41" s="159">
        <v>850</v>
      </c>
      <c r="C41" s="162">
        <f t="shared" si="0"/>
        <v>0.98482528307553274</v>
      </c>
    </row>
    <row r="42" spans="2:3" x14ac:dyDescent="0.25">
      <c r="B42" s="159">
        <v>875</v>
      </c>
      <c r="C42" s="162">
        <f t="shared" si="0"/>
        <v>0.98660835931655955</v>
      </c>
    </row>
    <row r="43" spans="2:3" x14ac:dyDescent="0.25">
      <c r="B43" s="159">
        <v>900</v>
      </c>
      <c r="C43" s="162">
        <f t="shared" si="0"/>
        <v>0.98818191857633797</v>
      </c>
    </row>
    <row r="44" spans="2:3" x14ac:dyDescent="0.25">
      <c r="B44" s="159">
        <v>925</v>
      </c>
      <c r="C44" s="162">
        <f t="shared" si="0"/>
        <v>0.98957057974912577</v>
      </c>
    </row>
    <row r="45" spans="2:3" x14ac:dyDescent="0.25">
      <c r="B45" s="159">
        <v>950</v>
      </c>
      <c r="C45" s="162">
        <f t="shared" si="0"/>
        <v>0.99079606893285044</v>
      </c>
    </row>
    <row r="46" spans="2:3" x14ac:dyDescent="0.25">
      <c r="B46" s="159">
        <v>975</v>
      </c>
      <c r="C46" s="162">
        <f t="shared" si="0"/>
        <v>0.99187755934163835</v>
      </c>
    </row>
    <row r="47" spans="2:3" x14ac:dyDescent="0.25">
      <c r="B47" s="160">
        <v>1000</v>
      </c>
      <c r="C47" s="163">
        <f t="shared" si="0"/>
        <v>0.99283197127756861</v>
      </c>
    </row>
    <row r="48" spans="2:3" x14ac:dyDescent="0.25">
      <c r="B48" s="47"/>
    </row>
    <row r="49" spans="2:2" x14ac:dyDescent="0.25">
      <c r="B49" s="47"/>
    </row>
    <row r="50" spans="2:2" x14ac:dyDescent="0.25">
      <c r="B50" s="47"/>
    </row>
    <row r="51" spans="2:2" x14ac:dyDescent="0.25">
      <c r="B51" s="47"/>
    </row>
    <row r="52" spans="2:2" x14ac:dyDescent="0.25">
      <c r="B52" s="47"/>
    </row>
    <row r="53" spans="2:2" x14ac:dyDescent="0.25">
      <c r="B53" s="47"/>
    </row>
    <row r="54" spans="2:2" x14ac:dyDescent="0.25">
      <c r="B54" s="47"/>
    </row>
    <row r="55" spans="2:2" x14ac:dyDescent="0.25">
      <c r="B55" s="47"/>
    </row>
    <row r="56" spans="2:2" x14ac:dyDescent="0.25">
      <c r="B56" s="47"/>
    </row>
    <row r="57" spans="2:2" x14ac:dyDescent="0.25">
      <c r="B57" s="47"/>
    </row>
  </sheetData>
  <sheetProtection password="DC2F" sheet="1" objects="1" scenarios="1" formatCells="0"/>
  <protectedRanges>
    <protectedRange sqref="B8:B47" name="Range3"/>
    <protectedRange sqref="D3" name="Range2"/>
    <protectedRange sqref="C3:C5" name="Range1"/>
  </protectedRange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workbookViewId="0">
      <selection activeCell="E13" sqref="E13"/>
    </sheetView>
  </sheetViews>
  <sheetFormatPr defaultRowHeight="13.2" x14ac:dyDescent="0.25"/>
  <cols>
    <col min="1" max="1" width="20.6640625" customWidth="1"/>
    <col min="2" max="2" width="17.33203125" customWidth="1"/>
    <col min="3" max="12" width="8.6640625" customWidth="1"/>
    <col min="13" max="13" width="9.6640625" customWidth="1"/>
  </cols>
  <sheetData>
    <row r="1" spans="1:13" ht="15" x14ac:dyDescent="0.25">
      <c r="B1" s="254" t="s">
        <v>102</v>
      </c>
      <c r="C1" s="200"/>
      <c r="D1" s="200"/>
      <c r="E1" s="200"/>
      <c r="F1" s="203"/>
    </row>
    <row r="3" spans="1:13" x14ac:dyDescent="0.25">
      <c r="A3" s="176"/>
      <c r="B3" s="177" t="s">
        <v>105</v>
      </c>
      <c r="C3" s="181">
        <v>1</v>
      </c>
      <c r="D3" s="182">
        <v>2</v>
      </c>
      <c r="E3" s="182">
        <v>3</v>
      </c>
      <c r="F3" s="182">
        <v>4</v>
      </c>
      <c r="G3" s="182">
        <v>5</v>
      </c>
      <c r="H3" s="182">
        <v>6</v>
      </c>
      <c r="I3" s="182">
        <v>7</v>
      </c>
      <c r="J3" s="182">
        <v>8</v>
      </c>
      <c r="K3" s="182">
        <v>9</v>
      </c>
      <c r="L3" s="183">
        <v>10</v>
      </c>
      <c r="M3" s="186" t="s">
        <v>117</v>
      </c>
    </row>
    <row r="4" spans="1:13" x14ac:dyDescent="0.25">
      <c r="A4" s="178"/>
      <c r="B4" s="179" t="s">
        <v>112</v>
      </c>
      <c r="C4" s="169">
        <v>5</v>
      </c>
      <c r="D4" s="169">
        <v>2</v>
      </c>
      <c r="E4" s="169">
        <v>7</v>
      </c>
      <c r="F4" s="169">
        <v>8</v>
      </c>
      <c r="G4" s="169">
        <v>9</v>
      </c>
      <c r="H4" s="169">
        <v>10</v>
      </c>
      <c r="I4" s="169">
        <v>2</v>
      </c>
      <c r="J4" s="169">
        <v>6</v>
      </c>
      <c r="K4" s="169">
        <v>7</v>
      </c>
      <c r="L4" s="170">
        <v>5</v>
      </c>
      <c r="M4" s="79" t="s">
        <v>104</v>
      </c>
    </row>
    <row r="5" spans="1:13" x14ac:dyDescent="0.25">
      <c r="A5" s="175"/>
      <c r="B5" s="180" t="s">
        <v>118</v>
      </c>
      <c r="C5" s="173">
        <v>1</v>
      </c>
      <c r="D5" s="173">
        <v>1</v>
      </c>
      <c r="E5" s="173">
        <v>2</v>
      </c>
      <c r="F5" s="173">
        <v>2</v>
      </c>
      <c r="G5" s="173">
        <v>1</v>
      </c>
      <c r="H5" s="173">
        <v>1</v>
      </c>
      <c r="I5" s="173">
        <v>3</v>
      </c>
      <c r="J5" s="173">
        <v>2</v>
      </c>
      <c r="K5" s="173">
        <v>1</v>
      </c>
      <c r="L5" s="174">
        <v>1</v>
      </c>
      <c r="M5" s="187"/>
    </row>
    <row r="6" spans="1:13" x14ac:dyDescent="0.25">
      <c r="A6" s="255" t="s">
        <v>103</v>
      </c>
      <c r="B6" s="256" t="s">
        <v>113</v>
      </c>
      <c r="C6" s="136">
        <v>0.5</v>
      </c>
      <c r="D6" s="171">
        <v>0.25</v>
      </c>
      <c r="E6" s="171"/>
      <c r="F6" s="171"/>
      <c r="G6" s="171">
        <v>2.5</v>
      </c>
      <c r="H6" s="171">
        <v>4.5</v>
      </c>
      <c r="I6" s="171"/>
      <c r="J6" s="171"/>
      <c r="K6" s="171">
        <v>0.8</v>
      </c>
      <c r="L6" s="172"/>
      <c r="M6" s="79" t="s">
        <v>111</v>
      </c>
    </row>
    <row r="7" spans="1:13" x14ac:dyDescent="0.25">
      <c r="A7" s="257" t="s">
        <v>110</v>
      </c>
      <c r="B7" s="258" t="s">
        <v>114</v>
      </c>
      <c r="C7" s="135"/>
      <c r="D7" s="169"/>
      <c r="E7" s="169">
        <v>0.1</v>
      </c>
      <c r="F7" s="169">
        <v>0.32</v>
      </c>
      <c r="G7" s="169"/>
      <c r="H7" s="169"/>
      <c r="I7" s="169">
        <v>0.87</v>
      </c>
      <c r="J7" s="169">
        <v>0.24</v>
      </c>
      <c r="K7" s="169"/>
      <c r="L7" s="170"/>
      <c r="M7" s="187"/>
    </row>
    <row r="8" spans="1:13" x14ac:dyDescent="0.25">
      <c r="A8" s="224"/>
      <c r="B8" s="259" t="s">
        <v>115</v>
      </c>
      <c r="C8" s="136"/>
      <c r="D8" s="171"/>
      <c r="E8" s="171">
        <v>2.1</v>
      </c>
      <c r="F8" s="171">
        <v>1.25</v>
      </c>
      <c r="G8" s="171"/>
      <c r="H8" s="171"/>
      <c r="I8" s="184">
        <v>1.18</v>
      </c>
      <c r="J8" s="171">
        <v>1.2</v>
      </c>
      <c r="K8" s="171"/>
      <c r="L8" s="172"/>
      <c r="M8" s="188" t="s">
        <v>107</v>
      </c>
    </row>
    <row r="9" spans="1:13" x14ac:dyDescent="0.25">
      <c r="A9" s="131"/>
      <c r="B9" s="197" t="s">
        <v>106</v>
      </c>
      <c r="C9" s="190">
        <f t="shared" ref="C9:L9" si="0">IF(C6&gt;0,$B$11/C6,C7*$B$11^C8)</f>
        <v>20</v>
      </c>
      <c r="D9" s="191">
        <f t="shared" si="0"/>
        <v>40</v>
      </c>
      <c r="E9" s="191">
        <f t="shared" si="0"/>
        <v>12.589254117941678</v>
      </c>
      <c r="F9" s="191">
        <f t="shared" si="0"/>
        <v>5.6904941121245551</v>
      </c>
      <c r="G9" s="191">
        <f t="shared" si="0"/>
        <v>4</v>
      </c>
      <c r="H9" s="191">
        <f t="shared" si="0"/>
        <v>2.2222222222222223</v>
      </c>
      <c r="I9" s="191">
        <f t="shared" si="0"/>
        <v>13.167982861395016</v>
      </c>
      <c r="J9" s="191">
        <f t="shared" si="0"/>
        <v>3.8037436619066725</v>
      </c>
      <c r="K9" s="191">
        <f t="shared" si="0"/>
        <v>12.5</v>
      </c>
      <c r="L9" s="191">
        <f t="shared" si="0"/>
        <v>0</v>
      </c>
      <c r="M9" s="192">
        <f>SUM(C9:L9)</f>
        <v>113.97369697559014</v>
      </c>
    </row>
    <row r="10" spans="1:13" x14ac:dyDescent="0.25">
      <c r="A10" s="127"/>
      <c r="B10" s="198" t="s">
        <v>116</v>
      </c>
      <c r="C10" s="193">
        <f>C5*C9</f>
        <v>20</v>
      </c>
      <c r="D10" s="194">
        <f t="shared" ref="D10:L10" si="1">D5*D9</f>
        <v>40</v>
      </c>
      <c r="E10" s="194">
        <f t="shared" si="1"/>
        <v>25.178508235883356</v>
      </c>
      <c r="F10" s="194">
        <f t="shared" si="1"/>
        <v>11.38098822424911</v>
      </c>
      <c r="G10" s="194">
        <f t="shared" si="1"/>
        <v>4</v>
      </c>
      <c r="H10" s="194">
        <f t="shared" si="1"/>
        <v>2.2222222222222223</v>
      </c>
      <c r="I10" s="194">
        <f t="shared" si="1"/>
        <v>39.503948584185046</v>
      </c>
      <c r="J10" s="194">
        <f t="shared" si="1"/>
        <v>7.6074873238133449</v>
      </c>
      <c r="K10" s="194">
        <f t="shared" si="1"/>
        <v>12.5</v>
      </c>
      <c r="L10" s="194">
        <f t="shared" si="1"/>
        <v>0</v>
      </c>
      <c r="M10" s="195">
        <f>SUM(C10:L10)</f>
        <v>162.39315459035311</v>
      </c>
    </row>
    <row r="11" spans="1:13" x14ac:dyDescent="0.25">
      <c r="A11" s="168" t="s">
        <v>109</v>
      </c>
      <c r="B11" s="196">
        <v>10</v>
      </c>
      <c r="C11" s="189" t="str">
        <f>M6</f>
        <v>years</v>
      </c>
    </row>
    <row r="12" spans="1:13" ht="13.8" x14ac:dyDescent="0.25">
      <c r="A12" s="185" t="s">
        <v>108</v>
      </c>
      <c r="B12" s="155">
        <f>SUMPRODUCT(C4:L4,C10:L10)/M10</f>
        <v>4.4193519646134254</v>
      </c>
      <c r="C12" s="157" t="str">
        <f>M4</f>
        <v>hours</v>
      </c>
    </row>
  </sheetData>
  <sheetProtection password="DC2F" sheet="1" objects="1" scenarios="1" formatCells="0"/>
  <protectedRanges>
    <protectedRange sqref="B11" name="Range2"/>
    <protectedRange sqref="C4:M8" name="Range1"/>
  </protectedRange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2" sqref="J2"/>
    </sheetView>
  </sheetViews>
  <sheetFormatPr defaultRowHeight="13.2" x14ac:dyDescent="0.25"/>
  <cols>
    <col min="1" max="1" width="5" customWidth="1"/>
    <col min="2" max="2" width="12.5546875" customWidth="1"/>
    <col min="3" max="3" width="12.44140625" bestFit="1" customWidth="1"/>
    <col min="5" max="5" width="4.109375" customWidth="1"/>
    <col min="6" max="6" width="11.5546875" customWidth="1"/>
    <col min="7" max="7" width="10.88671875" customWidth="1"/>
    <col min="8" max="8" width="4.44140625" customWidth="1"/>
  </cols>
  <sheetData>
    <row r="1" spans="1:10" ht="13.8" x14ac:dyDescent="0.25">
      <c r="A1" s="260"/>
      <c r="B1" s="245" t="s">
        <v>26</v>
      </c>
      <c r="C1" s="200"/>
      <c r="D1" s="200"/>
      <c r="E1" s="200"/>
      <c r="F1" s="203"/>
      <c r="G1" s="79" t="s">
        <v>84</v>
      </c>
      <c r="H1" s="261"/>
      <c r="I1" s="200"/>
      <c r="J1" s="203"/>
    </row>
    <row r="2" spans="1:10" ht="26.4" x14ac:dyDescent="0.25">
      <c r="A2" s="263"/>
      <c r="B2" s="267" t="s">
        <v>16</v>
      </c>
      <c r="C2" s="54">
        <v>100</v>
      </c>
      <c r="D2" s="262" t="s">
        <v>25</v>
      </c>
      <c r="E2" s="200"/>
      <c r="F2" s="200"/>
      <c r="G2" s="200"/>
      <c r="H2" s="54">
        <v>0.01</v>
      </c>
      <c r="I2" s="200"/>
      <c r="J2" s="203"/>
    </row>
    <row r="3" spans="1:10" x14ac:dyDescent="0.25">
      <c r="A3" s="264"/>
      <c r="B3" s="268"/>
      <c r="C3" s="270" t="s">
        <v>17</v>
      </c>
      <c r="D3" s="271"/>
      <c r="E3" s="204"/>
      <c r="F3" s="270" t="s">
        <v>19</v>
      </c>
      <c r="G3" s="220"/>
      <c r="H3" s="277"/>
      <c r="I3" s="270" t="s">
        <v>22</v>
      </c>
      <c r="J3" s="220"/>
    </row>
    <row r="4" spans="1:10" ht="17.399999999999999" x14ac:dyDescent="0.3">
      <c r="A4" s="264"/>
      <c r="B4" s="268"/>
      <c r="C4" s="272" t="s">
        <v>0</v>
      </c>
      <c r="D4" s="273" t="s">
        <v>18</v>
      </c>
      <c r="E4" s="276"/>
      <c r="F4" s="274" t="s">
        <v>20</v>
      </c>
      <c r="G4" s="275" t="s">
        <v>21</v>
      </c>
      <c r="H4" s="268"/>
      <c r="I4" s="217" t="s">
        <v>85</v>
      </c>
      <c r="J4" s="225" t="s">
        <v>23</v>
      </c>
    </row>
    <row r="5" spans="1:10" x14ac:dyDescent="0.25">
      <c r="A5" s="265"/>
      <c r="B5" s="269"/>
      <c r="C5" s="117">
        <v>2</v>
      </c>
      <c r="D5" s="118">
        <v>1000</v>
      </c>
      <c r="E5" s="269"/>
      <c r="F5" s="117">
        <v>1000</v>
      </c>
      <c r="G5" s="118">
        <v>400</v>
      </c>
      <c r="H5" s="269"/>
      <c r="I5" s="117">
        <v>1000</v>
      </c>
      <c r="J5" s="119">
        <v>1</v>
      </c>
    </row>
    <row r="6" spans="1:10" x14ac:dyDescent="0.25">
      <c r="A6" s="265"/>
      <c r="B6" s="72"/>
      <c r="C6" s="73"/>
      <c r="D6" s="73"/>
      <c r="E6" s="73"/>
      <c r="F6" s="73"/>
      <c r="G6" s="73"/>
      <c r="H6" s="73"/>
      <c r="I6" s="73"/>
      <c r="J6" s="74"/>
    </row>
    <row r="7" spans="1:10" x14ac:dyDescent="0.25">
      <c r="A7" s="266" t="s">
        <v>27</v>
      </c>
      <c r="B7" s="97" t="s">
        <v>7</v>
      </c>
      <c r="C7" s="76" t="s">
        <v>3</v>
      </c>
      <c r="D7" s="76" t="s">
        <v>24</v>
      </c>
      <c r="E7" s="76"/>
      <c r="F7" s="76" t="s">
        <v>3</v>
      </c>
      <c r="G7" s="76" t="s">
        <v>24</v>
      </c>
      <c r="H7" s="76"/>
      <c r="I7" s="76" t="s">
        <v>3</v>
      </c>
      <c r="J7" s="77" t="s">
        <v>24</v>
      </c>
    </row>
    <row r="8" spans="1:10" x14ac:dyDescent="0.25">
      <c r="A8" s="80">
        <v>1</v>
      </c>
      <c r="B8" s="94">
        <f>C2</f>
        <v>100</v>
      </c>
      <c r="C8" s="83">
        <f>EXP(-((B8/$D$5)^$C$5))</f>
        <v>0.99004983374916811</v>
      </c>
      <c r="D8" s="84">
        <f>(1-$H$2)*C8</f>
        <v>0.98014933541167637</v>
      </c>
      <c r="E8" s="85"/>
      <c r="F8" s="84">
        <f>1-NORMDIST(B8,$F$5,$G$5,TRUE)</f>
        <v>0.98777552734495533</v>
      </c>
      <c r="G8" s="84">
        <f>(1-$H$2)*F8</f>
        <v>0.97789777207150574</v>
      </c>
      <c r="H8" s="85"/>
      <c r="I8" s="85">
        <f>1-LOGNORMDIST(B8,LN($I$5),$J$5)</f>
        <v>0.98934890065829983</v>
      </c>
      <c r="J8" s="86">
        <f>(1-$H$2)*I8</f>
        <v>0.97945541165171679</v>
      </c>
    </row>
    <row r="9" spans="1:10" x14ac:dyDescent="0.25">
      <c r="A9" s="81">
        <v>2</v>
      </c>
      <c r="B9" s="95">
        <f>A9*$C$2</f>
        <v>200</v>
      </c>
      <c r="C9" s="87">
        <f t="shared" ref="C9:C32" si="0">EXP(-((B9/$D$5)^$C$5))</f>
        <v>0.96078943915232318</v>
      </c>
      <c r="D9" s="21">
        <f>(1-$H$2)^$A9*C$8^$A9</f>
        <v>0.96069271970795089</v>
      </c>
      <c r="E9" s="6"/>
      <c r="F9" s="21">
        <f t="shared" ref="F9:F32" si="1">1-NORMDIST(B9,$F$5,$G$5,TRUE)</f>
        <v>0.97724986805182079</v>
      </c>
      <c r="G9" s="21">
        <f>(1-$H$2)^$A9*F$8^$A9</f>
        <v>0.95628405262241467</v>
      </c>
      <c r="H9" s="6"/>
      <c r="I9" s="6">
        <f>1-LOGNORMDIST(B9,LN($I$5),$J$5)</f>
        <v>0.94623968954833693</v>
      </c>
      <c r="J9" s="88">
        <f>(1-$H$2)^$A9*I$8^$A9</f>
        <v>0.95933290341383404</v>
      </c>
    </row>
    <row r="10" spans="1:10" x14ac:dyDescent="0.25">
      <c r="A10" s="81">
        <v>3</v>
      </c>
      <c r="B10" s="95">
        <f t="shared" ref="B10:B32" si="2">A10*$C$2</f>
        <v>300</v>
      </c>
      <c r="C10" s="87">
        <f t="shared" si="0"/>
        <v>0.91393118527122819</v>
      </c>
      <c r="D10" s="21">
        <f t="shared" ref="D10:D32" si="3">(1-$H$2)^$A10*C$8^$A10</f>
        <v>0.94162233075658397</v>
      </c>
      <c r="E10" s="6"/>
      <c r="F10" s="21">
        <f t="shared" si="1"/>
        <v>0.95994084313618289</v>
      </c>
      <c r="G10" s="21">
        <f t="shared" ref="G10:G32" si="4">(1-$H$2)^$A10*F$8^$A10</f>
        <v>0.93514804452696987</v>
      </c>
      <c r="H10" s="6"/>
      <c r="I10" s="6">
        <f t="shared" ref="I10:I32" si="5">1-LOGNORMDIST(B10,LN($I$5),$J$5)</f>
        <v>0.88569995495084841</v>
      </c>
      <c r="J10" s="88">
        <f t="shared" ref="J10:J32" si="6">(1-$H$2)^$A10*I$8^$A10</f>
        <v>0.93962380382423349</v>
      </c>
    </row>
    <row r="11" spans="1:10" x14ac:dyDescent="0.25">
      <c r="A11" s="81">
        <v>4</v>
      </c>
      <c r="B11" s="95">
        <f t="shared" si="2"/>
        <v>400</v>
      </c>
      <c r="C11" s="87">
        <f t="shared" si="0"/>
        <v>0.85214378896621135</v>
      </c>
      <c r="D11" s="21">
        <f t="shared" si="3"/>
        <v>0.92293050169985946</v>
      </c>
      <c r="E11" s="6"/>
      <c r="F11" s="21">
        <f t="shared" si="1"/>
        <v>0.93319279873114191</v>
      </c>
      <c r="G11" s="21">
        <f t="shared" si="4"/>
        <v>0.91447918929994909</v>
      </c>
      <c r="H11" s="6"/>
      <c r="I11" s="6">
        <f t="shared" si="5"/>
        <v>0.82024278610421464</v>
      </c>
      <c r="J11" s="88">
        <f t="shared" si="6"/>
        <v>0.9203196195724167</v>
      </c>
    </row>
    <row r="12" spans="1:10" x14ac:dyDescent="0.25">
      <c r="A12" s="81">
        <v>5</v>
      </c>
      <c r="B12" s="95">
        <f t="shared" si="2"/>
        <v>500</v>
      </c>
      <c r="C12" s="87">
        <f t="shared" si="0"/>
        <v>0.77880078307140488</v>
      </c>
      <c r="D12" s="21">
        <f t="shared" si="3"/>
        <v>0.90460971787228228</v>
      </c>
      <c r="E12" s="6"/>
      <c r="F12" s="21">
        <f t="shared" si="1"/>
        <v>0.89435022633314476</v>
      </c>
      <c r="G12" s="21">
        <f t="shared" si="4"/>
        <v>0.89426716182217703</v>
      </c>
      <c r="H12" s="6"/>
      <c r="I12" s="6">
        <f t="shared" si="5"/>
        <v>0.75589140421441736</v>
      </c>
      <c r="J12" s="88">
        <f t="shared" si="6"/>
        <v>0.90141203183945273</v>
      </c>
    </row>
    <row r="13" spans="1:10" x14ac:dyDescent="0.25">
      <c r="A13" s="81">
        <v>6</v>
      </c>
      <c r="B13" s="95">
        <f t="shared" si="2"/>
        <v>600</v>
      </c>
      <c r="C13" s="87">
        <f t="shared" si="0"/>
        <v>0.69767632607103103</v>
      </c>
      <c r="D13" s="21">
        <f t="shared" si="3"/>
        <v>0.88665261377946158</v>
      </c>
      <c r="E13" s="6"/>
      <c r="F13" s="21">
        <f t="shared" si="1"/>
        <v>0.84134474606854304</v>
      </c>
      <c r="G13" s="21">
        <f t="shared" si="4"/>
        <v>0.87450186518261563</v>
      </c>
      <c r="H13" s="6"/>
      <c r="I13" s="6">
        <f t="shared" si="5"/>
        <v>0.69526341748976828</v>
      </c>
      <c r="J13" s="88">
        <f t="shared" si="6"/>
        <v>0.88289289271312166</v>
      </c>
    </row>
    <row r="14" spans="1:10" x14ac:dyDescent="0.25">
      <c r="A14" s="81">
        <v>7</v>
      </c>
      <c r="B14" s="95">
        <f t="shared" si="2"/>
        <v>700</v>
      </c>
      <c r="C14" s="87">
        <f t="shared" si="0"/>
        <v>0.61262639418441611</v>
      </c>
      <c r="D14" s="21">
        <f t="shared" si="3"/>
        <v>0.86905197013696511</v>
      </c>
      <c r="E14" s="6"/>
      <c r="F14" s="21">
        <f t="shared" si="1"/>
        <v>0.77337264762313174</v>
      </c>
      <c r="G14" s="21">
        <f t="shared" si="4"/>
        <v>0.8551734256344562</v>
      </c>
      <c r="H14" s="6"/>
      <c r="I14" s="6">
        <f t="shared" si="5"/>
        <v>0.63933241737735091</v>
      </c>
      <c r="J14" s="88">
        <f t="shared" si="6"/>
        <v>0.86475422167670568</v>
      </c>
    </row>
    <row r="15" spans="1:10" x14ac:dyDescent="0.25">
      <c r="A15" s="81">
        <v>8</v>
      </c>
      <c r="B15" s="95">
        <f t="shared" si="2"/>
        <v>800</v>
      </c>
      <c r="C15" s="87">
        <f t="shared" si="0"/>
        <v>0.52729242404304855</v>
      </c>
      <c r="D15" s="21">
        <f t="shared" si="3"/>
        <v>0.85180071096795429</v>
      </c>
      <c r="E15" s="6"/>
      <c r="F15" s="21">
        <f t="shared" si="1"/>
        <v>0.69146246127401312</v>
      </c>
      <c r="G15" s="21">
        <f t="shared" si="4"/>
        <v>0.83627218766269218</v>
      </c>
      <c r="H15" s="6"/>
      <c r="I15" s="6">
        <f t="shared" si="5"/>
        <v>0.58828810814254506</v>
      </c>
      <c r="J15" s="88">
        <f t="shared" si="6"/>
        <v>0.84698820216991777</v>
      </c>
    </row>
    <row r="16" spans="1:10" x14ac:dyDescent="0.25">
      <c r="A16" s="81">
        <v>9</v>
      </c>
      <c r="B16" s="95">
        <f t="shared" si="2"/>
        <v>900</v>
      </c>
      <c r="C16" s="87">
        <f t="shared" si="0"/>
        <v>0.44485806622294111</v>
      </c>
      <c r="D16" s="21">
        <f t="shared" si="3"/>
        <v>0.83489190075843389</v>
      </c>
      <c r="E16" s="6"/>
      <c r="F16" s="21">
        <f t="shared" si="1"/>
        <v>0.5987063256829237</v>
      </c>
      <c r="G16" s="21">
        <f t="shared" si="4"/>
        <v>0.81778870916071078</v>
      </c>
      <c r="H16" s="6"/>
      <c r="I16" s="6">
        <f t="shared" si="5"/>
        <v>0.54195512721434103</v>
      </c>
      <c r="J16" s="88">
        <f t="shared" si="6"/>
        <v>0.82958717822048433</v>
      </c>
    </row>
    <row r="17" spans="1:10" x14ac:dyDescent="0.25">
      <c r="A17" s="81">
        <v>10</v>
      </c>
      <c r="B17" s="95">
        <f t="shared" si="2"/>
        <v>1000</v>
      </c>
      <c r="C17" s="87">
        <f t="shared" si="0"/>
        <v>0.36787944117144233</v>
      </c>
      <c r="D17" s="21">
        <f t="shared" si="3"/>
        <v>0.81831874166897023</v>
      </c>
      <c r="E17" s="6"/>
      <c r="F17" s="21">
        <f t="shared" si="1"/>
        <v>0.5</v>
      </c>
      <c r="G17" s="21">
        <f t="shared" si="4"/>
        <v>0.79971375671349176</v>
      </c>
      <c r="H17" s="6"/>
      <c r="I17" s="6">
        <f t="shared" si="5"/>
        <v>0.5</v>
      </c>
      <c r="J17" s="88">
        <f t="shared" si="6"/>
        <v>0.81254365114493066</v>
      </c>
    </row>
    <row r="18" spans="1:10" x14ac:dyDescent="0.25">
      <c r="A18" s="81">
        <v>11</v>
      </c>
      <c r="B18" s="95">
        <f t="shared" si="2"/>
        <v>1100</v>
      </c>
      <c r="C18" s="87">
        <f t="shared" si="0"/>
        <v>0.29819727942988733</v>
      </c>
      <c r="D18" s="21">
        <f t="shared" si="3"/>
        <v>0.80207457080176048</v>
      </c>
      <c r="E18" s="6"/>
      <c r="F18" s="21">
        <f t="shared" si="1"/>
        <v>0.4012936743170763</v>
      </c>
      <c r="G18" s="21">
        <f t="shared" si="4"/>
        <v>0.78203830098505778</v>
      </c>
      <c r="H18" s="6"/>
      <c r="I18" s="6">
        <f t="shared" si="5"/>
        <v>0.46203422857538301</v>
      </c>
      <c r="J18" s="88">
        <f t="shared" si="6"/>
        <v>0.79585027631714711</v>
      </c>
    </row>
    <row r="19" spans="1:10" x14ac:dyDescent="0.25">
      <c r="A19" s="81">
        <v>12</v>
      </c>
      <c r="B19" s="95">
        <f t="shared" si="2"/>
        <v>1200</v>
      </c>
      <c r="C19" s="87">
        <f t="shared" si="0"/>
        <v>0.23692775868212176</v>
      </c>
      <c r="D19" s="21">
        <f t="shared" si="3"/>
        <v>0.78615285752195119</v>
      </c>
      <c r="E19" s="6"/>
      <c r="F19" s="21">
        <f t="shared" si="1"/>
        <v>0.30853753872598688</v>
      </c>
      <c r="G19" s="21">
        <f t="shared" si="4"/>
        <v>0.76475351220787369</v>
      </c>
      <c r="H19" s="6"/>
      <c r="I19" s="6">
        <f t="shared" si="5"/>
        <v>0.42766519116323154</v>
      </c>
      <c r="J19" s="88">
        <f t="shared" si="6"/>
        <v>0.77949986000334393</v>
      </c>
    </row>
    <row r="20" spans="1:10" x14ac:dyDescent="0.25">
      <c r="A20" s="81">
        <v>13</v>
      </c>
      <c r="B20" s="95">
        <f t="shared" si="2"/>
        <v>1300</v>
      </c>
      <c r="C20" s="87">
        <f t="shared" si="0"/>
        <v>0.18451952399298924</v>
      </c>
      <c r="D20" s="21">
        <f t="shared" si="3"/>
        <v>0.77054720083213069</v>
      </c>
      <c r="E20" s="6"/>
      <c r="F20" s="21">
        <f t="shared" si="1"/>
        <v>0.22662735237686826</v>
      </c>
      <c r="G20" s="21">
        <f t="shared" si="4"/>
        <v>0.74785075577193871</v>
      </c>
      <c r="H20" s="6"/>
      <c r="I20" s="6">
        <f t="shared" si="5"/>
        <v>0.39652031036784829</v>
      </c>
      <c r="J20" s="88">
        <f t="shared" si="6"/>
        <v>0.76348535626203062</v>
      </c>
    </row>
    <row r="21" spans="1:10" x14ac:dyDescent="0.25">
      <c r="A21" s="81">
        <v>14</v>
      </c>
      <c r="B21" s="95">
        <f t="shared" si="2"/>
        <v>1400</v>
      </c>
      <c r="C21" s="87">
        <f t="shared" si="0"/>
        <v>0.14085842092104503</v>
      </c>
      <c r="D21" s="21">
        <f t="shared" si="3"/>
        <v>0.75525132679894036</v>
      </c>
      <c r="E21" s="6"/>
      <c r="F21" s="21">
        <f t="shared" si="1"/>
        <v>0.15865525393145696</v>
      </c>
      <c r="G21" s="21">
        <f t="shared" si="4"/>
        <v>0.7313215879113707</v>
      </c>
      <c r="H21" s="6"/>
      <c r="I21" s="6">
        <f t="shared" si="5"/>
        <v>0.36825739216332454</v>
      </c>
      <c r="J21" s="88">
        <f t="shared" si="6"/>
        <v>0.74779986390768505</v>
      </c>
    </row>
    <row r="22" spans="1:10" x14ac:dyDescent="0.25">
      <c r="A22" s="81">
        <v>15</v>
      </c>
      <c r="B22" s="95">
        <f t="shared" si="2"/>
        <v>1500</v>
      </c>
      <c r="C22" s="87">
        <f t="shared" si="0"/>
        <v>0.10539922456186433</v>
      </c>
      <c r="D22" s="21">
        <f t="shared" si="3"/>
        <v>0.74025908603076829</v>
      </c>
      <c r="E22" s="6"/>
      <c r="F22" s="21">
        <f t="shared" si="1"/>
        <v>0.10564977366685524</v>
      </c>
      <c r="G22" s="21">
        <f t="shared" si="4"/>
        <v>0.71515775148632532</v>
      </c>
      <c r="H22" s="6"/>
      <c r="I22" s="6">
        <f t="shared" si="5"/>
        <v>0.34256783051484585</v>
      </c>
      <c r="J22" s="88">
        <f t="shared" si="6"/>
        <v>0.7324366235367995</v>
      </c>
    </row>
    <row r="23" spans="1:10" x14ac:dyDescent="0.25">
      <c r="A23" s="81">
        <v>16</v>
      </c>
      <c r="B23" s="95">
        <f t="shared" si="2"/>
        <v>1600</v>
      </c>
      <c r="C23" s="87">
        <f t="shared" si="0"/>
        <v>7.7304740443299713E-2</v>
      </c>
      <c r="D23" s="21">
        <f t="shared" si="3"/>
        <v>0.7255644512055125</v>
      </c>
      <c r="E23" s="4"/>
      <c r="F23" s="21">
        <f t="shared" si="1"/>
        <v>6.6807201268858085E-2</v>
      </c>
      <c r="G23" s="21">
        <f t="shared" si="4"/>
        <v>0.6993511718581451</v>
      </c>
      <c r="H23" s="4"/>
      <c r="I23" s="6">
        <f t="shared" si="5"/>
        <v>0.31917621232517324</v>
      </c>
      <c r="J23" s="88">
        <f t="shared" si="6"/>
        <v>0.71738901461502957</v>
      </c>
    </row>
    <row r="24" spans="1:10" x14ac:dyDescent="0.25">
      <c r="A24" s="81">
        <v>17</v>
      </c>
      <c r="B24" s="95">
        <f t="shared" si="2"/>
        <v>1700</v>
      </c>
      <c r="C24" s="87">
        <f t="shared" si="0"/>
        <v>5.5576212611483086E-2</v>
      </c>
      <c r="D24" s="21">
        <f t="shared" si="3"/>
        <v>0.71116151464742072</v>
      </c>
      <c r="E24" s="4"/>
      <c r="F24" s="21">
        <f t="shared" si="1"/>
        <v>4.0059156863817114E-2</v>
      </c>
      <c r="G24" s="21">
        <f t="shared" si="4"/>
        <v>0.68389395285567689</v>
      </c>
      <c r="H24" s="4"/>
      <c r="I24" s="6">
        <f t="shared" si="5"/>
        <v>0.29783820730085475</v>
      </c>
      <c r="J24" s="88">
        <f t="shared" si="6"/>
        <v>0.70265055262418319</v>
      </c>
    </row>
    <row r="25" spans="1:10" x14ac:dyDescent="0.25">
      <c r="A25" s="81">
        <v>18</v>
      </c>
      <c r="B25" s="95">
        <f t="shared" si="2"/>
        <v>1800</v>
      </c>
      <c r="C25" s="87">
        <f t="shared" si="0"/>
        <v>3.9163895098987066E-2</v>
      </c>
      <c r="D25" s="21">
        <f t="shared" si="3"/>
        <v>0.69704448595203061</v>
      </c>
      <c r="E25" s="4"/>
      <c r="F25" s="21">
        <f t="shared" si="1"/>
        <v>2.2750131948179209E-2</v>
      </c>
      <c r="G25" s="21">
        <f t="shared" si="4"/>
        <v>0.66877837283074182</v>
      </c>
      <c r="H25" s="4"/>
      <c r="I25" s="6">
        <f t="shared" si="5"/>
        <v>0.27833774793491528</v>
      </c>
      <c r="J25" s="88">
        <f t="shared" si="6"/>
        <v>0.68821488626782579</v>
      </c>
    </row>
    <row r="26" spans="1:10" x14ac:dyDescent="0.25">
      <c r="A26" s="81">
        <v>19</v>
      </c>
      <c r="B26" s="95">
        <f t="shared" si="2"/>
        <v>1900</v>
      </c>
      <c r="C26" s="87">
        <f t="shared" si="0"/>
        <v>2.7051846866350416E-2</v>
      </c>
      <c r="D26" s="21">
        <f t="shared" si="3"/>
        <v>0.6832076896582564</v>
      </c>
      <c r="E26" s="4"/>
      <c r="F26" s="21">
        <f t="shared" si="1"/>
        <v>1.2224472655044671E-2</v>
      </c>
      <c r="G26" s="21">
        <f t="shared" si="4"/>
        <v>0.65399688080078922</v>
      </c>
      <c r="H26" s="4"/>
      <c r="I26" s="6">
        <f t="shared" si="5"/>
        <v>0.26048402896529455</v>
      </c>
      <c r="J26" s="88">
        <f t="shared" si="6"/>
        <v>0.67407579473429269</v>
      </c>
    </row>
    <row r="27" spans="1:10" x14ac:dyDescent="0.25">
      <c r="A27" s="81">
        <v>20</v>
      </c>
      <c r="B27" s="95">
        <f t="shared" si="2"/>
        <v>2000</v>
      </c>
      <c r="C27" s="87">
        <f t="shared" si="0"/>
        <v>1.8315638888734179E-2</v>
      </c>
      <c r="D27" s="21">
        <f t="shared" si="3"/>
        <v>0.66964556296668687</v>
      </c>
      <c r="E27" s="4"/>
      <c r="F27" s="21">
        <f t="shared" si="1"/>
        <v>6.2096653257761592E-3</v>
      </c>
      <c r="G27" s="21">
        <f t="shared" si="4"/>
        <v>0.63954209267680606</v>
      </c>
      <c r="H27" s="4"/>
      <c r="I27" s="6">
        <f t="shared" si="5"/>
        <v>0.24410859578558264</v>
      </c>
      <c r="J27" s="88">
        <f t="shared" si="6"/>
        <v>0.66022718501593491</v>
      </c>
    </row>
    <row r="28" spans="1:10" x14ac:dyDescent="0.25">
      <c r="A28" s="81">
        <v>21</v>
      </c>
      <c r="B28" s="95">
        <f t="shared" si="2"/>
        <v>2100</v>
      </c>
      <c r="C28" s="87">
        <f t="shared" si="0"/>
        <v>1.2155178329914935E-2</v>
      </c>
      <c r="D28" s="21">
        <f t="shared" si="3"/>
        <v>0.65635265350317606</v>
      </c>
      <c r="E28" s="4"/>
      <c r="F28" s="21">
        <f t="shared" si="1"/>
        <v>2.9797632350545555E-3</v>
      </c>
      <c r="G28" s="21">
        <f t="shared" si="4"/>
        <v>0.62540678757459711</v>
      </c>
      <c r="H28" s="4"/>
      <c r="I28" s="6">
        <f t="shared" si="5"/>
        <v>0.22906264902455675</v>
      </c>
      <c r="J28" s="88">
        <f t="shared" si="6"/>
        <v>0.64666308928343663</v>
      </c>
    </row>
    <row r="29" spans="1:10" x14ac:dyDescent="0.25">
      <c r="A29" s="81">
        <v>22</v>
      </c>
      <c r="B29" s="95">
        <f t="shared" si="2"/>
        <v>2200</v>
      </c>
      <c r="C29" s="87">
        <f t="shared" si="0"/>
        <v>7.9070540515934346E-3</v>
      </c>
      <c r="D29" s="21">
        <f t="shared" si="3"/>
        <v>0.64332361712682828</v>
      </c>
      <c r="E29" s="4"/>
      <c r="F29" s="21">
        <f t="shared" si="1"/>
        <v>1.3498980316301035E-3</v>
      </c>
      <c r="G29" s="21">
        <f t="shared" si="4"/>
        <v>0.6115839042075959</v>
      </c>
      <c r="H29" s="4"/>
      <c r="I29" s="6">
        <f t="shared" si="5"/>
        <v>0.21521461518285712</v>
      </c>
      <c r="J29" s="88">
        <f t="shared" si="6"/>
        <v>0.63337766231407933</v>
      </c>
    </row>
    <row r="30" spans="1:10" x14ac:dyDescent="0.25">
      <c r="A30" s="81">
        <v>23</v>
      </c>
      <c r="B30" s="95">
        <f t="shared" si="2"/>
        <v>2300</v>
      </c>
      <c r="C30" s="87">
        <f t="shared" si="0"/>
        <v>5.0417602596909833E-3</v>
      </c>
      <c r="D30" s="21">
        <f t="shared" si="3"/>
        <v>0.63055321578149659</v>
      </c>
      <c r="E30" s="4"/>
      <c r="F30" s="21">
        <f t="shared" si="1"/>
        <v>5.7702504239076635E-4</v>
      </c>
      <c r="G30" s="21">
        <f t="shared" si="4"/>
        <v>0.5980665373594013</v>
      </c>
      <c r="H30" s="4"/>
      <c r="I30" s="6">
        <f t="shared" si="5"/>
        <v>0.20244799204952113</v>
      </c>
      <c r="J30" s="88">
        <f t="shared" si="6"/>
        <v>0.62036517897283872</v>
      </c>
    </row>
    <row r="31" spans="1:10" x14ac:dyDescent="0.25">
      <c r="A31" s="81">
        <v>24</v>
      </c>
      <c r="B31" s="95">
        <f t="shared" si="2"/>
        <v>2400</v>
      </c>
      <c r="C31" s="87">
        <f t="shared" si="0"/>
        <v>3.1511115984444414E-3</v>
      </c>
      <c r="D31" s="21">
        <f t="shared" si="3"/>
        <v>0.6180363153899292</v>
      </c>
      <c r="E31" s="4"/>
      <c r="F31" s="21">
        <f t="shared" si="1"/>
        <v>2.3262907903554009E-4</v>
      </c>
      <c r="G31" s="21">
        <f t="shared" si="4"/>
        <v>0.5848479344342784</v>
      </c>
      <c r="H31" s="4"/>
      <c r="I31" s="6">
        <f t="shared" si="5"/>
        <v>0.1906594566648856</v>
      </c>
      <c r="J31" s="88">
        <f t="shared" si="6"/>
        <v>0.60762003174523271</v>
      </c>
    </row>
    <row r="32" spans="1:10" x14ac:dyDescent="0.25">
      <c r="A32" s="82">
        <v>25</v>
      </c>
      <c r="B32" s="96">
        <f t="shared" si="2"/>
        <v>2500</v>
      </c>
      <c r="C32" s="89">
        <f t="shared" si="0"/>
        <v>1.9304541362277093E-3</v>
      </c>
      <c r="D32" s="90">
        <f t="shared" si="3"/>
        <v>0.60576788378972024</v>
      </c>
      <c r="E32" s="23"/>
      <c r="F32" s="90">
        <f t="shared" si="1"/>
        <v>8.841728520081471E-5</v>
      </c>
      <c r="G32" s="90">
        <f t="shared" si="4"/>
        <v>0.57192149208390297</v>
      </c>
      <c r="H32" s="23"/>
      <c r="I32" s="49">
        <f t="shared" si="5"/>
        <v>0.17975721389578536</v>
      </c>
      <c r="J32" s="91">
        <f t="shared" si="6"/>
        <v>0.59513672832085618</v>
      </c>
    </row>
  </sheetData>
  <sheetProtection password="DC2F" sheet="1" formatCells="0"/>
  <protectedRanges>
    <protectedRange sqref="C5:J5" name="Range3"/>
    <protectedRange sqref="H2" name="Range2"/>
    <protectedRange sqref="C2" name="Range1"/>
  </protectedRanges>
  <phoneticPr fontId="0" type="noConversion"/>
  <pageMargins left="0.75" right="0.75" top="1" bottom="1" header="0.5" footer="0.5"/>
  <pageSetup orientation="portrait" r:id="rId1"/>
  <headerFooter alignWithMargins="0">
    <oddHeader>&amp;LMSC 565&amp;CQuiz 3
fall 2003&amp;R&amp;D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" sqref="E3"/>
    </sheetView>
  </sheetViews>
  <sheetFormatPr defaultRowHeight="13.2" x14ac:dyDescent="0.25"/>
  <cols>
    <col min="1" max="1" width="5.33203125" customWidth="1"/>
    <col min="2" max="2" width="12.33203125" customWidth="1"/>
    <col min="3" max="3" width="10.33203125" customWidth="1"/>
    <col min="5" max="5" width="9.44140625" customWidth="1"/>
    <col min="6" max="6" width="12.33203125" customWidth="1"/>
    <col min="7" max="8" width="9.109375" customWidth="1"/>
    <col min="9" max="9" width="10.5546875" customWidth="1"/>
  </cols>
  <sheetData>
    <row r="1" spans="1:8" ht="15" x14ac:dyDescent="0.25">
      <c r="A1" s="205"/>
      <c r="B1" s="92" t="s">
        <v>28</v>
      </c>
      <c r="C1" s="68"/>
      <c r="D1" s="68"/>
      <c r="E1" s="68"/>
      <c r="F1" s="93"/>
      <c r="G1" s="131" t="s">
        <v>41</v>
      </c>
      <c r="H1" s="133"/>
    </row>
    <row r="2" spans="1:8" x14ac:dyDescent="0.25">
      <c r="A2" s="205"/>
      <c r="B2" s="221" t="s">
        <v>34</v>
      </c>
      <c r="C2" s="205"/>
      <c r="D2" s="205"/>
      <c r="E2" s="205"/>
      <c r="F2" s="223"/>
      <c r="G2" s="123" t="s">
        <v>42</v>
      </c>
      <c r="H2" s="137" t="s">
        <v>42</v>
      </c>
    </row>
    <row r="3" spans="1:8" ht="13.8" thickBot="1" x14ac:dyDescent="0.3">
      <c r="A3" s="205"/>
      <c r="B3" s="221"/>
      <c r="C3" s="78" t="s">
        <v>53</v>
      </c>
      <c r="D3" s="205"/>
      <c r="E3" s="205"/>
      <c r="F3" s="223"/>
      <c r="G3" s="123">
        <f>(C4+C5+E28)/(E28-E29)</f>
        <v>0.73426064283290915</v>
      </c>
      <c r="H3" s="125">
        <f>(C4+C5+E29)/(E28-E29)</f>
        <v>-0.26573935716709091</v>
      </c>
    </row>
    <row r="4" spans="1:8" ht="15" x14ac:dyDescent="0.25">
      <c r="A4" s="205"/>
      <c r="B4" s="278" t="s">
        <v>86</v>
      </c>
      <c r="C4" s="55">
        <v>0.5</v>
      </c>
      <c r="D4" s="205"/>
      <c r="E4" s="121" t="s">
        <v>33</v>
      </c>
      <c r="F4" s="223"/>
      <c r="G4" s="123" t="s">
        <v>43</v>
      </c>
      <c r="H4" s="125">
        <f>(2*C4)/(E28-E29)</f>
        <v>0.31234752377721214</v>
      </c>
    </row>
    <row r="5" spans="1:8" ht="15" x14ac:dyDescent="0.25">
      <c r="A5" s="205"/>
      <c r="B5" s="279" t="s">
        <v>29</v>
      </c>
      <c r="C5" s="120">
        <v>2</v>
      </c>
      <c r="D5" s="211"/>
      <c r="E5" s="122">
        <f>(3*C4+C5)/(2*C4^2)</f>
        <v>7</v>
      </c>
      <c r="F5" s="212"/>
      <c r="G5" s="123" t="s">
        <v>44</v>
      </c>
      <c r="H5" s="125" t="s">
        <v>44</v>
      </c>
    </row>
    <row r="6" spans="1:8" x14ac:dyDescent="0.25">
      <c r="A6" s="205"/>
      <c r="B6" s="75" t="s">
        <v>7</v>
      </c>
      <c r="C6" s="76" t="s">
        <v>36</v>
      </c>
      <c r="D6" s="76" t="s">
        <v>37</v>
      </c>
      <c r="E6" s="76" t="s">
        <v>38</v>
      </c>
      <c r="F6" s="77" t="s">
        <v>3</v>
      </c>
      <c r="G6" s="127">
        <f>E29/(E28-E29)</f>
        <v>-1.0466081666101212</v>
      </c>
      <c r="H6" s="130">
        <f>E28/(E28-E29)</f>
        <v>-4.6608166610121245E-2</v>
      </c>
    </row>
    <row r="7" spans="1:8" x14ac:dyDescent="0.25">
      <c r="A7" s="205"/>
      <c r="B7" s="62">
        <v>1</v>
      </c>
      <c r="C7" s="27">
        <f t="shared" ref="C7:C26" si="0">$G$3*G8-$H$3*H8</f>
        <v>0.64179381639750466</v>
      </c>
      <c r="D7" s="27">
        <f t="shared" ref="D7:D26" si="1">$H$4*G8-$H$4*H8</f>
        <v>0.25810011193748417</v>
      </c>
      <c r="E7" s="27">
        <f t="shared" ref="E7:E26" si="2">1+$G$6*G8-$H$6*H8</f>
        <v>0.10010607166501122</v>
      </c>
      <c r="F7" s="140">
        <f>1-E7</f>
        <v>0.89989392833498882</v>
      </c>
      <c r="G7" s="138" t="s">
        <v>39</v>
      </c>
      <c r="H7" s="139" t="s">
        <v>40</v>
      </c>
    </row>
    <row r="8" spans="1:8" x14ac:dyDescent="0.25">
      <c r="A8" s="205"/>
      <c r="B8" s="63">
        <v>2</v>
      </c>
      <c r="C8" s="27">
        <f t="shared" si="0"/>
        <v>0.54513063833035769</v>
      </c>
      <c r="D8" s="27">
        <f t="shared" si="1"/>
        <v>0.23137061003274942</v>
      </c>
      <c r="E8" s="27">
        <f t="shared" si="2"/>
        <v>0.22349875163689306</v>
      </c>
      <c r="F8" s="140">
        <f t="shared" ref="F8:F26" si="3">1-E8</f>
        <v>0.77650124836310697</v>
      </c>
      <c r="G8" s="123">
        <f t="shared" ref="G8:G27" si="4">EXP($E$28*B7)</f>
        <v>0.86138050305215053</v>
      </c>
      <c r="H8" s="125">
        <f t="shared" ref="H8:H27" si="5">EXP($E$29*B7)</f>
        <v>3.5056961836632448E-2</v>
      </c>
    </row>
    <row r="9" spans="1:8" x14ac:dyDescent="0.25">
      <c r="A9" s="205"/>
      <c r="B9" s="63">
        <v>3</v>
      </c>
      <c r="C9" s="27">
        <f t="shared" si="0"/>
        <v>0.46929503350624124</v>
      </c>
      <c r="D9" s="27">
        <f t="shared" si="1"/>
        <v>0.19961533506600956</v>
      </c>
      <c r="E9" s="27">
        <f t="shared" si="2"/>
        <v>0.33108963142774928</v>
      </c>
      <c r="F9" s="140">
        <f t="shared" si="3"/>
        <v>0.66891036857225072</v>
      </c>
      <c r="G9" s="123">
        <f t="shared" si="4"/>
        <v>0.74197637103837588</v>
      </c>
      <c r="H9" s="125">
        <f t="shared" si="5"/>
        <v>1.228990573215104E-3</v>
      </c>
    </row>
    <row r="10" spans="1:8" x14ac:dyDescent="0.25">
      <c r="A10" s="205"/>
      <c r="B10" s="63">
        <v>4</v>
      </c>
      <c r="C10" s="27">
        <f t="shared" si="0"/>
        <v>0.40423213122031626</v>
      </c>
      <c r="D10" s="27">
        <f t="shared" si="1"/>
        <v>0.17195587789568392</v>
      </c>
      <c r="E10" s="27">
        <f t="shared" si="2"/>
        <v>0.42381199088399979</v>
      </c>
      <c r="F10" s="140">
        <f t="shared" si="3"/>
        <v>0.57618800911600021</v>
      </c>
      <c r="G10" s="123">
        <f t="shared" si="4"/>
        <v>0.63912397973784529</v>
      </c>
      <c r="H10" s="125">
        <f t="shared" si="5"/>
        <v>4.3084675622782935E-5</v>
      </c>
    </row>
    <row r="11" spans="1:8" x14ac:dyDescent="0.25">
      <c r="A11" s="205"/>
      <c r="B11" s="63">
        <v>5</v>
      </c>
      <c r="C11" s="27">
        <f t="shared" si="0"/>
        <v>0.34819734487275245</v>
      </c>
      <c r="D11" s="27">
        <f t="shared" si="1"/>
        <v>0.14811983044356916</v>
      </c>
      <c r="E11" s="27">
        <f t="shared" si="2"/>
        <v>0.50368282468367842</v>
      </c>
      <c r="F11" s="140">
        <f t="shared" si="3"/>
        <v>0.49631717531632158</v>
      </c>
      <c r="G11" s="123">
        <f t="shared" si="4"/>
        <v>0.55052893517927759</v>
      </c>
      <c r="H11" s="125">
        <f t="shared" si="5"/>
        <v>1.5104178290515898E-6</v>
      </c>
    </row>
    <row r="12" spans="1:8" x14ac:dyDescent="0.25">
      <c r="A12" s="205"/>
      <c r="B12" s="63">
        <v>6</v>
      </c>
      <c r="C12" s="27">
        <f t="shared" si="0"/>
        <v>0.29993039246065462</v>
      </c>
      <c r="D12" s="27">
        <f t="shared" si="1"/>
        <v>0.12758754772605213</v>
      </c>
      <c r="E12" s="27">
        <f t="shared" si="2"/>
        <v>0.57248205981329325</v>
      </c>
      <c r="F12" s="140">
        <f t="shared" si="3"/>
        <v>0.42751794018670675</v>
      </c>
      <c r="G12" s="123">
        <f t="shared" si="4"/>
        <v>0.47421489112949095</v>
      </c>
      <c r="H12" s="125">
        <f t="shared" si="5"/>
        <v>5.2950660190430814E-8</v>
      </c>
    </row>
    <row r="13" spans="1:8" x14ac:dyDescent="0.25">
      <c r="A13" s="205"/>
      <c r="B13" s="63">
        <v>7</v>
      </c>
      <c r="C13" s="27">
        <f t="shared" si="0"/>
        <v>0.25835419193077119</v>
      </c>
      <c r="D13" s="27">
        <f t="shared" si="1"/>
        <v>0.10990142652256553</v>
      </c>
      <c r="E13" s="27">
        <f t="shared" si="2"/>
        <v>0.63174438154666335</v>
      </c>
      <c r="F13" s="140">
        <f t="shared" si="3"/>
        <v>0.36825561845333665</v>
      </c>
      <c r="G13" s="123">
        <f t="shared" si="4"/>
        <v>0.40847946147594166</v>
      </c>
      <c r="H13" s="125">
        <f t="shared" si="5"/>
        <v>1.8562892735204262E-9</v>
      </c>
    </row>
    <row r="14" spans="1:8" x14ac:dyDescent="0.25">
      <c r="A14" s="205"/>
      <c r="B14" s="63">
        <v>8</v>
      </c>
      <c r="C14" s="27">
        <f t="shared" si="0"/>
        <v>0.22254126379666975</v>
      </c>
      <c r="D14" s="27">
        <f t="shared" si="1"/>
        <v>9.4666946080952538E-2</v>
      </c>
      <c r="E14" s="27">
        <f t="shared" si="2"/>
        <v>0.68279179012237767</v>
      </c>
      <c r="F14" s="140">
        <f t="shared" si="3"/>
        <v>0.31720820987762233</v>
      </c>
      <c r="G14" s="123">
        <f t="shared" si="4"/>
        <v>0.35185624401261817</v>
      </c>
      <c r="H14" s="125">
        <f t="shared" si="5"/>
        <v>6.5075862219555744E-11</v>
      </c>
    </row>
    <row r="15" spans="1:8" x14ac:dyDescent="0.25">
      <c r="A15" s="205"/>
      <c r="B15" s="63">
        <v>9</v>
      </c>
      <c r="C15" s="27">
        <f t="shared" si="0"/>
        <v>0.19169270575853578</v>
      </c>
      <c r="D15" s="27">
        <f t="shared" si="1"/>
        <v>8.1544261638210533E-2</v>
      </c>
      <c r="E15" s="27">
        <f t="shared" si="2"/>
        <v>0.7267630326032537</v>
      </c>
      <c r="F15" s="140">
        <f t="shared" si="3"/>
        <v>0.2732369673967463</v>
      </c>
      <c r="G15" s="123">
        <f t="shared" si="4"/>
        <v>0.3030821084696293</v>
      </c>
      <c r="H15" s="125">
        <f t="shared" si="5"/>
        <v>2.2813620183169173E-12</v>
      </c>
    </row>
    <row r="16" spans="1:8" x14ac:dyDescent="0.25">
      <c r="A16" s="205"/>
      <c r="B16" s="63">
        <v>10</v>
      </c>
      <c r="C16" s="27">
        <f t="shared" si="0"/>
        <v>0.16512035931769783</v>
      </c>
      <c r="D16" s="27">
        <f t="shared" si="1"/>
        <v>7.0240637110958612E-2</v>
      </c>
      <c r="E16" s="27">
        <f t="shared" si="2"/>
        <v>0.76463900357134362</v>
      </c>
      <c r="F16" s="140">
        <f t="shared" si="3"/>
        <v>0.23536099642865638</v>
      </c>
      <c r="G16" s="123">
        <f t="shared" si="4"/>
        <v>0.26106901905967572</v>
      </c>
      <c r="H16" s="125">
        <f t="shared" si="5"/>
        <v>7.9977621211678943E-14</v>
      </c>
    </row>
    <row r="17" spans="1:8" x14ac:dyDescent="0.25">
      <c r="A17" s="205"/>
      <c r="B17" s="63">
        <v>11</v>
      </c>
      <c r="C17" s="27">
        <f t="shared" si="0"/>
        <v>0.1422314581732298</v>
      </c>
      <c r="D17" s="27">
        <f t="shared" si="1"/>
        <v>6.0503915329341802E-2</v>
      </c>
      <c r="E17" s="27">
        <f t="shared" si="2"/>
        <v>0.79726462649742846</v>
      </c>
      <c r="F17" s="140">
        <f t="shared" si="3"/>
        <v>0.20273537350257154</v>
      </c>
      <c r="G17" s="123">
        <f t="shared" si="4"/>
        <v>0.22487976296895493</v>
      </c>
      <c r="H17" s="125">
        <f t="shared" si="5"/>
        <v>2.8037724146024746E-15</v>
      </c>
    </row>
    <row r="18" spans="1:8" x14ac:dyDescent="0.25">
      <c r="A18" s="205"/>
      <c r="B18" s="63">
        <v>12</v>
      </c>
      <c r="C18" s="27">
        <f t="shared" si="0"/>
        <v>0.12251540499109756</v>
      </c>
      <c r="D18" s="27">
        <f t="shared" si="1"/>
        <v>5.2116893023013186E-2</v>
      </c>
      <c r="E18" s="27">
        <f t="shared" si="2"/>
        <v>0.82536770198588927</v>
      </c>
      <c r="F18" s="140">
        <f t="shared" si="3"/>
        <v>0.17463229801411073</v>
      </c>
      <c r="G18" s="123">
        <f t="shared" si="4"/>
        <v>0.19370704335244676</v>
      </c>
      <c r="H18" s="125">
        <f t="shared" si="5"/>
        <v>9.8291742537321759E-17</v>
      </c>
    </row>
    <row r="19" spans="1:8" x14ac:dyDescent="0.25">
      <c r="A19" s="205"/>
      <c r="B19" s="63">
        <v>13</v>
      </c>
      <c r="C19" s="27">
        <f t="shared" si="0"/>
        <v>0.10553238118286956</v>
      </c>
      <c r="D19" s="27">
        <f t="shared" si="1"/>
        <v>4.4892475529678212E-2</v>
      </c>
      <c r="E19" s="27">
        <f t="shared" si="2"/>
        <v>0.84957514328745221</v>
      </c>
      <c r="F19" s="140">
        <f t="shared" si="3"/>
        <v>0.15042485671254779</v>
      </c>
      <c r="G19" s="123">
        <f t="shared" si="4"/>
        <v>0.16685547044767532</v>
      </c>
      <c r="H19" s="125">
        <f t="shared" si="5"/>
        <v>3.4458098669869911E-18</v>
      </c>
    </row>
    <row r="20" spans="1:8" x14ac:dyDescent="0.25">
      <c r="A20" s="205"/>
      <c r="B20" s="63">
        <v>14</v>
      </c>
      <c r="C20" s="27">
        <f t="shared" si="0"/>
        <v>9.0903535591591492E-2</v>
      </c>
      <c r="D20" s="27">
        <f t="shared" si="1"/>
        <v>3.8669503155010575E-2</v>
      </c>
      <c r="E20" s="27">
        <f t="shared" si="2"/>
        <v>0.87042696125339791</v>
      </c>
      <c r="F20" s="140">
        <f t="shared" si="3"/>
        <v>0.12957303874660209</v>
      </c>
      <c r="G20" s="123">
        <f t="shared" si="4"/>
        <v>0.1437260490712218</v>
      </c>
      <c r="H20" s="125">
        <f t="shared" si="5"/>
        <v>1.2079962500325449E-19</v>
      </c>
    </row>
    <row r="21" spans="1:8" x14ac:dyDescent="0.25">
      <c r="A21" s="205"/>
      <c r="B21" s="63">
        <v>15</v>
      </c>
      <c r="C21" s="27">
        <f t="shared" si="0"/>
        <v>7.8302533217104148E-2</v>
      </c>
      <c r="D21" s="27">
        <f t="shared" si="1"/>
        <v>3.3309156080439731E-2</v>
      </c>
      <c r="E21" s="27">
        <f t="shared" si="2"/>
        <v>0.88838831070245616</v>
      </c>
      <c r="F21" s="140">
        <f t="shared" si="3"/>
        <v>0.11161168929754384</v>
      </c>
      <c r="G21" s="123">
        <f t="shared" si="4"/>
        <v>0.12380281645066711</v>
      </c>
      <c r="H21" s="125">
        <f t="shared" si="5"/>
        <v>4.2348678436186036E-21</v>
      </c>
    </row>
    <row r="22" spans="1:8" x14ac:dyDescent="0.25">
      <c r="A22" s="205"/>
      <c r="B22" s="63">
        <v>16</v>
      </c>
      <c r="C22" s="27">
        <f t="shared" si="0"/>
        <v>6.7448275452806905E-2</v>
      </c>
      <c r="D22" s="27">
        <f t="shared" si="1"/>
        <v>2.8691857620811775E-2</v>
      </c>
      <c r="E22" s="27">
        <f t="shared" si="2"/>
        <v>0.90385986692638132</v>
      </c>
      <c r="F22" s="140">
        <f t="shared" si="3"/>
        <v>9.6140133073618683E-2</v>
      </c>
      <c r="G22" s="123">
        <f t="shared" si="4"/>
        <v>0.10664133231354869</v>
      </c>
      <c r="H22" s="125">
        <f t="shared" si="5"/>
        <v>1.4846160037691933E-22</v>
      </c>
    </row>
    <row r="23" spans="1:8" x14ac:dyDescent="0.25">
      <c r="A23" s="205"/>
      <c r="B23" s="63">
        <v>17</v>
      </c>
      <c r="C23" s="27">
        <f t="shared" si="0"/>
        <v>5.8098629439538814E-2</v>
      </c>
      <c r="D23" s="27">
        <f t="shared" si="1"/>
        <v>2.4714606750915521E-2</v>
      </c>
      <c r="E23" s="27">
        <f t="shared" si="2"/>
        <v>0.91718676380954567</v>
      </c>
      <c r="F23" s="140">
        <f t="shared" si="3"/>
        <v>8.2813236190454331E-2</v>
      </c>
      <c r="G23" s="123">
        <f t="shared" si="4"/>
        <v>9.1858764474396129E-2</v>
      </c>
      <c r="H23" s="125">
        <f t="shared" si="5"/>
        <v>5.2046126586190387E-24</v>
      </c>
    </row>
    <row r="24" spans="1:8" x14ac:dyDescent="0.25">
      <c r="A24" s="205"/>
      <c r="B24" s="63">
        <v>18</v>
      </c>
      <c r="C24" s="27">
        <f t="shared" si="0"/>
        <v>5.0045026653270437E-2</v>
      </c>
      <c r="D24" s="27">
        <f t="shared" si="1"/>
        <v>2.1288680395839692E-2</v>
      </c>
      <c r="E24" s="27">
        <f t="shared" si="2"/>
        <v>0.92866629295088987</v>
      </c>
      <c r="F24" s="140">
        <f t="shared" si="3"/>
        <v>7.1333707049110129E-2</v>
      </c>
      <c r="G24" s="123">
        <f t="shared" si="4"/>
        <v>7.9125348752704341E-2</v>
      </c>
      <c r="H24" s="125">
        <f t="shared" si="5"/>
        <v>1.8245790734766178E-25</v>
      </c>
    </row>
    <row r="25" spans="1:8" x14ac:dyDescent="0.25">
      <c r="A25" s="205"/>
      <c r="B25" s="63">
        <v>19</v>
      </c>
      <c r="C25" s="27">
        <f t="shared" si="0"/>
        <v>4.3107810233852364E-2</v>
      </c>
      <c r="D25" s="27">
        <f t="shared" si="1"/>
        <v>1.8337654228684847E-2</v>
      </c>
      <c r="E25" s="27">
        <f t="shared" si="2"/>
        <v>0.93855453553746282</v>
      </c>
      <c r="F25" s="140">
        <f t="shared" si="3"/>
        <v>6.144546446253718E-2</v>
      </c>
      <c r="G25" s="123">
        <f t="shared" si="4"/>
        <v>6.8157032712781326E-2</v>
      </c>
      <c r="H25" s="125">
        <f t="shared" si="5"/>
        <v>6.3964198946787977E-27</v>
      </c>
    </row>
    <row r="26" spans="1:8" x14ac:dyDescent="0.25">
      <c r="A26" s="205"/>
      <c r="B26" s="64">
        <v>20</v>
      </c>
      <c r="C26" s="27">
        <f t="shared" si="0"/>
        <v>3.7132227264712395E-2</v>
      </c>
      <c r="D26" s="27">
        <f t="shared" si="1"/>
        <v>1.5795697824300948E-2</v>
      </c>
      <c r="E26" s="27">
        <f t="shared" si="2"/>
        <v>0.94707207491098666</v>
      </c>
      <c r="F26" s="140">
        <f t="shared" si="3"/>
        <v>5.2927925089013339E-2</v>
      </c>
      <c r="G26" s="123">
        <f t="shared" si="4"/>
        <v>5.8709139124677456E-2</v>
      </c>
      <c r="H26" s="125">
        <f t="shared" si="5"/>
        <v>2.2423904813883115E-28</v>
      </c>
    </row>
    <row r="27" spans="1:8" x14ac:dyDescent="0.25">
      <c r="A27" s="205"/>
      <c r="B27" s="221"/>
      <c r="C27" s="131" t="s">
        <v>30</v>
      </c>
      <c r="D27" s="132"/>
      <c r="E27" s="132"/>
      <c r="F27" s="133"/>
      <c r="G27" s="127">
        <f t="shared" si="4"/>
        <v>5.0570907792973359E-2</v>
      </c>
      <c r="H27" s="130">
        <f t="shared" si="5"/>
        <v>7.8611397528857904E-30</v>
      </c>
    </row>
    <row r="28" spans="1:8" x14ac:dyDescent="0.25">
      <c r="A28" s="205"/>
      <c r="B28" s="221"/>
      <c r="C28" s="134" t="s">
        <v>35</v>
      </c>
      <c r="D28" s="126" t="s">
        <v>31</v>
      </c>
      <c r="E28" s="124">
        <f>(-(3*$C$4+$C$5)+$C$29)/2</f>
        <v>-0.14921894064178787</v>
      </c>
      <c r="F28" s="125"/>
    </row>
    <row r="29" spans="1:8" x14ac:dyDescent="0.25">
      <c r="A29" s="205"/>
      <c r="B29" s="224"/>
      <c r="C29" s="127">
        <f>SQRT(C4^2+6*C4*C5+C5^2)</f>
        <v>3.2015621187164243</v>
      </c>
      <c r="D29" s="129" t="s">
        <v>32</v>
      </c>
      <c r="E29" s="128">
        <f>(-(3*$C$4+$C$5)-$C$29)/2</f>
        <v>-3.3507810593582121</v>
      </c>
      <c r="F29" s="130"/>
    </row>
  </sheetData>
  <sheetProtection password="DC2F" sheet="1" formatCells="0"/>
  <protectedRanges>
    <protectedRange sqref="B7:B26" name="Range2"/>
    <protectedRange sqref="C4:C5" name="Range1"/>
  </protectedRange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workbookViewId="0">
      <selection activeCell="J24" sqref="J24"/>
    </sheetView>
  </sheetViews>
  <sheetFormatPr defaultRowHeight="13.2" x14ac:dyDescent="0.25"/>
  <cols>
    <col min="1" max="1" width="5" customWidth="1"/>
    <col min="2" max="2" width="21.6640625" customWidth="1"/>
    <col min="3" max="3" width="10.5546875" customWidth="1"/>
    <col min="4" max="4" width="10.33203125" customWidth="1"/>
    <col min="5" max="5" width="13.109375" bestFit="1" customWidth="1"/>
    <col min="6" max="6" width="12.44140625" customWidth="1"/>
    <col min="7" max="7" width="0" hidden="1" customWidth="1"/>
    <col min="8" max="8" width="13.109375" hidden="1" customWidth="1"/>
    <col min="9" max="9" width="10.33203125" customWidth="1"/>
  </cols>
  <sheetData>
    <row r="1" spans="1:8" ht="15" x14ac:dyDescent="0.25">
      <c r="B1" s="254" t="s">
        <v>28</v>
      </c>
      <c r="C1" s="200"/>
      <c r="D1" s="200"/>
      <c r="E1" s="200"/>
      <c r="F1" s="203"/>
      <c r="H1">
        <f>E29-E30</f>
        <v>0.10545259598511553</v>
      </c>
    </row>
    <row r="2" spans="1:8" x14ac:dyDescent="0.25">
      <c r="B2" s="221" t="s">
        <v>45</v>
      </c>
      <c r="C2" s="204"/>
      <c r="D2" s="204"/>
      <c r="E2" s="204"/>
      <c r="F2" s="223"/>
      <c r="G2" t="s">
        <v>42</v>
      </c>
      <c r="H2" t="s">
        <v>42</v>
      </c>
    </row>
    <row r="3" spans="1:8" ht="13.8" thickBot="1" x14ac:dyDescent="0.3">
      <c r="B3" s="221"/>
      <c r="C3" s="78" t="s">
        <v>53</v>
      </c>
      <c r="D3" s="204"/>
      <c r="E3" s="204"/>
      <c r="F3" s="223"/>
      <c r="G3">
        <f>(C5+C6+E29)/(E29-E30)</f>
        <v>0.95281009494294333</v>
      </c>
      <c r="H3">
        <f>(C4+C6+E30)/(E30-E29)</f>
        <v>4.5167023922766912E-3</v>
      </c>
    </row>
    <row r="4" spans="1:8" ht="15.6" thickBot="1" x14ac:dyDescent="0.3">
      <c r="B4" s="278" t="s">
        <v>87</v>
      </c>
      <c r="C4" s="55">
        <v>5.0000000000000001E-3</v>
      </c>
      <c r="D4" s="204"/>
      <c r="E4" s="204"/>
      <c r="F4" s="223"/>
      <c r="G4" t="s">
        <v>43</v>
      </c>
      <c r="H4" t="s">
        <v>43</v>
      </c>
    </row>
    <row r="5" spans="1:8" ht="15" x14ac:dyDescent="0.25">
      <c r="B5" s="280" t="s">
        <v>88</v>
      </c>
      <c r="C5" s="141">
        <v>5.0000000000000001E-4</v>
      </c>
      <c r="D5" s="204"/>
      <c r="E5" s="204"/>
      <c r="F5" s="151" t="s">
        <v>33</v>
      </c>
      <c r="G5">
        <f>C4/(E29-E30)</f>
        <v>4.741466962753333E-2</v>
      </c>
      <c r="H5">
        <f>C4/(E30-E29)</f>
        <v>-4.741466962753333E-2</v>
      </c>
    </row>
    <row r="6" spans="1:8" ht="15.6" thickBot="1" x14ac:dyDescent="0.3">
      <c r="B6" s="279" t="s">
        <v>89</v>
      </c>
      <c r="C6" s="120">
        <v>0.1</v>
      </c>
      <c r="D6" s="211"/>
      <c r="E6" s="211"/>
      <c r="F6" s="152">
        <f>(G8/E29)-(H8/E30)</f>
        <v>42200.000000004919</v>
      </c>
    </row>
    <row r="7" spans="1:8" x14ac:dyDescent="0.25">
      <c r="B7" s="148" t="s">
        <v>7</v>
      </c>
      <c r="C7" s="149" t="s">
        <v>36</v>
      </c>
      <c r="D7" s="149" t="s">
        <v>37</v>
      </c>
      <c r="E7" s="149" t="s">
        <v>48</v>
      </c>
      <c r="F7" s="150" t="s">
        <v>3</v>
      </c>
      <c r="G7" t="s">
        <v>49</v>
      </c>
      <c r="H7" t="s">
        <v>50</v>
      </c>
    </row>
    <row r="8" spans="1:8" x14ac:dyDescent="0.25">
      <c r="A8">
        <v>1</v>
      </c>
      <c r="B8" s="135">
        <v>1000</v>
      </c>
      <c r="C8" s="143">
        <f t="shared" ref="C8:C27" si="0">$G$3*G11+$H$3*H11</f>
        <v>0.93049211822261146</v>
      </c>
      <c r="D8" s="143">
        <f t="shared" ref="D8:D27" si="1">$G$5*G11+$H$5*H11</f>
        <v>4.6304060600019951E-2</v>
      </c>
      <c r="E8" s="143">
        <f>1-C8-D8</f>
        <v>2.3203821177368585E-2</v>
      </c>
      <c r="F8" s="144">
        <f>C8+D8</f>
        <v>0.97679617882263137</v>
      </c>
      <c r="G8">
        <f>-(C29+E29)/(E29-E30)</f>
        <v>-1.0002247645704767</v>
      </c>
      <c r="H8">
        <f>-(C29+E30)/(E29-E30)</f>
        <v>-2.2476457047664541E-4</v>
      </c>
    </row>
    <row r="9" spans="1:8" x14ac:dyDescent="0.25">
      <c r="A9">
        <v>2</v>
      </c>
      <c r="B9" s="136">
        <v>5000</v>
      </c>
      <c r="C9" s="145">
        <f t="shared" si="0"/>
        <v>0.84632680200570642</v>
      </c>
      <c r="D9" s="145">
        <f t="shared" si="1"/>
        <v>4.2115743658688219E-2</v>
      </c>
      <c r="E9" s="145">
        <f t="shared" ref="E9:E15" si="2">1-C9-D9</f>
        <v>0.11155745433560535</v>
      </c>
      <c r="F9" s="140">
        <f t="shared" ref="F9:F15" si="3">C9+D9</f>
        <v>0.88844254566439462</v>
      </c>
    </row>
    <row r="10" spans="1:8" x14ac:dyDescent="0.25">
      <c r="A10">
        <v>3</v>
      </c>
      <c r="B10" s="136">
        <v>10000</v>
      </c>
      <c r="C10" s="145">
        <f t="shared" si="0"/>
        <v>0.75174377307169293</v>
      </c>
      <c r="D10" s="145">
        <f t="shared" si="1"/>
        <v>3.7409010288544584E-2</v>
      </c>
      <c r="E10" s="145">
        <f t="shared" si="2"/>
        <v>0.21084721663976247</v>
      </c>
      <c r="F10" s="140">
        <f t="shared" si="3"/>
        <v>0.78915278336023753</v>
      </c>
      <c r="G10" s="26" t="s">
        <v>39</v>
      </c>
      <c r="H10" s="26" t="s">
        <v>40</v>
      </c>
    </row>
    <row r="11" spans="1:8" x14ac:dyDescent="0.25">
      <c r="A11">
        <v>4</v>
      </c>
      <c r="B11" s="136">
        <v>15000</v>
      </c>
      <c r="C11" s="145">
        <f t="shared" si="0"/>
        <v>0.667731069148221</v>
      </c>
      <c r="D11" s="145">
        <f t="shared" si="1"/>
        <v>3.3228287789707357E-2</v>
      </c>
      <c r="E11" s="145">
        <f t="shared" si="2"/>
        <v>0.29904064306207162</v>
      </c>
      <c r="F11" s="140">
        <f t="shared" si="3"/>
        <v>0.70095935693792832</v>
      </c>
      <c r="G11">
        <f t="shared" ref="G11:G30" si="4">EXP($E$29*B8)</f>
        <v>0.97657667898484191</v>
      </c>
      <c r="H11">
        <f t="shared" ref="H11:H30" si="5">EXP($E$30*B8)</f>
        <v>1.5567748621154622E-46</v>
      </c>
    </row>
    <row r="12" spans="1:8" x14ac:dyDescent="0.25">
      <c r="A12">
        <v>5</v>
      </c>
      <c r="B12" s="136">
        <v>20000</v>
      </c>
      <c r="C12" s="145">
        <f t="shared" si="0"/>
        <v>0.59310738136743368</v>
      </c>
      <c r="D12" s="145">
        <f t="shared" si="1"/>
        <v>2.9514790712699471E-2</v>
      </c>
      <c r="E12" s="145">
        <f t="shared" si="2"/>
        <v>0.37737782791986685</v>
      </c>
      <c r="F12" s="140">
        <f t="shared" si="3"/>
        <v>0.62262217208013315</v>
      </c>
      <c r="G12">
        <f t="shared" si="4"/>
        <v>0.88824290013046792</v>
      </c>
      <c r="H12">
        <f t="shared" si="5"/>
        <v>9.1438491192938335E-230</v>
      </c>
    </row>
    <row r="13" spans="1:8" x14ac:dyDescent="0.25">
      <c r="A13">
        <v>6</v>
      </c>
      <c r="B13" s="136">
        <v>25000</v>
      </c>
      <c r="C13" s="145">
        <f t="shared" si="0"/>
        <v>0.52682342051459685</v>
      </c>
      <c r="D13" s="145">
        <f t="shared" si="1"/>
        <v>2.6216303299391983E-2</v>
      </c>
      <c r="E13" s="145">
        <f t="shared" si="2"/>
        <v>0.44696027618601114</v>
      </c>
      <c r="F13" s="140">
        <f t="shared" si="3"/>
        <v>0.5530397238139888</v>
      </c>
      <c r="G13">
        <f t="shared" si="4"/>
        <v>0.78897544963218436</v>
      </c>
      <c r="H13">
        <f t="shared" si="5"/>
        <v>0</v>
      </c>
    </row>
    <row r="14" spans="1:8" x14ac:dyDescent="0.25">
      <c r="A14">
        <v>7</v>
      </c>
      <c r="B14" s="136">
        <v>30000</v>
      </c>
      <c r="C14" s="145">
        <f t="shared" si="0"/>
        <v>0.46794716289453847</v>
      </c>
      <c r="D14" s="145">
        <f t="shared" si="1"/>
        <v>2.3286445273351886E-2</v>
      </c>
      <c r="E14" s="145">
        <f t="shared" si="2"/>
        <v>0.5087663918321097</v>
      </c>
      <c r="F14" s="140">
        <f t="shared" si="3"/>
        <v>0.49123360816789036</v>
      </c>
      <c r="G14">
        <f t="shared" si="4"/>
        <v>0.70080184151303138</v>
      </c>
      <c r="H14">
        <f t="shared" si="5"/>
        <v>0</v>
      </c>
    </row>
    <row r="15" spans="1:8" x14ac:dyDescent="0.25">
      <c r="A15">
        <v>8</v>
      </c>
      <c r="B15" s="136">
        <v>35000</v>
      </c>
      <c r="C15" s="145">
        <f t="shared" si="0"/>
        <v>0.41565074507726935</v>
      </c>
      <c r="D15" s="145">
        <f t="shared" si="1"/>
        <v>2.0684019683331507E-2</v>
      </c>
      <c r="E15" s="145">
        <f t="shared" si="2"/>
        <v>0.56366523523939915</v>
      </c>
      <c r="F15" s="140">
        <f t="shared" si="3"/>
        <v>0.43633476476060085</v>
      </c>
      <c r="G15">
        <f t="shared" si="4"/>
        <v>0.62248226012230745</v>
      </c>
      <c r="H15">
        <f t="shared" si="5"/>
        <v>0</v>
      </c>
    </row>
    <row r="16" spans="1:8" x14ac:dyDescent="0.25">
      <c r="A16">
        <v>9</v>
      </c>
      <c r="B16" s="136">
        <v>40000</v>
      </c>
      <c r="C16" s="145">
        <f t="shared" si="0"/>
        <v>0.36919882324882353</v>
      </c>
      <c r="D16" s="145">
        <f t="shared" si="1"/>
        <v>1.837243362987806E-2</v>
      </c>
      <c r="E16" s="145">
        <f t="shared" ref="E16:E27" si="6">1-C16-D16</f>
        <v>0.61242874312129847</v>
      </c>
      <c r="F16" s="140">
        <f t="shared" ref="F16:F27" si="7">C16+D16</f>
        <v>0.38757125687870159</v>
      </c>
      <c r="G16">
        <f t="shared" si="4"/>
        <v>0.55291544801080672</v>
      </c>
      <c r="H16">
        <f t="shared" si="5"/>
        <v>0</v>
      </c>
    </row>
    <row r="17" spans="1:8" x14ac:dyDescent="0.25">
      <c r="A17">
        <v>10</v>
      </c>
      <c r="B17" s="136">
        <v>45000</v>
      </c>
      <c r="C17" s="145">
        <f t="shared" si="0"/>
        <v>0.32793823348729106</v>
      </c>
      <c r="D17" s="145">
        <f t="shared" si="1"/>
        <v>1.6319183729857429E-2</v>
      </c>
      <c r="E17" s="145">
        <f t="shared" si="6"/>
        <v>0.65574258278285147</v>
      </c>
      <c r="F17" s="140">
        <f t="shared" si="7"/>
        <v>0.34425741721714848</v>
      </c>
      <c r="G17">
        <f t="shared" si="4"/>
        <v>0.49112322106805589</v>
      </c>
      <c r="H17">
        <f t="shared" si="5"/>
        <v>0</v>
      </c>
    </row>
    <row r="18" spans="1:8" x14ac:dyDescent="0.25">
      <c r="A18">
        <v>11</v>
      </c>
      <c r="B18" s="136">
        <v>50000</v>
      </c>
      <c r="C18" s="145">
        <f t="shared" si="0"/>
        <v>0.29128880757641384</v>
      </c>
      <c r="D18" s="145">
        <f t="shared" si="1"/>
        <v>1.4495399083970505E-2</v>
      </c>
      <c r="E18" s="145">
        <f t="shared" si="6"/>
        <v>0.69421579333961569</v>
      </c>
      <c r="F18" s="140">
        <f t="shared" si="7"/>
        <v>0.30578420666038436</v>
      </c>
      <c r="G18">
        <f t="shared" si="4"/>
        <v>0.43623671420290688</v>
      </c>
      <c r="H18">
        <f t="shared" si="5"/>
        <v>0</v>
      </c>
    </row>
    <row r="19" spans="1:8" x14ac:dyDescent="0.25">
      <c r="A19">
        <v>12</v>
      </c>
      <c r="B19" s="136">
        <v>55000</v>
      </c>
      <c r="C19" s="145">
        <f t="shared" si="0"/>
        <v>0.25873521521721965</v>
      </c>
      <c r="D19" s="145">
        <f t="shared" si="1"/>
        <v>1.2875435320894487E-2</v>
      </c>
      <c r="E19" s="145">
        <f t="shared" si="6"/>
        <v>0.72838934946188583</v>
      </c>
      <c r="F19" s="140">
        <f t="shared" si="7"/>
        <v>0.27161065053811412</v>
      </c>
      <c r="G19">
        <f t="shared" si="4"/>
        <v>0.38748416416697606</v>
      </c>
      <c r="H19">
        <f t="shared" si="5"/>
        <v>0</v>
      </c>
    </row>
    <row r="20" spans="1:8" x14ac:dyDescent="0.25">
      <c r="A20">
        <v>13</v>
      </c>
      <c r="B20" s="136">
        <v>60000</v>
      </c>
      <c r="C20" s="145">
        <f t="shared" si="0"/>
        <v>0.22981971793042399</v>
      </c>
      <c r="D20" s="145">
        <f t="shared" si="1"/>
        <v>1.1436514009873585E-2</v>
      </c>
      <c r="E20" s="145">
        <f t="shared" si="6"/>
        <v>0.75874376805970245</v>
      </c>
      <c r="F20" s="140">
        <f t="shared" si="7"/>
        <v>0.24125623194029758</v>
      </c>
      <c r="G20">
        <f t="shared" si="4"/>
        <v>0.34418005773430521</v>
      </c>
      <c r="H20">
        <f t="shared" si="5"/>
        <v>0</v>
      </c>
    </row>
    <row r="21" spans="1:8" x14ac:dyDescent="0.25">
      <c r="A21">
        <v>14</v>
      </c>
      <c r="B21" s="136">
        <v>65000</v>
      </c>
      <c r="C21" s="145">
        <f t="shared" si="0"/>
        <v>0.2041357327616859</v>
      </c>
      <c r="D21" s="145">
        <f t="shared" si="1"/>
        <v>1.015840237151284E-2</v>
      </c>
      <c r="E21" s="145">
        <f t="shared" si="6"/>
        <v>0.78570586486680116</v>
      </c>
      <c r="F21" s="140">
        <f t="shared" si="7"/>
        <v>0.21429413513319873</v>
      </c>
      <c r="G21">
        <f t="shared" si="4"/>
        <v>0.30571549264899106</v>
      </c>
      <c r="H21">
        <f t="shared" si="5"/>
        <v>0</v>
      </c>
    </row>
    <row r="22" spans="1:8" x14ac:dyDescent="0.25">
      <c r="A22">
        <v>15</v>
      </c>
      <c r="B22" s="136">
        <v>70000</v>
      </c>
      <c r="C22" s="145">
        <f t="shared" si="0"/>
        <v>0.18132211528849804</v>
      </c>
      <c r="D22" s="145">
        <f t="shared" si="1"/>
        <v>9.0231287831647865E-3</v>
      </c>
      <c r="E22" s="145">
        <f t="shared" si="6"/>
        <v>0.80965475592833713</v>
      </c>
      <c r="F22" s="140">
        <f t="shared" si="7"/>
        <v>0.19034524407166281</v>
      </c>
      <c r="G22">
        <f t="shared" si="4"/>
        <v>0.27154961580535453</v>
      </c>
      <c r="H22">
        <f t="shared" si="5"/>
        <v>0</v>
      </c>
    </row>
    <row r="23" spans="1:8" x14ac:dyDescent="0.25">
      <c r="A23">
        <v>16</v>
      </c>
      <c r="B23" s="136">
        <v>75000</v>
      </c>
      <c r="C23" s="145">
        <f t="shared" si="0"/>
        <v>0.16105808154164653</v>
      </c>
      <c r="D23" s="145">
        <f t="shared" si="1"/>
        <v>8.0147300786089885E-3</v>
      </c>
      <c r="E23" s="145">
        <f t="shared" si="6"/>
        <v>0.83092718837974455</v>
      </c>
      <c r="F23" s="140">
        <f t="shared" si="7"/>
        <v>0.1690728116202555</v>
      </c>
      <c r="G23">
        <f t="shared" si="4"/>
        <v>0.24120201827226251</v>
      </c>
      <c r="H23">
        <f t="shared" si="5"/>
        <v>0</v>
      </c>
    </row>
    <row r="24" spans="1:8" x14ac:dyDescent="0.25">
      <c r="A24">
        <v>17</v>
      </c>
      <c r="B24" s="136">
        <v>80000</v>
      </c>
      <c r="C24" s="145">
        <f t="shared" si="0"/>
        <v>0.14305869743800151</v>
      </c>
      <c r="D24" s="145">
        <f t="shared" si="1"/>
        <v>7.1190270887865423E-3</v>
      </c>
      <c r="E24" s="145">
        <f t="shared" si="6"/>
        <v>0.84982227547321199</v>
      </c>
      <c r="F24" s="140">
        <f t="shared" si="7"/>
        <v>0.15017772452678804</v>
      </c>
      <c r="G24">
        <f t="shared" si="4"/>
        <v>0.21424598022747657</v>
      </c>
      <c r="H24">
        <f t="shared" si="5"/>
        <v>0</v>
      </c>
    </row>
    <row r="25" spans="1:8" x14ac:dyDescent="0.25">
      <c r="A25">
        <v>18</v>
      </c>
      <c r="B25" s="136">
        <v>85000</v>
      </c>
      <c r="C25" s="145">
        <f t="shared" si="0"/>
        <v>0.12707087230121761</v>
      </c>
      <c r="D25" s="145">
        <f t="shared" si="1"/>
        <v>6.3234252674511209E-3</v>
      </c>
      <c r="E25" s="145">
        <f t="shared" si="6"/>
        <v>0.86660570243133128</v>
      </c>
      <c r="F25" s="140">
        <f t="shared" si="7"/>
        <v>0.13339429756866872</v>
      </c>
      <c r="G25">
        <f t="shared" si="4"/>
        <v>0.19030247081854865</v>
      </c>
      <c r="H25">
        <f t="shared" si="5"/>
        <v>0</v>
      </c>
    </row>
    <row r="26" spans="1:8" x14ac:dyDescent="0.25">
      <c r="A26">
        <v>19</v>
      </c>
      <c r="B26" s="136">
        <v>90000</v>
      </c>
      <c r="C26" s="145">
        <f t="shared" si="0"/>
        <v>0.11286980013494188</v>
      </c>
      <c r="D26" s="145">
        <f t="shared" si="1"/>
        <v>5.6167375983190637E-3</v>
      </c>
      <c r="E26" s="145">
        <f t="shared" si="6"/>
        <v>0.8815134622667391</v>
      </c>
      <c r="F26" s="140">
        <f t="shared" si="7"/>
        <v>0.11848653773326094</v>
      </c>
      <c r="G26">
        <f t="shared" si="4"/>
        <v>0.16903481858186137</v>
      </c>
      <c r="H26">
        <f t="shared" si="5"/>
        <v>0</v>
      </c>
    </row>
    <row r="27" spans="1:8" x14ac:dyDescent="0.25">
      <c r="A27">
        <v>20</v>
      </c>
      <c r="B27" s="136">
        <v>95000</v>
      </c>
      <c r="C27" s="146">
        <f t="shared" si="0"/>
        <v>0.10025579860900703</v>
      </c>
      <c r="D27" s="146">
        <f t="shared" si="1"/>
        <v>4.9890272936027628E-3</v>
      </c>
      <c r="E27" s="146">
        <f t="shared" si="6"/>
        <v>0.89475517409739025</v>
      </c>
      <c r="F27" s="147">
        <f t="shared" si="7"/>
        <v>0.10524482590260979</v>
      </c>
      <c r="G27">
        <f t="shared" si="4"/>
        <v>0.15014397748018007</v>
      </c>
      <c r="H27">
        <f t="shared" si="5"/>
        <v>0</v>
      </c>
    </row>
    <row r="28" spans="1:8" x14ac:dyDescent="0.25">
      <c r="B28" s="123" t="s">
        <v>30</v>
      </c>
      <c r="C28" s="124"/>
      <c r="D28" s="124"/>
      <c r="E28" s="125"/>
      <c r="F28" s="27"/>
      <c r="G28">
        <f t="shared" si="4"/>
        <v>0.13336432199411882</v>
      </c>
      <c r="H28">
        <f t="shared" si="5"/>
        <v>0</v>
      </c>
    </row>
    <row r="29" spans="1:8" x14ac:dyDescent="0.25">
      <c r="B29" s="134" t="s">
        <v>46</v>
      </c>
      <c r="C29" s="124">
        <f>C4+C5+C6</f>
        <v>0.10550000000000001</v>
      </c>
      <c r="D29" s="126" t="s">
        <v>31</v>
      </c>
      <c r="E29" s="125">
        <f>(-$C$29+SQRT($C$29^2-4*$C$30))/2</f>
        <v>-2.3702007442241713E-5</v>
      </c>
      <c r="F29" s="27"/>
      <c r="G29">
        <f t="shared" si="4"/>
        <v>0.11845991214198966</v>
      </c>
      <c r="H29">
        <f t="shared" si="5"/>
        <v>0</v>
      </c>
    </row>
    <row r="30" spans="1:8" x14ac:dyDescent="0.25">
      <c r="B30" s="142" t="s">
        <v>47</v>
      </c>
      <c r="C30" s="128">
        <f>C4*C5</f>
        <v>2.5000000000000002E-6</v>
      </c>
      <c r="D30" s="129" t="s">
        <v>32</v>
      </c>
      <c r="E30" s="130">
        <f>(-$C$29-SQRT($C$29^2-4*$C$30))/2</f>
        <v>-0.10547629799255777</v>
      </c>
      <c r="F30" s="27"/>
      <c r="G30">
        <f t="shared" si="4"/>
        <v>0.10522117591020129</v>
      </c>
      <c r="H30">
        <f t="shared" si="5"/>
        <v>0</v>
      </c>
    </row>
    <row r="34" spans="3:6" x14ac:dyDescent="0.25">
      <c r="C34" s="27"/>
      <c r="D34" s="27"/>
      <c r="E34" s="27"/>
      <c r="F34" s="27"/>
    </row>
    <row r="35" spans="3:6" x14ac:dyDescent="0.25">
      <c r="C35" s="27"/>
      <c r="D35" s="27"/>
      <c r="E35" s="27"/>
      <c r="F35" s="27"/>
    </row>
    <row r="36" spans="3:6" x14ac:dyDescent="0.25">
      <c r="C36" s="27"/>
      <c r="D36" s="27"/>
      <c r="E36" s="27"/>
      <c r="F36" s="27"/>
    </row>
    <row r="37" spans="3:6" x14ac:dyDescent="0.25">
      <c r="C37" s="27"/>
      <c r="D37" s="27"/>
      <c r="E37" s="27"/>
      <c r="F37" s="27"/>
    </row>
    <row r="38" spans="3:6" x14ac:dyDescent="0.25">
      <c r="C38" s="27"/>
      <c r="D38" s="27"/>
      <c r="E38" s="27"/>
      <c r="F38" s="27"/>
    </row>
    <row r="39" spans="3:6" x14ac:dyDescent="0.25">
      <c r="C39" s="27"/>
      <c r="D39" s="27"/>
      <c r="E39" s="27"/>
      <c r="F39" s="27"/>
    </row>
    <row r="40" spans="3:6" x14ac:dyDescent="0.25">
      <c r="C40" s="27"/>
      <c r="D40" s="27"/>
      <c r="E40" s="27"/>
      <c r="F40" s="27"/>
    </row>
    <row r="41" spans="3:6" x14ac:dyDescent="0.25">
      <c r="C41" s="27"/>
      <c r="D41" s="27"/>
      <c r="E41" s="27"/>
      <c r="F41" s="27"/>
    </row>
    <row r="42" spans="3:6" x14ac:dyDescent="0.25">
      <c r="C42" s="27"/>
      <c r="D42" s="27"/>
      <c r="E42" s="27"/>
      <c r="F42" s="27"/>
    </row>
    <row r="43" spans="3:6" x14ac:dyDescent="0.25">
      <c r="C43" s="27"/>
      <c r="D43" s="27"/>
      <c r="E43" s="27"/>
      <c r="F43" s="27"/>
    </row>
    <row r="44" spans="3:6" x14ac:dyDescent="0.25">
      <c r="C44" s="27"/>
      <c r="D44" s="27"/>
      <c r="E44" s="27"/>
      <c r="F44" s="27"/>
    </row>
    <row r="45" spans="3:6" x14ac:dyDescent="0.25">
      <c r="C45" s="27"/>
      <c r="D45" s="27"/>
      <c r="E45" s="27"/>
      <c r="F45" s="27"/>
    </row>
    <row r="46" spans="3:6" x14ac:dyDescent="0.25">
      <c r="C46" s="27"/>
      <c r="D46" s="27"/>
      <c r="E46" s="27"/>
      <c r="F46" s="27"/>
    </row>
    <row r="47" spans="3:6" x14ac:dyDescent="0.25">
      <c r="C47" s="27"/>
      <c r="D47" s="27"/>
      <c r="E47" s="27"/>
      <c r="F47" s="27"/>
    </row>
    <row r="48" spans="3:6" x14ac:dyDescent="0.25">
      <c r="C48" s="27"/>
      <c r="D48" s="27"/>
      <c r="E48" s="27"/>
      <c r="F48" s="27"/>
    </row>
    <row r="49" spans="3:6" x14ac:dyDescent="0.25">
      <c r="C49" s="27"/>
      <c r="D49" s="27"/>
      <c r="E49" s="27"/>
      <c r="F49" s="27"/>
    </row>
    <row r="50" spans="3:6" x14ac:dyDescent="0.25">
      <c r="C50" s="27"/>
      <c r="D50" s="27"/>
      <c r="E50" s="27"/>
      <c r="F50" s="27"/>
    </row>
    <row r="51" spans="3:6" x14ac:dyDescent="0.25">
      <c r="C51" s="27"/>
      <c r="D51" s="27"/>
      <c r="E51" s="27"/>
      <c r="F51" s="27"/>
    </row>
    <row r="52" spans="3:6" x14ac:dyDescent="0.25">
      <c r="C52" s="27"/>
      <c r="D52" s="27"/>
      <c r="E52" s="27"/>
      <c r="F52" s="27"/>
    </row>
    <row r="53" spans="3:6" x14ac:dyDescent="0.25">
      <c r="C53" s="27"/>
      <c r="D53" s="27"/>
      <c r="E53" s="27"/>
      <c r="F53" s="27"/>
    </row>
    <row r="54" spans="3:6" x14ac:dyDescent="0.25">
      <c r="C54" s="27"/>
      <c r="D54" s="27"/>
      <c r="E54" s="27"/>
      <c r="F54" s="27"/>
    </row>
    <row r="55" spans="3:6" x14ac:dyDescent="0.25">
      <c r="C55" s="27"/>
      <c r="D55" s="27"/>
      <c r="E55" s="27"/>
      <c r="F55" s="27"/>
    </row>
    <row r="56" spans="3:6" x14ac:dyDescent="0.25">
      <c r="C56" s="27"/>
      <c r="D56" s="27"/>
      <c r="E56" s="27"/>
      <c r="F56" s="27"/>
    </row>
    <row r="57" spans="3:6" x14ac:dyDescent="0.25">
      <c r="C57" s="27"/>
      <c r="D57" s="27"/>
      <c r="E57" s="27"/>
      <c r="F57" s="27"/>
    </row>
    <row r="58" spans="3:6" x14ac:dyDescent="0.25">
      <c r="C58" s="27"/>
      <c r="D58" s="27"/>
      <c r="E58" s="27"/>
      <c r="F58" s="27"/>
    </row>
    <row r="59" spans="3:6" x14ac:dyDescent="0.25">
      <c r="C59" s="27"/>
      <c r="D59" s="27"/>
      <c r="E59" s="27"/>
      <c r="F59" s="27"/>
    </row>
    <row r="60" spans="3:6" x14ac:dyDescent="0.25">
      <c r="C60" s="27"/>
      <c r="D60" s="27"/>
      <c r="E60" s="27"/>
      <c r="F60" s="27"/>
    </row>
    <row r="61" spans="3:6" x14ac:dyDescent="0.25">
      <c r="C61" s="27"/>
      <c r="D61" s="27"/>
      <c r="E61" s="27"/>
      <c r="F61" s="27"/>
    </row>
    <row r="62" spans="3:6" x14ac:dyDescent="0.25">
      <c r="C62" s="27"/>
      <c r="D62" s="27"/>
      <c r="E62" s="27"/>
      <c r="F62" s="27"/>
    </row>
    <row r="63" spans="3:6" x14ac:dyDescent="0.25">
      <c r="C63" s="27"/>
      <c r="D63" s="27"/>
      <c r="E63" s="27"/>
      <c r="F63" s="27"/>
    </row>
    <row r="64" spans="3:6" x14ac:dyDescent="0.25">
      <c r="C64" s="27"/>
      <c r="D64" s="27"/>
      <c r="E64" s="27"/>
      <c r="F64" s="27"/>
    </row>
    <row r="65" spans="3:6" x14ac:dyDescent="0.25">
      <c r="C65" s="27"/>
      <c r="D65" s="27"/>
      <c r="E65" s="27"/>
      <c r="F65" s="27"/>
    </row>
    <row r="66" spans="3:6" x14ac:dyDescent="0.25">
      <c r="C66" s="27"/>
      <c r="D66" s="27"/>
      <c r="E66" s="27"/>
      <c r="F66" s="27"/>
    </row>
    <row r="67" spans="3:6" x14ac:dyDescent="0.25">
      <c r="C67" s="27"/>
      <c r="D67" s="27"/>
      <c r="E67" s="27"/>
      <c r="F67" s="27"/>
    </row>
    <row r="68" spans="3:6" x14ac:dyDescent="0.25">
      <c r="C68" s="27"/>
      <c r="D68" s="27"/>
      <c r="E68" s="27"/>
      <c r="F68" s="27"/>
    </row>
    <row r="69" spans="3:6" x14ac:dyDescent="0.25">
      <c r="C69" s="27"/>
      <c r="D69" s="27"/>
      <c r="E69" s="27"/>
      <c r="F69" s="27"/>
    </row>
    <row r="70" spans="3:6" x14ac:dyDescent="0.25">
      <c r="C70" s="27"/>
      <c r="D70" s="27"/>
      <c r="E70" s="27"/>
      <c r="F70" s="27"/>
    </row>
    <row r="71" spans="3:6" x14ac:dyDescent="0.25">
      <c r="C71" s="27"/>
      <c r="D71" s="27"/>
      <c r="E71" s="27"/>
      <c r="F71" s="27"/>
    </row>
    <row r="72" spans="3:6" x14ac:dyDescent="0.25">
      <c r="C72" s="27"/>
      <c r="D72" s="27"/>
      <c r="E72" s="27"/>
      <c r="F72" s="27"/>
    </row>
    <row r="73" spans="3:6" x14ac:dyDescent="0.25">
      <c r="C73" s="27"/>
      <c r="D73" s="27"/>
      <c r="E73" s="27"/>
      <c r="F73" s="27"/>
    </row>
    <row r="74" spans="3:6" x14ac:dyDescent="0.25">
      <c r="C74" s="27"/>
      <c r="D74" s="27"/>
      <c r="E74" s="27"/>
      <c r="F74" s="27"/>
    </row>
    <row r="75" spans="3:6" x14ac:dyDescent="0.25">
      <c r="C75" s="27"/>
      <c r="D75" s="27"/>
      <c r="E75" s="27"/>
      <c r="F75" s="27"/>
    </row>
    <row r="76" spans="3:6" x14ac:dyDescent="0.25">
      <c r="C76" s="27"/>
      <c r="D76" s="27"/>
      <c r="E76" s="27"/>
      <c r="F76" s="27"/>
    </row>
    <row r="77" spans="3:6" x14ac:dyDescent="0.25">
      <c r="C77" s="27"/>
      <c r="D77" s="27"/>
      <c r="E77" s="27"/>
      <c r="F77" s="27"/>
    </row>
    <row r="78" spans="3:6" x14ac:dyDescent="0.25">
      <c r="C78" s="27"/>
      <c r="D78" s="27"/>
      <c r="E78" s="27"/>
      <c r="F78" s="27"/>
    </row>
    <row r="79" spans="3:6" x14ac:dyDescent="0.25">
      <c r="C79" s="27"/>
      <c r="D79" s="27"/>
      <c r="E79" s="27"/>
      <c r="F79" s="27"/>
    </row>
    <row r="80" spans="3:6" x14ac:dyDescent="0.25">
      <c r="C80" s="27"/>
      <c r="D80" s="27"/>
      <c r="E80" s="27"/>
      <c r="F80" s="27"/>
    </row>
    <row r="81" spans="3:6" x14ac:dyDescent="0.25">
      <c r="C81" s="27"/>
      <c r="D81" s="27"/>
      <c r="E81" s="27"/>
      <c r="F81" s="27"/>
    </row>
    <row r="82" spans="3:6" x14ac:dyDescent="0.25">
      <c r="C82" s="27"/>
      <c r="D82" s="27"/>
      <c r="E82" s="27"/>
      <c r="F82" s="27"/>
    </row>
    <row r="83" spans="3:6" x14ac:dyDescent="0.25">
      <c r="C83" s="27"/>
      <c r="D83" s="27"/>
      <c r="E83" s="27"/>
      <c r="F83" s="27"/>
    </row>
    <row r="84" spans="3:6" x14ac:dyDescent="0.25">
      <c r="C84" s="27"/>
      <c r="D84" s="27"/>
      <c r="E84" s="27"/>
      <c r="F84" s="27"/>
    </row>
    <row r="85" spans="3:6" x14ac:dyDescent="0.25">
      <c r="C85" s="27"/>
      <c r="D85" s="27"/>
      <c r="E85" s="27"/>
      <c r="F85" s="27"/>
    </row>
    <row r="86" spans="3:6" x14ac:dyDescent="0.25">
      <c r="C86" s="27"/>
      <c r="D86" s="27"/>
      <c r="E86" s="27"/>
      <c r="F86" s="27"/>
    </row>
    <row r="87" spans="3:6" x14ac:dyDescent="0.25">
      <c r="C87" s="27"/>
      <c r="D87" s="27"/>
      <c r="E87" s="27"/>
      <c r="F87" s="27"/>
    </row>
    <row r="88" spans="3:6" x14ac:dyDescent="0.25">
      <c r="C88" s="27"/>
      <c r="D88" s="27"/>
      <c r="E88" s="27"/>
      <c r="F88" s="27"/>
    </row>
    <row r="89" spans="3:6" x14ac:dyDescent="0.25">
      <c r="C89" s="27"/>
      <c r="D89" s="27"/>
      <c r="E89" s="27"/>
      <c r="F89" s="27"/>
    </row>
    <row r="90" spans="3:6" x14ac:dyDescent="0.25">
      <c r="C90" s="27"/>
      <c r="D90" s="27"/>
      <c r="E90" s="27"/>
      <c r="F90" s="27"/>
    </row>
    <row r="91" spans="3:6" x14ac:dyDescent="0.25">
      <c r="C91" s="27"/>
      <c r="D91" s="27"/>
      <c r="E91" s="27"/>
      <c r="F91" s="27"/>
    </row>
    <row r="92" spans="3:6" x14ac:dyDescent="0.25">
      <c r="C92" s="27"/>
      <c r="D92" s="27"/>
      <c r="E92" s="27"/>
      <c r="F92" s="27"/>
    </row>
    <row r="93" spans="3:6" x14ac:dyDescent="0.25">
      <c r="C93" s="27"/>
      <c r="D93" s="27"/>
      <c r="E93" s="27"/>
      <c r="F93" s="27"/>
    </row>
    <row r="94" spans="3:6" x14ac:dyDescent="0.25">
      <c r="C94" s="27"/>
      <c r="D94" s="27"/>
      <c r="E94" s="27"/>
      <c r="F94" s="27"/>
    </row>
    <row r="95" spans="3:6" x14ac:dyDescent="0.25">
      <c r="C95" s="27"/>
      <c r="D95" s="27"/>
      <c r="E95" s="27"/>
      <c r="F95" s="27"/>
    </row>
    <row r="96" spans="3:6" x14ac:dyDescent="0.25">
      <c r="C96" s="27"/>
      <c r="D96" s="27"/>
      <c r="E96" s="27"/>
      <c r="F96" s="27"/>
    </row>
    <row r="97" spans="3:6" x14ac:dyDescent="0.25">
      <c r="C97" s="27"/>
      <c r="D97" s="27"/>
      <c r="E97" s="27"/>
      <c r="F97" s="27"/>
    </row>
    <row r="98" spans="3:6" x14ac:dyDescent="0.25">
      <c r="C98" s="27"/>
      <c r="D98" s="27"/>
      <c r="E98" s="27"/>
      <c r="F98" s="27"/>
    </row>
    <row r="99" spans="3:6" x14ac:dyDescent="0.25">
      <c r="C99" s="27"/>
      <c r="D99" s="27"/>
      <c r="E99" s="27"/>
      <c r="F99" s="27"/>
    </row>
    <row r="100" spans="3:6" x14ac:dyDescent="0.25">
      <c r="C100" s="27"/>
      <c r="D100" s="27"/>
      <c r="E100" s="27"/>
      <c r="F100" s="27"/>
    </row>
    <row r="101" spans="3:6" x14ac:dyDescent="0.25">
      <c r="C101" s="27"/>
      <c r="D101" s="27"/>
      <c r="E101" s="27"/>
      <c r="F101" s="27"/>
    </row>
    <row r="102" spans="3:6" x14ac:dyDescent="0.25">
      <c r="C102" s="27"/>
      <c r="D102" s="27"/>
      <c r="E102" s="27"/>
      <c r="F102" s="27"/>
    </row>
    <row r="103" spans="3:6" x14ac:dyDescent="0.25">
      <c r="C103" s="27"/>
      <c r="D103" s="27"/>
      <c r="E103" s="27"/>
      <c r="F103" s="27"/>
    </row>
    <row r="104" spans="3:6" x14ac:dyDescent="0.25">
      <c r="C104" s="27"/>
      <c r="D104" s="27"/>
      <c r="E104" s="27"/>
      <c r="F104" s="27"/>
    </row>
    <row r="105" spans="3:6" x14ac:dyDescent="0.25">
      <c r="C105" s="27"/>
      <c r="D105" s="27"/>
      <c r="E105" s="27"/>
      <c r="F105" s="27"/>
    </row>
    <row r="106" spans="3:6" x14ac:dyDescent="0.25">
      <c r="C106" s="27"/>
      <c r="D106" s="27"/>
      <c r="E106" s="27"/>
      <c r="F106" s="27"/>
    </row>
    <row r="107" spans="3:6" x14ac:dyDescent="0.25">
      <c r="C107" s="27"/>
      <c r="D107" s="27"/>
      <c r="E107" s="27"/>
      <c r="F107" s="27"/>
    </row>
    <row r="108" spans="3:6" x14ac:dyDescent="0.25">
      <c r="C108" s="27"/>
      <c r="D108" s="27"/>
      <c r="E108" s="27"/>
      <c r="F108" s="27"/>
    </row>
    <row r="109" spans="3:6" x14ac:dyDescent="0.25">
      <c r="C109" s="27"/>
      <c r="D109" s="27"/>
      <c r="E109" s="27"/>
      <c r="F109" s="27"/>
    </row>
    <row r="110" spans="3:6" x14ac:dyDescent="0.25">
      <c r="C110" s="27"/>
      <c r="D110" s="27"/>
      <c r="E110" s="27"/>
      <c r="F110" s="27"/>
    </row>
    <row r="111" spans="3:6" x14ac:dyDescent="0.25">
      <c r="C111" s="27"/>
      <c r="D111" s="27"/>
      <c r="E111" s="27"/>
      <c r="F111" s="27"/>
    </row>
    <row r="112" spans="3:6" x14ac:dyDescent="0.25">
      <c r="C112" s="27"/>
      <c r="D112" s="27"/>
      <c r="E112" s="27"/>
      <c r="F112" s="27"/>
    </row>
    <row r="113" spans="3:6" x14ac:dyDescent="0.25">
      <c r="C113" s="27"/>
      <c r="D113" s="27"/>
      <c r="E113" s="27"/>
      <c r="F113" s="27"/>
    </row>
    <row r="114" spans="3:6" x14ac:dyDescent="0.25">
      <c r="C114" s="27"/>
      <c r="D114" s="27"/>
      <c r="E114" s="27"/>
      <c r="F114" s="27"/>
    </row>
    <row r="115" spans="3:6" x14ac:dyDescent="0.25">
      <c r="C115" s="27"/>
      <c r="D115" s="27"/>
      <c r="E115" s="27"/>
      <c r="F115" s="27"/>
    </row>
    <row r="116" spans="3:6" x14ac:dyDescent="0.25">
      <c r="C116" s="27"/>
      <c r="D116" s="27"/>
      <c r="E116" s="27"/>
      <c r="F116" s="27"/>
    </row>
    <row r="117" spans="3:6" x14ac:dyDescent="0.25">
      <c r="C117" s="27"/>
      <c r="D117" s="27"/>
      <c r="E117" s="27"/>
      <c r="F117" s="27"/>
    </row>
    <row r="118" spans="3:6" x14ac:dyDescent="0.25">
      <c r="C118" s="27"/>
      <c r="D118" s="27"/>
      <c r="E118" s="27"/>
      <c r="F118" s="27"/>
    </row>
    <row r="119" spans="3:6" x14ac:dyDescent="0.25">
      <c r="C119" s="27"/>
      <c r="D119" s="27"/>
      <c r="E119" s="27"/>
      <c r="F119" s="27"/>
    </row>
    <row r="120" spans="3:6" x14ac:dyDescent="0.25">
      <c r="C120" s="27"/>
      <c r="D120" s="27"/>
      <c r="E120" s="27"/>
      <c r="F120" s="27"/>
    </row>
    <row r="121" spans="3:6" x14ac:dyDescent="0.25">
      <c r="C121" s="27"/>
      <c r="D121" s="27"/>
      <c r="E121" s="27"/>
      <c r="F121" s="27"/>
    </row>
    <row r="122" spans="3:6" x14ac:dyDescent="0.25">
      <c r="C122" s="27"/>
      <c r="D122" s="27"/>
      <c r="E122" s="27"/>
      <c r="F122" s="27"/>
    </row>
    <row r="123" spans="3:6" x14ac:dyDescent="0.25">
      <c r="C123" s="27"/>
      <c r="D123" s="27"/>
      <c r="E123" s="27"/>
      <c r="F123" s="27"/>
    </row>
    <row r="124" spans="3:6" x14ac:dyDescent="0.25">
      <c r="C124" s="27"/>
      <c r="D124" s="27"/>
      <c r="E124" s="27"/>
      <c r="F124" s="27"/>
    </row>
    <row r="125" spans="3:6" x14ac:dyDescent="0.25">
      <c r="C125" s="27"/>
      <c r="D125" s="27"/>
      <c r="E125" s="27"/>
      <c r="F125" s="27"/>
    </row>
    <row r="126" spans="3:6" x14ac:dyDescent="0.25">
      <c r="C126" s="27"/>
      <c r="D126" s="27"/>
      <c r="E126" s="27"/>
      <c r="F126" s="27"/>
    </row>
    <row r="127" spans="3:6" x14ac:dyDescent="0.25">
      <c r="C127" s="27"/>
      <c r="D127" s="27"/>
      <c r="E127" s="27"/>
      <c r="F127" s="27"/>
    </row>
    <row r="128" spans="3:6" x14ac:dyDescent="0.25">
      <c r="C128" s="27"/>
      <c r="D128" s="27"/>
      <c r="E128" s="27"/>
      <c r="F128" s="27"/>
    </row>
    <row r="129" spans="3:6" x14ac:dyDescent="0.25">
      <c r="C129" s="27"/>
      <c r="D129" s="27"/>
      <c r="E129" s="27"/>
      <c r="F129" s="27"/>
    </row>
    <row r="130" spans="3:6" x14ac:dyDescent="0.25">
      <c r="C130" s="27"/>
      <c r="D130" s="27"/>
      <c r="E130" s="27"/>
      <c r="F130" s="27"/>
    </row>
    <row r="131" spans="3:6" x14ac:dyDescent="0.25">
      <c r="C131" s="27"/>
      <c r="D131" s="27"/>
      <c r="E131" s="27"/>
      <c r="F131" s="27"/>
    </row>
    <row r="132" spans="3:6" x14ac:dyDescent="0.25">
      <c r="C132" s="27"/>
      <c r="D132" s="27"/>
      <c r="E132" s="27"/>
      <c r="F132" s="27"/>
    </row>
    <row r="133" spans="3:6" x14ac:dyDescent="0.25">
      <c r="C133" s="27"/>
      <c r="D133" s="27"/>
      <c r="E133" s="27"/>
      <c r="F133" s="27"/>
    </row>
    <row r="134" spans="3:6" x14ac:dyDescent="0.25">
      <c r="C134" s="27"/>
      <c r="D134" s="27"/>
      <c r="E134" s="27"/>
      <c r="F134" s="27"/>
    </row>
    <row r="135" spans="3:6" x14ac:dyDescent="0.25">
      <c r="C135" s="27"/>
      <c r="D135" s="27"/>
      <c r="E135" s="27"/>
      <c r="F135" s="27"/>
    </row>
    <row r="136" spans="3:6" x14ac:dyDescent="0.25">
      <c r="C136" s="27"/>
      <c r="D136" s="27"/>
      <c r="E136" s="27"/>
      <c r="F136" s="27"/>
    </row>
    <row r="137" spans="3:6" x14ac:dyDescent="0.25">
      <c r="C137" s="27"/>
      <c r="D137" s="27"/>
      <c r="E137" s="27"/>
      <c r="F137" s="27"/>
    </row>
    <row r="138" spans="3:6" x14ac:dyDescent="0.25">
      <c r="C138" s="27"/>
      <c r="D138" s="27"/>
      <c r="E138" s="27"/>
      <c r="F138" s="27"/>
    </row>
    <row r="139" spans="3:6" x14ac:dyDescent="0.25">
      <c r="C139" s="27"/>
      <c r="D139" s="27"/>
      <c r="E139" s="27"/>
      <c r="F139" s="27"/>
    </row>
    <row r="140" spans="3:6" x14ac:dyDescent="0.25">
      <c r="C140" s="27"/>
      <c r="D140" s="27"/>
      <c r="E140" s="27"/>
      <c r="F140" s="27"/>
    </row>
    <row r="141" spans="3:6" x14ac:dyDescent="0.25">
      <c r="C141" s="27"/>
      <c r="D141" s="27"/>
      <c r="E141" s="27"/>
      <c r="F141" s="27"/>
    </row>
    <row r="142" spans="3:6" x14ac:dyDescent="0.25">
      <c r="C142" s="27"/>
      <c r="D142" s="27"/>
      <c r="E142" s="27"/>
      <c r="F142" s="27"/>
    </row>
    <row r="143" spans="3:6" x14ac:dyDescent="0.25">
      <c r="C143" s="27"/>
      <c r="D143" s="27"/>
      <c r="E143" s="27"/>
      <c r="F143" s="27"/>
    </row>
    <row r="144" spans="3:6" x14ac:dyDescent="0.25">
      <c r="C144" s="27"/>
      <c r="D144" s="27"/>
      <c r="E144" s="27"/>
      <c r="F144" s="27"/>
    </row>
    <row r="145" spans="3:6" x14ac:dyDescent="0.25">
      <c r="C145" s="27"/>
      <c r="D145" s="27"/>
      <c r="E145" s="27"/>
      <c r="F145" s="27"/>
    </row>
    <row r="146" spans="3:6" x14ac:dyDescent="0.25">
      <c r="C146" s="27"/>
      <c r="D146" s="27"/>
      <c r="E146" s="27"/>
      <c r="F146" s="27"/>
    </row>
    <row r="147" spans="3:6" x14ac:dyDescent="0.25">
      <c r="C147" s="27"/>
      <c r="D147" s="27"/>
      <c r="E147" s="27"/>
      <c r="F147" s="27"/>
    </row>
    <row r="148" spans="3:6" x14ac:dyDescent="0.25">
      <c r="C148" s="27"/>
      <c r="D148" s="27"/>
      <c r="E148" s="27"/>
      <c r="F148" s="27"/>
    </row>
    <row r="149" spans="3:6" x14ac:dyDescent="0.25">
      <c r="C149" s="27"/>
      <c r="D149" s="27"/>
      <c r="E149" s="27"/>
      <c r="F149" s="27"/>
    </row>
    <row r="150" spans="3:6" x14ac:dyDescent="0.25">
      <c r="C150" s="27"/>
      <c r="D150" s="27"/>
      <c r="E150" s="27"/>
      <c r="F150" s="27"/>
    </row>
    <row r="151" spans="3:6" x14ac:dyDescent="0.25">
      <c r="C151" s="27"/>
      <c r="D151" s="27"/>
      <c r="E151" s="27"/>
      <c r="F151" s="27"/>
    </row>
    <row r="152" spans="3:6" x14ac:dyDescent="0.25">
      <c r="C152" s="27"/>
      <c r="D152" s="27"/>
      <c r="E152" s="27"/>
      <c r="F152" s="27"/>
    </row>
    <row r="153" spans="3:6" x14ac:dyDescent="0.25">
      <c r="C153" s="27"/>
      <c r="D153" s="27"/>
      <c r="E153" s="27"/>
      <c r="F153" s="27"/>
    </row>
    <row r="154" spans="3:6" x14ac:dyDescent="0.25">
      <c r="C154" s="27"/>
      <c r="D154" s="27"/>
      <c r="E154" s="27"/>
      <c r="F154" s="27"/>
    </row>
    <row r="155" spans="3:6" x14ac:dyDescent="0.25">
      <c r="C155" s="27"/>
      <c r="D155" s="27"/>
      <c r="E155" s="27"/>
      <c r="F155" s="27"/>
    </row>
    <row r="156" spans="3:6" x14ac:dyDescent="0.25">
      <c r="C156" s="27"/>
      <c r="D156" s="27"/>
      <c r="E156" s="27"/>
      <c r="F156" s="27"/>
    </row>
    <row r="157" spans="3:6" x14ac:dyDescent="0.25">
      <c r="C157" s="27"/>
      <c r="D157" s="27"/>
      <c r="E157" s="27"/>
      <c r="F157" s="27"/>
    </row>
    <row r="158" spans="3:6" x14ac:dyDescent="0.25">
      <c r="C158" s="27"/>
      <c r="D158" s="27"/>
      <c r="E158" s="27"/>
      <c r="F158" s="27"/>
    </row>
    <row r="159" spans="3:6" x14ac:dyDescent="0.25">
      <c r="C159" s="27"/>
      <c r="D159" s="27"/>
      <c r="E159" s="27"/>
      <c r="F159" s="27"/>
    </row>
    <row r="160" spans="3:6" x14ac:dyDescent="0.25">
      <c r="C160" s="27"/>
      <c r="D160" s="27"/>
      <c r="E160" s="27"/>
      <c r="F160" s="27"/>
    </row>
    <row r="161" spans="3:6" x14ac:dyDescent="0.25">
      <c r="C161" s="27"/>
      <c r="D161" s="27"/>
      <c r="E161" s="27"/>
      <c r="F161" s="27"/>
    </row>
    <row r="162" spans="3:6" x14ac:dyDescent="0.25">
      <c r="C162" s="27"/>
      <c r="D162" s="27"/>
      <c r="E162" s="27"/>
      <c r="F162" s="27"/>
    </row>
    <row r="163" spans="3:6" x14ac:dyDescent="0.25">
      <c r="C163" s="27"/>
      <c r="D163" s="27"/>
      <c r="E163" s="27"/>
      <c r="F163" s="27"/>
    </row>
    <row r="164" spans="3:6" x14ac:dyDescent="0.25">
      <c r="C164" s="27"/>
      <c r="D164" s="27"/>
      <c r="E164" s="27"/>
      <c r="F164" s="27"/>
    </row>
    <row r="165" spans="3:6" x14ac:dyDescent="0.25">
      <c r="C165" s="27"/>
      <c r="D165" s="27"/>
      <c r="E165" s="27"/>
      <c r="F165" s="27"/>
    </row>
    <row r="166" spans="3:6" x14ac:dyDescent="0.25">
      <c r="C166" s="27"/>
      <c r="D166" s="27"/>
      <c r="E166" s="27"/>
      <c r="F166" s="27"/>
    </row>
    <row r="167" spans="3:6" x14ac:dyDescent="0.25">
      <c r="C167" s="27"/>
      <c r="D167" s="27"/>
      <c r="E167" s="27"/>
      <c r="F167" s="27"/>
    </row>
    <row r="168" spans="3:6" x14ac:dyDescent="0.25">
      <c r="C168" s="27"/>
      <c r="D168" s="27"/>
      <c r="E168" s="27"/>
      <c r="F168" s="27"/>
    </row>
    <row r="169" spans="3:6" x14ac:dyDescent="0.25">
      <c r="C169" s="27"/>
      <c r="D169" s="27"/>
      <c r="E169" s="27"/>
      <c r="F169" s="27"/>
    </row>
    <row r="170" spans="3:6" x14ac:dyDescent="0.25">
      <c r="C170" s="27"/>
      <c r="D170" s="27"/>
      <c r="E170" s="27"/>
      <c r="F170" s="27"/>
    </row>
    <row r="171" spans="3:6" x14ac:dyDescent="0.25">
      <c r="C171" s="27"/>
      <c r="D171" s="27"/>
      <c r="E171" s="27"/>
      <c r="F171" s="27"/>
    </row>
    <row r="172" spans="3:6" x14ac:dyDescent="0.25">
      <c r="C172" s="27"/>
      <c r="D172" s="27"/>
      <c r="E172" s="27"/>
      <c r="F172" s="27"/>
    </row>
    <row r="173" spans="3:6" x14ac:dyDescent="0.25">
      <c r="C173" s="27"/>
      <c r="D173" s="27"/>
      <c r="E173" s="27"/>
      <c r="F173" s="27"/>
    </row>
    <row r="174" spans="3:6" x14ac:dyDescent="0.25">
      <c r="C174" s="27"/>
      <c r="D174" s="27"/>
      <c r="E174" s="27"/>
      <c r="F174" s="27"/>
    </row>
    <row r="175" spans="3:6" x14ac:dyDescent="0.25">
      <c r="C175" s="27"/>
      <c r="D175" s="27"/>
      <c r="E175" s="27"/>
      <c r="F175" s="27"/>
    </row>
    <row r="176" spans="3:6" x14ac:dyDescent="0.25">
      <c r="C176" s="27"/>
      <c r="D176" s="27"/>
      <c r="E176" s="27"/>
      <c r="F176" s="27"/>
    </row>
    <row r="177" spans="3:6" x14ac:dyDescent="0.25">
      <c r="C177" s="27"/>
      <c r="D177" s="27"/>
      <c r="E177" s="27"/>
      <c r="F177" s="27"/>
    </row>
    <row r="178" spans="3:6" x14ac:dyDescent="0.25">
      <c r="C178" s="27"/>
      <c r="D178" s="27"/>
      <c r="E178" s="27"/>
      <c r="F178" s="27"/>
    </row>
    <row r="179" spans="3:6" x14ac:dyDescent="0.25">
      <c r="C179" s="27"/>
      <c r="D179" s="27"/>
      <c r="E179" s="27"/>
      <c r="F179" s="27"/>
    </row>
    <row r="180" spans="3:6" x14ac:dyDescent="0.25">
      <c r="C180" s="27"/>
      <c r="D180" s="27"/>
      <c r="E180" s="27"/>
      <c r="F180" s="27"/>
    </row>
    <row r="181" spans="3:6" x14ac:dyDescent="0.25">
      <c r="C181" s="27"/>
      <c r="D181" s="27"/>
      <c r="E181" s="27"/>
      <c r="F181" s="27"/>
    </row>
    <row r="182" spans="3:6" x14ac:dyDescent="0.25">
      <c r="C182" s="27"/>
      <c r="D182" s="27"/>
      <c r="E182" s="27"/>
      <c r="F182" s="27"/>
    </row>
    <row r="183" spans="3:6" x14ac:dyDescent="0.25">
      <c r="C183" s="27"/>
      <c r="D183" s="27"/>
      <c r="E183" s="27"/>
      <c r="F183" s="27"/>
    </row>
    <row r="184" spans="3:6" x14ac:dyDescent="0.25">
      <c r="C184" s="27"/>
      <c r="D184" s="27"/>
      <c r="E184" s="27"/>
      <c r="F184" s="27"/>
    </row>
    <row r="185" spans="3:6" x14ac:dyDescent="0.25">
      <c r="C185" s="27"/>
      <c r="D185" s="27"/>
      <c r="E185" s="27"/>
      <c r="F185" s="27"/>
    </row>
    <row r="186" spans="3:6" x14ac:dyDescent="0.25">
      <c r="C186" s="27"/>
      <c r="D186" s="27"/>
      <c r="E186" s="27"/>
      <c r="F186" s="27"/>
    </row>
    <row r="187" spans="3:6" x14ac:dyDescent="0.25">
      <c r="C187" s="27"/>
      <c r="D187" s="27"/>
      <c r="E187" s="27"/>
      <c r="F187" s="27"/>
    </row>
    <row r="188" spans="3:6" x14ac:dyDescent="0.25">
      <c r="C188" s="27"/>
      <c r="D188" s="27"/>
      <c r="E188" s="27"/>
      <c r="F188" s="27"/>
    </row>
    <row r="189" spans="3:6" x14ac:dyDescent="0.25">
      <c r="C189" s="27"/>
      <c r="D189" s="27"/>
      <c r="E189" s="27"/>
      <c r="F189" s="27"/>
    </row>
    <row r="190" spans="3:6" x14ac:dyDescent="0.25">
      <c r="C190" s="27"/>
      <c r="D190" s="27"/>
      <c r="E190" s="27"/>
      <c r="F190" s="27"/>
    </row>
    <row r="191" spans="3:6" x14ac:dyDescent="0.25">
      <c r="C191" s="27"/>
      <c r="D191" s="27"/>
      <c r="E191" s="27"/>
      <c r="F191" s="27"/>
    </row>
    <row r="192" spans="3:6" x14ac:dyDescent="0.25">
      <c r="C192" s="27"/>
      <c r="D192" s="27"/>
      <c r="E192" s="27"/>
      <c r="F192" s="27"/>
    </row>
    <row r="193" spans="3:6" x14ac:dyDescent="0.25">
      <c r="C193" s="27"/>
      <c r="D193" s="27"/>
      <c r="E193" s="27"/>
      <c r="F193" s="27"/>
    </row>
    <row r="194" spans="3:6" x14ac:dyDescent="0.25">
      <c r="C194" s="27"/>
      <c r="D194" s="27"/>
      <c r="E194" s="27"/>
      <c r="F194" s="27"/>
    </row>
    <row r="195" spans="3:6" x14ac:dyDescent="0.25">
      <c r="C195" s="27"/>
      <c r="D195" s="27"/>
      <c r="E195" s="27"/>
      <c r="F195" s="27"/>
    </row>
    <row r="196" spans="3:6" x14ac:dyDescent="0.25">
      <c r="C196" s="27"/>
      <c r="D196" s="27"/>
      <c r="E196" s="27"/>
      <c r="F196" s="27"/>
    </row>
    <row r="197" spans="3:6" x14ac:dyDescent="0.25">
      <c r="C197" s="27"/>
      <c r="D197" s="27"/>
      <c r="E197" s="27"/>
      <c r="F197" s="27"/>
    </row>
    <row r="198" spans="3:6" x14ac:dyDescent="0.25">
      <c r="C198" s="27"/>
      <c r="D198" s="27"/>
      <c r="E198" s="27"/>
      <c r="F198" s="27"/>
    </row>
    <row r="199" spans="3:6" x14ac:dyDescent="0.25">
      <c r="C199" s="27"/>
      <c r="D199" s="27"/>
      <c r="E199" s="27"/>
      <c r="F199" s="27"/>
    </row>
    <row r="200" spans="3:6" x14ac:dyDescent="0.25">
      <c r="C200" s="27"/>
      <c r="D200" s="27"/>
      <c r="E200" s="27"/>
      <c r="F200" s="27"/>
    </row>
    <row r="201" spans="3:6" x14ac:dyDescent="0.25">
      <c r="C201" s="27"/>
      <c r="D201" s="27"/>
      <c r="E201" s="27"/>
      <c r="F201" s="27"/>
    </row>
    <row r="202" spans="3:6" x14ac:dyDescent="0.25">
      <c r="C202" s="27"/>
      <c r="D202" s="27"/>
      <c r="E202" s="27"/>
      <c r="F202" s="27"/>
    </row>
    <row r="203" spans="3:6" x14ac:dyDescent="0.25">
      <c r="C203" s="27"/>
      <c r="D203" s="27"/>
      <c r="E203" s="27"/>
      <c r="F203" s="27"/>
    </row>
    <row r="204" spans="3:6" x14ac:dyDescent="0.25">
      <c r="C204" s="27"/>
      <c r="D204" s="27"/>
      <c r="E204" s="27"/>
      <c r="F204" s="27"/>
    </row>
    <row r="205" spans="3:6" x14ac:dyDescent="0.25">
      <c r="C205" s="27"/>
      <c r="D205" s="27"/>
      <c r="E205" s="27"/>
      <c r="F205" s="27"/>
    </row>
    <row r="206" spans="3:6" x14ac:dyDescent="0.25">
      <c r="C206" s="27"/>
      <c r="D206" s="27"/>
      <c r="E206" s="27"/>
      <c r="F206" s="27"/>
    </row>
    <row r="207" spans="3:6" x14ac:dyDescent="0.25">
      <c r="C207" s="27"/>
      <c r="D207" s="27"/>
      <c r="E207" s="27"/>
      <c r="F207" s="27"/>
    </row>
    <row r="208" spans="3:6" x14ac:dyDescent="0.25">
      <c r="C208" s="27"/>
      <c r="D208" s="27"/>
      <c r="E208" s="27"/>
      <c r="F208" s="27"/>
    </row>
    <row r="209" spans="3:6" x14ac:dyDescent="0.25">
      <c r="C209" s="27"/>
      <c r="D209" s="27"/>
      <c r="E209" s="27"/>
      <c r="F209" s="27"/>
    </row>
    <row r="210" spans="3:6" x14ac:dyDescent="0.25">
      <c r="C210" s="27"/>
      <c r="D210" s="27"/>
      <c r="E210" s="27"/>
      <c r="F210" s="27"/>
    </row>
    <row r="211" spans="3:6" x14ac:dyDescent="0.25">
      <c r="C211" s="27"/>
      <c r="D211" s="27"/>
      <c r="E211" s="27"/>
      <c r="F211" s="27"/>
    </row>
    <row r="212" spans="3:6" x14ac:dyDescent="0.25">
      <c r="C212" s="27"/>
      <c r="D212" s="27"/>
      <c r="E212" s="27"/>
      <c r="F212" s="27"/>
    </row>
    <row r="213" spans="3:6" x14ac:dyDescent="0.25">
      <c r="C213" s="27"/>
      <c r="D213" s="27"/>
      <c r="E213" s="27"/>
      <c r="F213" s="27"/>
    </row>
    <row r="214" spans="3:6" x14ac:dyDescent="0.25">
      <c r="C214" s="27"/>
      <c r="D214" s="27"/>
      <c r="E214" s="27"/>
      <c r="F214" s="27"/>
    </row>
    <row r="215" spans="3:6" x14ac:dyDescent="0.25">
      <c r="C215" s="27"/>
      <c r="D215" s="27"/>
      <c r="E215" s="27"/>
      <c r="F215" s="27"/>
    </row>
    <row r="216" spans="3:6" x14ac:dyDescent="0.25">
      <c r="C216" s="27"/>
      <c r="D216" s="27"/>
      <c r="E216" s="27"/>
      <c r="F216" s="27"/>
    </row>
    <row r="217" spans="3:6" x14ac:dyDescent="0.25">
      <c r="C217" s="27"/>
      <c r="D217" s="27"/>
      <c r="E217" s="27"/>
      <c r="F217" s="27"/>
    </row>
    <row r="218" spans="3:6" x14ac:dyDescent="0.25">
      <c r="C218" s="27"/>
      <c r="D218" s="27"/>
      <c r="E218" s="27"/>
      <c r="F218" s="27"/>
    </row>
    <row r="219" spans="3:6" x14ac:dyDescent="0.25">
      <c r="C219" s="27"/>
      <c r="D219" s="27"/>
      <c r="E219" s="27"/>
      <c r="F219" s="27"/>
    </row>
    <row r="220" spans="3:6" x14ac:dyDescent="0.25">
      <c r="C220" s="27"/>
      <c r="D220" s="27"/>
      <c r="E220" s="27"/>
      <c r="F220" s="27"/>
    </row>
    <row r="221" spans="3:6" x14ac:dyDescent="0.25">
      <c r="C221" s="27"/>
      <c r="D221" s="27"/>
      <c r="E221" s="27"/>
      <c r="F221" s="27"/>
    </row>
    <row r="222" spans="3:6" x14ac:dyDescent="0.25">
      <c r="C222" s="27"/>
      <c r="D222" s="27"/>
      <c r="E222" s="27"/>
      <c r="F222" s="27"/>
    </row>
    <row r="223" spans="3:6" x14ac:dyDescent="0.25">
      <c r="C223" s="27"/>
      <c r="D223" s="27"/>
      <c r="E223" s="27"/>
      <c r="F223" s="27"/>
    </row>
    <row r="224" spans="3:6" x14ac:dyDescent="0.25">
      <c r="C224" s="27"/>
      <c r="D224" s="27"/>
      <c r="E224" s="27"/>
      <c r="F224" s="27"/>
    </row>
    <row r="225" spans="3:6" x14ac:dyDescent="0.25">
      <c r="C225" s="27"/>
      <c r="D225" s="27"/>
      <c r="E225" s="27"/>
      <c r="F225" s="27"/>
    </row>
    <row r="226" spans="3:6" x14ac:dyDescent="0.25">
      <c r="C226" s="27"/>
      <c r="D226" s="27"/>
      <c r="E226" s="27"/>
      <c r="F226" s="27"/>
    </row>
    <row r="227" spans="3:6" x14ac:dyDescent="0.25">
      <c r="C227" s="27"/>
      <c r="D227" s="27"/>
      <c r="E227" s="27"/>
      <c r="F227" s="27"/>
    </row>
    <row r="228" spans="3:6" x14ac:dyDescent="0.25">
      <c r="C228" s="27"/>
      <c r="D228" s="27"/>
      <c r="E228" s="27"/>
      <c r="F228" s="27"/>
    </row>
    <row r="229" spans="3:6" x14ac:dyDescent="0.25">
      <c r="C229" s="27"/>
      <c r="D229" s="27"/>
      <c r="E229" s="27"/>
      <c r="F229" s="27"/>
    </row>
    <row r="230" spans="3:6" x14ac:dyDescent="0.25">
      <c r="C230" s="27"/>
      <c r="D230" s="27"/>
      <c r="E230" s="27"/>
      <c r="F230" s="27"/>
    </row>
    <row r="231" spans="3:6" x14ac:dyDescent="0.25">
      <c r="C231" s="27"/>
      <c r="D231" s="27"/>
      <c r="E231" s="27"/>
      <c r="F231" s="27"/>
    </row>
    <row r="232" spans="3:6" x14ac:dyDescent="0.25">
      <c r="C232" s="27"/>
      <c r="D232" s="27"/>
      <c r="E232" s="27"/>
      <c r="F232" s="27"/>
    </row>
    <row r="233" spans="3:6" x14ac:dyDescent="0.25">
      <c r="C233" s="27"/>
      <c r="D233" s="27"/>
      <c r="E233" s="27"/>
      <c r="F233" s="27"/>
    </row>
    <row r="234" spans="3:6" x14ac:dyDescent="0.25">
      <c r="C234" s="27"/>
      <c r="D234" s="27"/>
      <c r="E234" s="27"/>
      <c r="F234" s="27"/>
    </row>
    <row r="235" spans="3:6" x14ac:dyDescent="0.25">
      <c r="C235" s="27"/>
      <c r="D235" s="27"/>
      <c r="E235" s="27"/>
      <c r="F235" s="27"/>
    </row>
    <row r="236" spans="3:6" x14ac:dyDescent="0.25">
      <c r="C236" s="27"/>
      <c r="D236" s="27"/>
      <c r="E236" s="27"/>
      <c r="F236" s="27"/>
    </row>
    <row r="237" spans="3:6" x14ac:dyDescent="0.25">
      <c r="C237" s="27"/>
      <c r="D237" s="27"/>
      <c r="E237" s="27"/>
      <c r="F237" s="27"/>
    </row>
    <row r="238" spans="3:6" x14ac:dyDescent="0.25">
      <c r="C238" s="27"/>
      <c r="D238" s="27"/>
      <c r="E238" s="27"/>
      <c r="F238" s="27"/>
    </row>
    <row r="239" spans="3:6" x14ac:dyDescent="0.25">
      <c r="C239" s="27"/>
      <c r="D239" s="27"/>
      <c r="E239" s="27"/>
      <c r="F239" s="27"/>
    </row>
    <row r="240" spans="3:6" x14ac:dyDescent="0.25">
      <c r="C240" s="27"/>
      <c r="D240" s="27"/>
      <c r="E240" s="27"/>
      <c r="F240" s="27"/>
    </row>
    <row r="241" spans="3:6" x14ac:dyDescent="0.25">
      <c r="C241" s="27"/>
      <c r="D241" s="27"/>
      <c r="E241" s="27"/>
      <c r="F241" s="27"/>
    </row>
    <row r="242" spans="3:6" x14ac:dyDescent="0.25">
      <c r="C242" s="27"/>
      <c r="D242" s="27"/>
      <c r="E242" s="27"/>
      <c r="F242" s="27"/>
    </row>
    <row r="243" spans="3:6" x14ac:dyDescent="0.25">
      <c r="C243" s="27"/>
      <c r="D243" s="27"/>
      <c r="E243" s="27"/>
      <c r="F243" s="27"/>
    </row>
    <row r="244" spans="3:6" x14ac:dyDescent="0.25">
      <c r="C244" s="27"/>
      <c r="D244" s="27"/>
      <c r="E244" s="27"/>
      <c r="F244" s="27"/>
    </row>
    <row r="245" spans="3:6" x14ac:dyDescent="0.25">
      <c r="C245" s="27"/>
      <c r="D245" s="27"/>
      <c r="E245" s="27"/>
      <c r="F245" s="27"/>
    </row>
    <row r="246" spans="3:6" x14ac:dyDescent="0.25">
      <c r="C246" s="27"/>
      <c r="D246" s="27"/>
      <c r="E246" s="27"/>
      <c r="F246" s="27"/>
    </row>
    <row r="247" spans="3:6" x14ac:dyDescent="0.25">
      <c r="C247" s="27"/>
      <c r="D247" s="27"/>
      <c r="E247" s="27"/>
      <c r="F247" s="27"/>
    </row>
    <row r="248" spans="3:6" x14ac:dyDescent="0.25">
      <c r="C248" s="27"/>
      <c r="D248" s="27"/>
      <c r="E248" s="27"/>
      <c r="F248" s="27"/>
    </row>
    <row r="249" spans="3:6" x14ac:dyDescent="0.25">
      <c r="C249" s="27"/>
      <c r="D249" s="27"/>
      <c r="E249" s="27"/>
      <c r="F249" s="27"/>
    </row>
    <row r="250" spans="3:6" x14ac:dyDescent="0.25">
      <c r="C250" s="27"/>
      <c r="D250" s="27"/>
      <c r="E250" s="27"/>
      <c r="F250" s="27"/>
    </row>
    <row r="251" spans="3:6" x14ac:dyDescent="0.25">
      <c r="C251" s="27"/>
      <c r="D251" s="27"/>
      <c r="E251" s="27"/>
      <c r="F251" s="27"/>
    </row>
    <row r="252" spans="3:6" x14ac:dyDescent="0.25">
      <c r="C252" s="27"/>
      <c r="D252" s="27"/>
      <c r="E252" s="27"/>
      <c r="F252" s="27"/>
    </row>
    <row r="253" spans="3:6" x14ac:dyDescent="0.25">
      <c r="C253" s="27"/>
      <c r="D253" s="27"/>
      <c r="E253" s="27"/>
      <c r="F253" s="27"/>
    </row>
    <row r="254" spans="3:6" x14ac:dyDescent="0.25">
      <c r="C254" s="27"/>
      <c r="D254" s="27"/>
      <c r="E254" s="27"/>
      <c r="F254" s="27"/>
    </row>
    <row r="255" spans="3:6" x14ac:dyDescent="0.25">
      <c r="C255" s="27"/>
      <c r="D255" s="27"/>
      <c r="E255" s="27"/>
      <c r="F255" s="27"/>
    </row>
    <row r="256" spans="3:6" x14ac:dyDescent="0.25">
      <c r="C256" s="27"/>
      <c r="D256" s="27"/>
      <c r="E256" s="27"/>
      <c r="F256" s="27"/>
    </row>
    <row r="257" spans="3:6" x14ac:dyDescent="0.25">
      <c r="C257" s="27"/>
      <c r="D257" s="27"/>
      <c r="E257" s="27"/>
      <c r="F257" s="27"/>
    </row>
    <row r="258" spans="3:6" x14ac:dyDescent="0.25">
      <c r="C258" s="27"/>
      <c r="D258" s="27"/>
      <c r="E258" s="27"/>
      <c r="F258" s="27"/>
    </row>
    <row r="259" spans="3:6" x14ac:dyDescent="0.25">
      <c r="C259" s="27"/>
      <c r="D259" s="27"/>
      <c r="E259" s="27"/>
      <c r="F259" s="27"/>
    </row>
    <row r="260" spans="3:6" x14ac:dyDescent="0.25">
      <c r="C260" s="27"/>
      <c r="D260" s="27"/>
      <c r="E260" s="27"/>
      <c r="F260" s="27"/>
    </row>
    <row r="261" spans="3:6" x14ac:dyDescent="0.25">
      <c r="C261" s="27"/>
      <c r="D261" s="27"/>
      <c r="E261" s="27"/>
      <c r="F261" s="27"/>
    </row>
    <row r="262" spans="3:6" x14ac:dyDescent="0.25">
      <c r="C262" s="27"/>
      <c r="D262" s="27"/>
      <c r="E262" s="27"/>
      <c r="F262" s="27"/>
    </row>
    <row r="263" spans="3:6" x14ac:dyDescent="0.25">
      <c r="C263" s="27"/>
      <c r="D263" s="27"/>
      <c r="E263" s="27"/>
      <c r="F263" s="27"/>
    </row>
    <row r="264" spans="3:6" x14ac:dyDescent="0.25">
      <c r="C264" s="27"/>
      <c r="D264" s="27"/>
      <c r="E264" s="27"/>
      <c r="F264" s="27"/>
    </row>
    <row r="265" spans="3:6" x14ac:dyDescent="0.25">
      <c r="C265" s="27"/>
      <c r="D265" s="27"/>
      <c r="E265" s="27"/>
      <c r="F265" s="27"/>
    </row>
    <row r="266" spans="3:6" x14ac:dyDescent="0.25">
      <c r="C266" s="27"/>
      <c r="D266" s="27"/>
      <c r="E266" s="27"/>
      <c r="F266" s="27"/>
    </row>
    <row r="267" spans="3:6" x14ac:dyDescent="0.25">
      <c r="C267" s="27"/>
      <c r="D267" s="27"/>
      <c r="E267" s="27"/>
      <c r="F267" s="27"/>
    </row>
    <row r="268" spans="3:6" x14ac:dyDescent="0.25">
      <c r="C268" s="27"/>
      <c r="D268" s="27"/>
      <c r="E268" s="27"/>
      <c r="F268" s="27"/>
    </row>
    <row r="269" spans="3:6" x14ac:dyDescent="0.25">
      <c r="C269" s="27"/>
      <c r="D269" s="27"/>
      <c r="E269" s="27"/>
      <c r="F269" s="27"/>
    </row>
    <row r="270" spans="3:6" x14ac:dyDescent="0.25">
      <c r="C270" s="27"/>
      <c r="D270" s="27"/>
      <c r="E270" s="27"/>
      <c r="F270" s="27"/>
    </row>
    <row r="271" spans="3:6" x14ac:dyDescent="0.25">
      <c r="C271" s="27"/>
      <c r="D271" s="27"/>
      <c r="E271" s="27"/>
      <c r="F271" s="27"/>
    </row>
    <row r="272" spans="3:6" x14ac:dyDescent="0.25">
      <c r="C272" s="27"/>
      <c r="D272" s="27"/>
      <c r="E272" s="27"/>
      <c r="F272" s="27"/>
    </row>
    <row r="273" spans="3:6" x14ac:dyDescent="0.25">
      <c r="C273" s="27"/>
      <c r="D273" s="27"/>
      <c r="E273" s="27"/>
      <c r="F273" s="27"/>
    </row>
    <row r="274" spans="3:6" x14ac:dyDescent="0.25">
      <c r="C274" s="27"/>
      <c r="D274" s="27"/>
      <c r="E274" s="27"/>
      <c r="F274" s="27"/>
    </row>
    <row r="275" spans="3:6" x14ac:dyDescent="0.25">
      <c r="C275" s="27"/>
      <c r="D275" s="27"/>
      <c r="E275" s="27"/>
      <c r="F275" s="27"/>
    </row>
    <row r="276" spans="3:6" x14ac:dyDescent="0.25">
      <c r="C276" s="27"/>
      <c r="D276" s="27"/>
      <c r="E276" s="27"/>
      <c r="F276" s="27"/>
    </row>
    <row r="277" spans="3:6" x14ac:dyDescent="0.25">
      <c r="C277" s="27"/>
      <c r="D277" s="27"/>
      <c r="E277" s="27"/>
      <c r="F277" s="27"/>
    </row>
    <row r="278" spans="3:6" x14ac:dyDescent="0.25">
      <c r="C278" s="27"/>
      <c r="D278" s="27"/>
      <c r="E278" s="27"/>
      <c r="F278" s="27"/>
    </row>
    <row r="279" spans="3:6" x14ac:dyDescent="0.25">
      <c r="C279" s="27"/>
      <c r="D279" s="27"/>
      <c r="E279" s="27"/>
      <c r="F279" s="27"/>
    </row>
    <row r="280" spans="3:6" x14ac:dyDescent="0.25">
      <c r="C280" s="27"/>
      <c r="D280" s="27"/>
      <c r="E280" s="27"/>
      <c r="F280" s="27"/>
    </row>
    <row r="281" spans="3:6" x14ac:dyDescent="0.25">
      <c r="C281" s="27"/>
      <c r="D281" s="27"/>
      <c r="E281" s="27"/>
      <c r="F281" s="27"/>
    </row>
    <row r="282" spans="3:6" x14ac:dyDescent="0.25">
      <c r="C282" s="27"/>
      <c r="D282" s="27"/>
      <c r="E282" s="27"/>
      <c r="F282" s="27"/>
    </row>
    <row r="283" spans="3:6" x14ac:dyDescent="0.25">
      <c r="C283" s="27"/>
      <c r="D283" s="27"/>
      <c r="E283" s="27"/>
      <c r="F283" s="27"/>
    </row>
    <row r="284" spans="3:6" x14ac:dyDescent="0.25">
      <c r="C284" s="27"/>
      <c r="D284" s="27"/>
      <c r="E284" s="27"/>
      <c r="F284" s="27"/>
    </row>
    <row r="285" spans="3:6" x14ac:dyDescent="0.25">
      <c r="C285" s="27"/>
      <c r="D285" s="27"/>
      <c r="E285" s="27"/>
      <c r="F285" s="27"/>
    </row>
    <row r="286" spans="3:6" x14ac:dyDescent="0.25">
      <c r="C286" s="27"/>
      <c r="D286" s="27"/>
      <c r="E286" s="27"/>
      <c r="F286" s="27"/>
    </row>
    <row r="287" spans="3:6" x14ac:dyDescent="0.25">
      <c r="C287" s="27"/>
      <c r="D287" s="27"/>
      <c r="E287" s="27"/>
      <c r="F287" s="27"/>
    </row>
    <row r="288" spans="3:6" x14ac:dyDescent="0.25">
      <c r="C288" s="27"/>
      <c r="D288" s="27"/>
      <c r="E288" s="27"/>
      <c r="F288" s="27"/>
    </row>
    <row r="289" spans="3:6" x14ac:dyDescent="0.25">
      <c r="C289" s="27"/>
      <c r="D289" s="27"/>
      <c r="E289" s="27"/>
      <c r="F289" s="27"/>
    </row>
    <row r="290" spans="3:6" x14ac:dyDescent="0.25">
      <c r="C290" s="27"/>
      <c r="D290" s="27"/>
      <c r="E290" s="27"/>
      <c r="F290" s="27"/>
    </row>
    <row r="291" spans="3:6" x14ac:dyDescent="0.25">
      <c r="C291" s="27"/>
      <c r="D291" s="27"/>
      <c r="E291" s="27"/>
      <c r="F291" s="27"/>
    </row>
    <row r="292" spans="3:6" x14ac:dyDescent="0.25">
      <c r="C292" s="27"/>
      <c r="D292" s="27"/>
      <c r="E292" s="27"/>
      <c r="F292" s="27"/>
    </row>
    <row r="293" spans="3:6" x14ac:dyDescent="0.25">
      <c r="C293" s="27"/>
      <c r="D293" s="27"/>
      <c r="E293" s="27"/>
      <c r="F293" s="27"/>
    </row>
    <row r="294" spans="3:6" x14ac:dyDescent="0.25">
      <c r="C294" s="27"/>
      <c r="D294" s="27"/>
      <c r="E294" s="27"/>
      <c r="F294" s="27"/>
    </row>
    <row r="295" spans="3:6" x14ac:dyDescent="0.25">
      <c r="C295" s="27"/>
      <c r="D295" s="27"/>
      <c r="E295" s="27"/>
      <c r="F295" s="27"/>
    </row>
    <row r="296" spans="3:6" x14ac:dyDescent="0.25">
      <c r="C296" s="27"/>
      <c r="D296" s="27"/>
      <c r="E296" s="27"/>
      <c r="F296" s="27"/>
    </row>
    <row r="297" spans="3:6" x14ac:dyDescent="0.25">
      <c r="C297" s="27"/>
      <c r="D297" s="27"/>
      <c r="E297" s="27"/>
      <c r="F297" s="27"/>
    </row>
    <row r="298" spans="3:6" x14ac:dyDescent="0.25">
      <c r="C298" s="27"/>
      <c r="D298" s="27"/>
      <c r="E298" s="27"/>
      <c r="F298" s="27"/>
    </row>
    <row r="299" spans="3:6" x14ac:dyDescent="0.25">
      <c r="C299" s="27"/>
      <c r="D299" s="27"/>
      <c r="E299" s="27"/>
      <c r="F299" s="27"/>
    </row>
    <row r="300" spans="3:6" x14ac:dyDescent="0.25">
      <c r="C300" s="27"/>
      <c r="D300" s="27"/>
      <c r="E300" s="27"/>
      <c r="F300" s="27"/>
    </row>
    <row r="301" spans="3:6" x14ac:dyDescent="0.25">
      <c r="C301" s="27"/>
      <c r="D301" s="27"/>
      <c r="E301" s="27"/>
      <c r="F301" s="27"/>
    </row>
    <row r="302" spans="3:6" x14ac:dyDescent="0.25">
      <c r="C302" s="27"/>
      <c r="D302" s="27"/>
      <c r="E302" s="27"/>
      <c r="F302" s="27"/>
    </row>
    <row r="303" spans="3:6" x14ac:dyDescent="0.25">
      <c r="C303" s="27"/>
      <c r="D303" s="27"/>
      <c r="E303" s="27"/>
      <c r="F303" s="27"/>
    </row>
    <row r="304" spans="3:6" x14ac:dyDescent="0.25">
      <c r="C304" s="27"/>
      <c r="D304" s="27"/>
      <c r="E304" s="27"/>
      <c r="F304" s="27"/>
    </row>
    <row r="305" spans="3:6" x14ac:dyDescent="0.25">
      <c r="C305" s="27"/>
      <c r="D305" s="27"/>
      <c r="E305" s="27"/>
      <c r="F305" s="27"/>
    </row>
    <row r="306" spans="3:6" x14ac:dyDescent="0.25">
      <c r="C306" s="27"/>
      <c r="D306" s="27"/>
      <c r="E306" s="27"/>
      <c r="F306" s="27"/>
    </row>
    <row r="307" spans="3:6" x14ac:dyDescent="0.25">
      <c r="C307" s="27"/>
      <c r="D307" s="27"/>
      <c r="E307" s="27"/>
      <c r="F307" s="27"/>
    </row>
    <row r="308" spans="3:6" x14ac:dyDescent="0.25">
      <c r="C308" s="27"/>
      <c r="D308" s="27"/>
      <c r="E308" s="27"/>
      <c r="F308" s="27"/>
    </row>
    <row r="309" spans="3:6" x14ac:dyDescent="0.25">
      <c r="C309" s="27"/>
      <c r="D309" s="27"/>
      <c r="E309" s="27"/>
      <c r="F309" s="27"/>
    </row>
    <row r="310" spans="3:6" x14ac:dyDescent="0.25">
      <c r="C310" s="27"/>
      <c r="D310" s="27"/>
      <c r="E310" s="27"/>
      <c r="F310" s="27"/>
    </row>
    <row r="311" spans="3:6" x14ac:dyDescent="0.25">
      <c r="C311" s="27"/>
      <c r="D311" s="27"/>
      <c r="E311" s="27"/>
      <c r="F311" s="27"/>
    </row>
    <row r="312" spans="3:6" x14ac:dyDescent="0.25">
      <c r="C312" s="27"/>
      <c r="D312" s="27"/>
      <c r="E312" s="27"/>
      <c r="F312" s="27"/>
    </row>
    <row r="313" spans="3:6" x14ac:dyDescent="0.25">
      <c r="C313" s="27"/>
      <c r="D313" s="27"/>
      <c r="E313" s="27"/>
      <c r="F313" s="27"/>
    </row>
    <row r="314" spans="3:6" x14ac:dyDescent="0.25">
      <c r="C314" s="27"/>
      <c r="D314" s="27"/>
      <c r="E314" s="27"/>
      <c r="F314" s="27"/>
    </row>
    <row r="315" spans="3:6" x14ac:dyDescent="0.25">
      <c r="C315" s="27"/>
      <c r="D315" s="27"/>
      <c r="E315" s="27"/>
      <c r="F315" s="27"/>
    </row>
    <row r="316" spans="3:6" x14ac:dyDescent="0.25">
      <c r="C316" s="27"/>
      <c r="D316" s="27"/>
      <c r="E316" s="27"/>
      <c r="F316" s="27"/>
    </row>
    <row r="317" spans="3:6" x14ac:dyDescent="0.25">
      <c r="C317" s="27"/>
      <c r="D317" s="27"/>
      <c r="E317" s="27"/>
      <c r="F317" s="27"/>
    </row>
    <row r="318" spans="3:6" x14ac:dyDescent="0.25">
      <c r="C318" s="27"/>
      <c r="D318" s="27"/>
      <c r="E318" s="27"/>
      <c r="F318" s="27"/>
    </row>
    <row r="319" spans="3:6" x14ac:dyDescent="0.25">
      <c r="C319" s="27"/>
      <c r="D319" s="27"/>
      <c r="E319" s="27"/>
      <c r="F319" s="27"/>
    </row>
    <row r="320" spans="3:6" x14ac:dyDescent="0.25">
      <c r="C320" s="27"/>
      <c r="D320" s="27"/>
      <c r="E320" s="27"/>
      <c r="F320" s="27"/>
    </row>
    <row r="321" spans="3:6" x14ac:dyDescent="0.25">
      <c r="C321" s="27"/>
      <c r="D321" s="27"/>
      <c r="E321" s="27"/>
      <c r="F321" s="27"/>
    </row>
    <row r="322" spans="3:6" x14ac:dyDescent="0.25">
      <c r="C322" s="27"/>
      <c r="D322" s="27"/>
      <c r="E322" s="27"/>
      <c r="F322" s="27"/>
    </row>
    <row r="323" spans="3:6" x14ac:dyDescent="0.25">
      <c r="C323" s="27"/>
      <c r="D323" s="27"/>
      <c r="E323" s="27"/>
      <c r="F323" s="27"/>
    </row>
    <row r="324" spans="3:6" x14ac:dyDescent="0.25">
      <c r="C324" s="27"/>
      <c r="D324" s="27"/>
      <c r="E324" s="27"/>
      <c r="F324" s="27"/>
    </row>
    <row r="325" spans="3:6" x14ac:dyDescent="0.25">
      <c r="C325" s="27"/>
      <c r="D325" s="27"/>
      <c r="E325" s="27"/>
      <c r="F325" s="27"/>
    </row>
    <row r="326" spans="3:6" x14ac:dyDescent="0.25">
      <c r="C326" s="27"/>
      <c r="D326" s="27"/>
      <c r="E326" s="27"/>
      <c r="F326" s="27"/>
    </row>
    <row r="327" spans="3:6" x14ac:dyDescent="0.25">
      <c r="C327" s="27"/>
      <c r="D327" s="27"/>
      <c r="E327" s="27"/>
      <c r="F327" s="27"/>
    </row>
    <row r="328" spans="3:6" x14ac:dyDescent="0.25">
      <c r="C328" s="27"/>
      <c r="D328" s="27"/>
      <c r="E328" s="27"/>
      <c r="F328" s="27"/>
    </row>
    <row r="329" spans="3:6" x14ac:dyDescent="0.25">
      <c r="C329" s="27"/>
      <c r="D329" s="27"/>
      <c r="E329" s="27"/>
      <c r="F329" s="27"/>
    </row>
    <row r="330" spans="3:6" x14ac:dyDescent="0.25">
      <c r="C330" s="27"/>
      <c r="D330" s="27"/>
      <c r="E330" s="27"/>
      <c r="F330" s="27"/>
    </row>
    <row r="331" spans="3:6" x14ac:dyDescent="0.25">
      <c r="C331" s="27"/>
      <c r="D331" s="27"/>
      <c r="E331" s="27"/>
      <c r="F331" s="27"/>
    </row>
    <row r="332" spans="3:6" x14ac:dyDescent="0.25">
      <c r="C332" s="27"/>
      <c r="D332" s="27"/>
      <c r="E332" s="27"/>
      <c r="F332" s="27"/>
    </row>
    <row r="333" spans="3:6" x14ac:dyDescent="0.25">
      <c r="C333" s="27"/>
      <c r="D333" s="27"/>
      <c r="E333" s="27"/>
      <c r="F333" s="27"/>
    </row>
    <row r="334" spans="3:6" x14ac:dyDescent="0.25">
      <c r="C334" s="27"/>
      <c r="D334" s="27"/>
      <c r="E334" s="27"/>
      <c r="F334" s="27"/>
    </row>
    <row r="335" spans="3:6" x14ac:dyDescent="0.25">
      <c r="C335" s="27"/>
      <c r="D335" s="27"/>
      <c r="E335" s="27"/>
      <c r="F335" s="27"/>
    </row>
    <row r="336" spans="3:6" x14ac:dyDescent="0.25">
      <c r="C336" s="27"/>
      <c r="D336" s="27"/>
      <c r="E336" s="27"/>
      <c r="F336" s="27"/>
    </row>
    <row r="337" spans="3:6" x14ac:dyDescent="0.25">
      <c r="C337" s="27"/>
      <c r="D337" s="27"/>
      <c r="E337" s="27"/>
      <c r="F337" s="27"/>
    </row>
    <row r="338" spans="3:6" x14ac:dyDescent="0.25">
      <c r="C338" s="27"/>
      <c r="D338" s="27"/>
      <c r="E338" s="27"/>
      <c r="F338" s="27"/>
    </row>
    <row r="339" spans="3:6" x14ac:dyDescent="0.25">
      <c r="C339" s="27"/>
      <c r="D339" s="27"/>
      <c r="E339" s="27"/>
      <c r="F339" s="27"/>
    </row>
    <row r="340" spans="3:6" x14ac:dyDescent="0.25">
      <c r="C340" s="27"/>
      <c r="D340" s="27"/>
      <c r="E340" s="27"/>
      <c r="F340" s="27"/>
    </row>
    <row r="341" spans="3:6" x14ac:dyDescent="0.25">
      <c r="C341" s="27"/>
      <c r="D341" s="27"/>
      <c r="E341" s="27"/>
      <c r="F341" s="27"/>
    </row>
    <row r="342" spans="3:6" x14ac:dyDescent="0.25">
      <c r="C342" s="27"/>
      <c r="D342" s="27"/>
      <c r="E342" s="27"/>
      <c r="F342" s="27"/>
    </row>
    <row r="343" spans="3:6" x14ac:dyDescent="0.25">
      <c r="C343" s="27"/>
      <c r="D343" s="27"/>
      <c r="E343" s="27"/>
      <c r="F343" s="27"/>
    </row>
    <row r="344" spans="3:6" x14ac:dyDescent="0.25">
      <c r="C344" s="27"/>
      <c r="D344" s="27"/>
      <c r="E344" s="27"/>
      <c r="F344" s="27"/>
    </row>
    <row r="345" spans="3:6" x14ac:dyDescent="0.25">
      <c r="C345" s="27"/>
      <c r="D345" s="27"/>
      <c r="E345" s="27"/>
      <c r="F345" s="27"/>
    </row>
    <row r="346" spans="3:6" x14ac:dyDescent="0.25">
      <c r="C346" s="27"/>
      <c r="D346" s="27"/>
      <c r="E346" s="27"/>
      <c r="F346" s="27"/>
    </row>
    <row r="347" spans="3:6" x14ac:dyDescent="0.25">
      <c r="C347" s="27"/>
      <c r="D347" s="27"/>
      <c r="E347" s="27"/>
      <c r="F347" s="27"/>
    </row>
    <row r="348" spans="3:6" x14ac:dyDescent="0.25">
      <c r="C348" s="27"/>
      <c r="D348" s="27"/>
      <c r="E348" s="27"/>
      <c r="F348" s="27"/>
    </row>
    <row r="349" spans="3:6" x14ac:dyDescent="0.25">
      <c r="C349" s="27"/>
      <c r="D349" s="27"/>
      <c r="E349" s="27"/>
      <c r="F349" s="27"/>
    </row>
    <row r="350" spans="3:6" x14ac:dyDescent="0.25">
      <c r="C350" s="27"/>
      <c r="D350" s="27"/>
      <c r="E350" s="27"/>
      <c r="F350" s="27"/>
    </row>
    <row r="351" spans="3:6" x14ac:dyDescent="0.25">
      <c r="C351" s="27"/>
      <c r="D351" s="27"/>
      <c r="E351" s="27"/>
      <c r="F351" s="27"/>
    </row>
    <row r="352" spans="3:6" x14ac:dyDescent="0.25">
      <c r="C352" s="27"/>
      <c r="D352" s="27"/>
      <c r="E352" s="27"/>
      <c r="F352" s="27"/>
    </row>
    <row r="353" spans="3:6" x14ac:dyDescent="0.25">
      <c r="C353" s="27"/>
      <c r="D353" s="27"/>
      <c r="E353" s="27"/>
      <c r="F353" s="27"/>
    </row>
    <row r="354" spans="3:6" x14ac:dyDescent="0.25">
      <c r="C354" s="27"/>
      <c r="D354" s="27"/>
      <c r="E354" s="27"/>
      <c r="F354" s="27"/>
    </row>
    <row r="355" spans="3:6" x14ac:dyDescent="0.25">
      <c r="C355" s="27"/>
      <c r="D355" s="27"/>
      <c r="E355" s="27"/>
      <c r="F355" s="27"/>
    </row>
    <row r="356" spans="3:6" x14ac:dyDescent="0.25">
      <c r="C356" s="27"/>
      <c r="D356" s="27"/>
      <c r="E356" s="27"/>
      <c r="F356" s="27"/>
    </row>
    <row r="357" spans="3:6" x14ac:dyDescent="0.25">
      <c r="C357" s="27"/>
      <c r="D357" s="27"/>
      <c r="E357" s="27"/>
      <c r="F357" s="27"/>
    </row>
    <row r="358" spans="3:6" x14ac:dyDescent="0.25">
      <c r="C358" s="27"/>
      <c r="D358" s="27"/>
      <c r="E358" s="27"/>
      <c r="F358" s="27"/>
    </row>
    <row r="359" spans="3:6" x14ac:dyDescent="0.25">
      <c r="C359" s="27"/>
      <c r="D359" s="27"/>
      <c r="E359" s="27"/>
      <c r="F359" s="27"/>
    </row>
    <row r="360" spans="3:6" x14ac:dyDescent="0.25">
      <c r="C360" s="27"/>
      <c r="D360" s="27"/>
      <c r="E360" s="27"/>
      <c r="F360" s="27"/>
    </row>
    <row r="361" spans="3:6" x14ac:dyDescent="0.25">
      <c r="C361" s="27"/>
      <c r="D361" s="27"/>
      <c r="E361" s="27"/>
      <c r="F361" s="27"/>
    </row>
    <row r="362" spans="3:6" x14ac:dyDescent="0.25">
      <c r="C362" s="27"/>
      <c r="D362" s="27"/>
      <c r="E362" s="27"/>
      <c r="F362" s="27"/>
    </row>
    <row r="363" spans="3:6" x14ac:dyDescent="0.25">
      <c r="C363" s="27"/>
      <c r="D363" s="27"/>
      <c r="E363" s="27"/>
      <c r="F363" s="27"/>
    </row>
    <row r="364" spans="3:6" x14ac:dyDescent="0.25">
      <c r="C364" s="27"/>
      <c r="D364" s="27"/>
      <c r="E364" s="27"/>
      <c r="F364" s="27"/>
    </row>
    <row r="365" spans="3:6" x14ac:dyDescent="0.25">
      <c r="C365" s="27"/>
      <c r="D365" s="27"/>
      <c r="E365" s="27"/>
      <c r="F365" s="27"/>
    </row>
    <row r="366" spans="3:6" x14ac:dyDescent="0.25">
      <c r="C366" s="27"/>
      <c r="D366" s="27"/>
      <c r="E366" s="27"/>
      <c r="F366" s="27"/>
    </row>
    <row r="367" spans="3:6" x14ac:dyDescent="0.25">
      <c r="C367" s="27"/>
      <c r="D367" s="27"/>
      <c r="E367" s="27"/>
      <c r="F367" s="27"/>
    </row>
    <row r="368" spans="3:6" x14ac:dyDescent="0.25">
      <c r="C368" s="27"/>
      <c r="D368" s="27"/>
      <c r="E368" s="27"/>
      <c r="F368" s="27"/>
    </row>
    <row r="369" spans="3:6" x14ac:dyDescent="0.25">
      <c r="C369" s="27"/>
      <c r="D369" s="27"/>
      <c r="E369" s="27"/>
      <c r="F369" s="27"/>
    </row>
    <row r="370" spans="3:6" x14ac:dyDescent="0.25">
      <c r="C370" s="27"/>
      <c r="D370" s="27"/>
      <c r="E370" s="27"/>
      <c r="F370" s="27"/>
    </row>
    <row r="371" spans="3:6" x14ac:dyDescent="0.25">
      <c r="C371" s="27"/>
      <c r="D371" s="27"/>
      <c r="E371" s="27"/>
      <c r="F371" s="27"/>
    </row>
    <row r="372" spans="3:6" x14ac:dyDescent="0.25">
      <c r="C372" s="27"/>
      <c r="D372" s="27"/>
      <c r="E372" s="27"/>
      <c r="F372" s="27"/>
    </row>
    <row r="373" spans="3:6" x14ac:dyDescent="0.25">
      <c r="C373" s="27"/>
      <c r="D373" s="27"/>
      <c r="E373" s="27"/>
      <c r="F373" s="27"/>
    </row>
    <row r="374" spans="3:6" x14ac:dyDescent="0.25">
      <c r="C374" s="27"/>
      <c r="D374" s="27"/>
      <c r="E374" s="27"/>
      <c r="F374" s="27"/>
    </row>
    <row r="375" spans="3:6" x14ac:dyDescent="0.25">
      <c r="C375" s="27"/>
      <c r="D375" s="27"/>
      <c r="E375" s="27"/>
      <c r="F375" s="27"/>
    </row>
    <row r="376" spans="3:6" x14ac:dyDescent="0.25">
      <c r="C376" s="27"/>
      <c r="D376" s="27"/>
      <c r="E376" s="27"/>
      <c r="F376" s="27"/>
    </row>
    <row r="377" spans="3:6" x14ac:dyDescent="0.25">
      <c r="C377" s="27"/>
      <c r="D377" s="27"/>
      <c r="E377" s="27"/>
      <c r="F377" s="27"/>
    </row>
    <row r="378" spans="3:6" x14ac:dyDescent="0.25">
      <c r="C378" s="27"/>
      <c r="D378" s="27"/>
      <c r="E378" s="27"/>
      <c r="F378" s="27"/>
    </row>
    <row r="379" spans="3:6" x14ac:dyDescent="0.25">
      <c r="C379" s="27"/>
      <c r="D379" s="27"/>
      <c r="E379" s="27"/>
      <c r="F379" s="27"/>
    </row>
    <row r="380" spans="3:6" x14ac:dyDescent="0.25">
      <c r="C380" s="27"/>
      <c r="D380" s="27"/>
      <c r="E380" s="27"/>
      <c r="F380" s="27"/>
    </row>
    <row r="381" spans="3:6" x14ac:dyDescent="0.25">
      <c r="C381" s="27"/>
      <c r="D381" s="27"/>
      <c r="E381" s="27"/>
      <c r="F381" s="27"/>
    </row>
    <row r="382" spans="3:6" x14ac:dyDescent="0.25">
      <c r="C382" s="27"/>
      <c r="D382" s="27"/>
      <c r="E382" s="27"/>
      <c r="F382" s="27"/>
    </row>
    <row r="383" spans="3:6" x14ac:dyDescent="0.25">
      <c r="C383" s="27"/>
      <c r="D383" s="27"/>
      <c r="E383" s="27"/>
      <c r="F383" s="27"/>
    </row>
    <row r="384" spans="3:6" x14ac:dyDescent="0.25">
      <c r="C384" s="27"/>
      <c r="D384" s="27"/>
      <c r="E384" s="27"/>
      <c r="F384" s="27"/>
    </row>
    <row r="385" spans="3:6" x14ac:dyDescent="0.25">
      <c r="C385" s="27"/>
      <c r="D385" s="27"/>
      <c r="E385" s="27"/>
      <c r="F385" s="27"/>
    </row>
    <row r="386" spans="3:6" x14ac:dyDescent="0.25">
      <c r="C386" s="27"/>
      <c r="D386" s="27"/>
      <c r="E386" s="27"/>
      <c r="F386" s="27"/>
    </row>
    <row r="387" spans="3:6" x14ac:dyDescent="0.25">
      <c r="C387" s="27"/>
      <c r="D387" s="27"/>
      <c r="E387" s="27"/>
      <c r="F387" s="27"/>
    </row>
    <row r="388" spans="3:6" x14ac:dyDescent="0.25">
      <c r="C388" s="27"/>
      <c r="D388" s="27"/>
      <c r="E388" s="27"/>
      <c r="F388" s="27"/>
    </row>
    <row r="389" spans="3:6" x14ac:dyDescent="0.25">
      <c r="C389" s="27"/>
      <c r="D389" s="27"/>
      <c r="E389" s="27"/>
      <c r="F389" s="27"/>
    </row>
    <row r="390" spans="3:6" x14ac:dyDescent="0.25">
      <c r="C390" s="27"/>
      <c r="D390" s="27"/>
      <c r="E390" s="27"/>
      <c r="F390" s="27"/>
    </row>
    <row r="391" spans="3:6" x14ac:dyDescent="0.25">
      <c r="C391" s="27"/>
      <c r="D391" s="27"/>
      <c r="E391" s="27"/>
      <c r="F391" s="27"/>
    </row>
    <row r="392" spans="3:6" x14ac:dyDescent="0.25">
      <c r="C392" s="27"/>
      <c r="D392" s="27"/>
      <c r="E392" s="27"/>
      <c r="F392" s="27"/>
    </row>
    <row r="393" spans="3:6" x14ac:dyDescent="0.25">
      <c r="C393" s="27"/>
      <c r="D393" s="27"/>
      <c r="E393" s="27"/>
      <c r="F393" s="27"/>
    </row>
    <row r="394" spans="3:6" x14ac:dyDescent="0.25">
      <c r="C394" s="27"/>
      <c r="D394" s="27"/>
      <c r="E394" s="27"/>
      <c r="F394" s="27"/>
    </row>
    <row r="395" spans="3:6" x14ac:dyDescent="0.25">
      <c r="C395" s="27"/>
      <c r="D395" s="27"/>
      <c r="E395" s="27"/>
      <c r="F395" s="27"/>
    </row>
    <row r="396" spans="3:6" x14ac:dyDescent="0.25">
      <c r="C396" s="27"/>
      <c r="D396" s="27"/>
      <c r="E396" s="27"/>
      <c r="F396" s="27"/>
    </row>
    <row r="397" spans="3:6" x14ac:dyDescent="0.25">
      <c r="C397" s="27"/>
      <c r="D397" s="27"/>
      <c r="E397" s="27"/>
      <c r="F397" s="27"/>
    </row>
    <row r="398" spans="3:6" x14ac:dyDescent="0.25">
      <c r="C398" s="27"/>
      <c r="D398" s="27"/>
      <c r="E398" s="27"/>
      <c r="F398" s="27"/>
    </row>
    <row r="399" spans="3:6" x14ac:dyDescent="0.25">
      <c r="C399" s="27"/>
      <c r="D399" s="27"/>
      <c r="E399" s="27"/>
      <c r="F399" s="27"/>
    </row>
    <row r="400" spans="3:6" x14ac:dyDescent="0.25">
      <c r="C400" s="27"/>
      <c r="D400" s="27"/>
      <c r="E400" s="27"/>
      <c r="F400" s="27"/>
    </row>
    <row r="401" spans="3:6" x14ac:dyDescent="0.25">
      <c r="C401" s="27"/>
      <c r="D401" s="27"/>
      <c r="E401" s="27"/>
      <c r="F401" s="27"/>
    </row>
    <row r="402" spans="3:6" x14ac:dyDescent="0.25">
      <c r="C402" s="27"/>
      <c r="D402" s="27"/>
      <c r="E402" s="27"/>
      <c r="F402" s="27"/>
    </row>
    <row r="403" spans="3:6" x14ac:dyDescent="0.25">
      <c r="C403" s="27"/>
      <c r="D403" s="27"/>
      <c r="E403" s="27"/>
      <c r="F403" s="27"/>
    </row>
    <row r="404" spans="3:6" x14ac:dyDescent="0.25">
      <c r="C404" s="27"/>
      <c r="D404" s="27"/>
      <c r="E404" s="27"/>
      <c r="F404" s="27"/>
    </row>
    <row r="405" spans="3:6" x14ac:dyDescent="0.25">
      <c r="C405" s="27"/>
      <c r="D405" s="27"/>
      <c r="E405" s="27"/>
      <c r="F405" s="27"/>
    </row>
    <row r="406" spans="3:6" x14ac:dyDescent="0.25">
      <c r="C406" s="27"/>
      <c r="D406" s="27"/>
      <c r="E406" s="27"/>
      <c r="F406" s="27"/>
    </row>
    <row r="407" spans="3:6" x14ac:dyDescent="0.25">
      <c r="C407" s="27"/>
      <c r="D407" s="27"/>
      <c r="E407" s="27"/>
      <c r="F407" s="27"/>
    </row>
    <row r="408" spans="3:6" x14ac:dyDescent="0.25">
      <c r="C408" s="27"/>
      <c r="D408" s="27"/>
      <c r="E408" s="27"/>
      <c r="F408" s="27"/>
    </row>
    <row r="409" spans="3:6" x14ac:dyDescent="0.25">
      <c r="C409" s="27"/>
      <c r="D409" s="27"/>
      <c r="E409" s="27"/>
      <c r="F409" s="27"/>
    </row>
    <row r="410" spans="3:6" x14ac:dyDescent="0.25">
      <c r="C410" s="27"/>
      <c r="D410" s="27"/>
      <c r="E410" s="27"/>
      <c r="F410" s="27"/>
    </row>
    <row r="411" spans="3:6" x14ac:dyDescent="0.25">
      <c r="C411" s="27"/>
      <c r="D411" s="27"/>
      <c r="E411" s="27"/>
      <c r="F411" s="27"/>
    </row>
    <row r="412" spans="3:6" x14ac:dyDescent="0.25">
      <c r="C412" s="27"/>
      <c r="D412" s="27"/>
      <c r="E412" s="27"/>
      <c r="F412" s="27"/>
    </row>
    <row r="413" spans="3:6" x14ac:dyDescent="0.25">
      <c r="C413" s="27"/>
      <c r="D413" s="27"/>
      <c r="E413" s="27"/>
      <c r="F413" s="27"/>
    </row>
    <row r="414" spans="3:6" x14ac:dyDescent="0.25">
      <c r="C414" s="27"/>
      <c r="D414" s="27"/>
      <c r="E414" s="27"/>
      <c r="F414" s="27"/>
    </row>
    <row r="415" spans="3:6" x14ac:dyDescent="0.25">
      <c r="C415" s="27"/>
      <c r="D415" s="27"/>
      <c r="E415" s="27"/>
      <c r="F415" s="27"/>
    </row>
    <row r="416" spans="3:6" x14ac:dyDescent="0.25">
      <c r="C416" s="27"/>
      <c r="D416" s="27"/>
      <c r="E416" s="27"/>
      <c r="F416" s="27"/>
    </row>
    <row r="417" spans="3:6" x14ac:dyDescent="0.25">
      <c r="C417" s="27"/>
      <c r="D417" s="27"/>
      <c r="E417" s="27"/>
      <c r="F417" s="27"/>
    </row>
    <row r="418" spans="3:6" x14ac:dyDescent="0.25">
      <c r="C418" s="27"/>
      <c r="D418" s="27"/>
      <c r="E418" s="27"/>
      <c r="F418" s="27"/>
    </row>
    <row r="419" spans="3:6" x14ac:dyDescent="0.25">
      <c r="C419" s="27"/>
      <c r="D419" s="27"/>
      <c r="E419" s="27"/>
      <c r="F419" s="27"/>
    </row>
    <row r="420" spans="3:6" x14ac:dyDescent="0.25">
      <c r="C420" s="27"/>
      <c r="D420" s="27"/>
      <c r="E420" s="27"/>
      <c r="F420" s="27"/>
    </row>
    <row r="421" spans="3:6" x14ac:dyDescent="0.25">
      <c r="C421" s="27"/>
      <c r="D421" s="27"/>
      <c r="E421" s="27"/>
      <c r="F421" s="27"/>
    </row>
    <row r="422" spans="3:6" x14ac:dyDescent="0.25">
      <c r="C422" s="27"/>
      <c r="D422" s="27"/>
      <c r="E422" s="27"/>
      <c r="F422" s="27"/>
    </row>
    <row r="423" spans="3:6" x14ac:dyDescent="0.25">
      <c r="C423" s="27"/>
      <c r="D423" s="27"/>
      <c r="E423" s="27"/>
      <c r="F423" s="27"/>
    </row>
    <row r="424" spans="3:6" x14ac:dyDescent="0.25">
      <c r="C424" s="27"/>
      <c r="D424" s="27"/>
      <c r="E424" s="27"/>
      <c r="F424" s="27"/>
    </row>
    <row r="425" spans="3:6" x14ac:dyDescent="0.25">
      <c r="C425" s="27"/>
      <c r="D425" s="27"/>
      <c r="E425" s="27"/>
      <c r="F425" s="27"/>
    </row>
    <row r="426" spans="3:6" x14ac:dyDescent="0.25">
      <c r="C426" s="27"/>
      <c r="D426" s="27"/>
      <c r="E426" s="27"/>
      <c r="F426" s="27"/>
    </row>
    <row r="427" spans="3:6" x14ac:dyDescent="0.25">
      <c r="C427" s="27"/>
      <c r="D427" s="27"/>
      <c r="E427" s="27"/>
      <c r="F427" s="27"/>
    </row>
    <row r="428" spans="3:6" x14ac:dyDescent="0.25">
      <c r="C428" s="27"/>
      <c r="D428" s="27"/>
      <c r="E428" s="27"/>
      <c r="F428" s="27"/>
    </row>
    <row r="429" spans="3:6" x14ac:dyDescent="0.25">
      <c r="C429" s="27"/>
      <c r="D429" s="27"/>
      <c r="E429" s="27"/>
      <c r="F429" s="27"/>
    </row>
    <row r="430" spans="3:6" x14ac:dyDescent="0.25">
      <c r="C430" s="27"/>
      <c r="D430" s="27"/>
      <c r="E430" s="27"/>
      <c r="F430" s="27"/>
    </row>
    <row r="431" spans="3:6" x14ac:dyDescent="0.25">
      <c r="C431" s="27"/>
      <c r="D431" s="27"/>
      <c r="E431" s="27"/>
      <c r="F431" s="27"/>
    </row>
    <row r="432" spans="3:6" x14ac:dyDescent="0.25">
      <c r="C432" s="27"/>
      <c r="D432" s="27"/>
      <c r="E432" s="27"/>
      <c r="F432" s="27"/>
    </row>
    <row r="433" spans="3:6" x14ac:dyDescent="0.25">
      <c r="C433" s="27"/>
      <c r="D433" s="27"/>
      <c r="E433" s="27"/>
      <c r="F433" s="27"/>
    </row>
    <row r="434" spans="3:6" x14ac:dyDescent="0.25">
      <c r="C434" s="27"/>
      <c r="D434" s="27"/>
      <c r="E434" s="27"/>
      <c r="F434" s="27"/>
    </row>
    <row r="435" spans="3:6" x14ac:dyDescent="0.25">
      <c r="C435" s="27"/>
      <c r="D435" s="27"/>
      <c r="E435" s="27"/>
      <c r="F435" s="27"/>
    </row>
    <row r="436" spans="3:6" x14ac:dyDescent="0.25">
      <c r="C436" s="27"/>
      <c r="D436" s="27"/>
      <c r="E436" s="27"/>
      <c r="F436" s="27"/>
    </row>
    <row r="437" spans="3:6" x14ac:dyDescent="0.25">
      <c r="C437" s="27"/>
      <c r="D437" s="27"/>
      <c r="E437" s="27"/>
      <c r="F437" s="27"/>
    </row>
    <row r="438" spans="3:6" x14ac:dyDescent="0.25">
      <c r="C438" s="27"/>
      <c r="D438" s="27"/>
      <c r="E438" s="27"/>
      <c r="F438" s="27"/>
    </row>
    <row r="439" spans="3:6" x14ac:dyDescent="0.25">
      <c r="C439" s="27"/>
      <c r="D439" s="27"/>
      <c r="E439" s="27"/>
      <c r="F439" s="27"/>
    </row>
    <row r="440" spans="3:6" x14ac:dyDescent="0.25">
      <c r="C440" s="27"/>
      <c r="D440" s="27"/>
      <c r="E440" s="27"/>
      <c r="F440" s="27"/>
    </row>
    <row r="441" spans="3:6" x14ac:dyDescent="0.25">
      <c r="C441" s="27"/>
      <c r="D441" s="27"/>
      <c r="E441" s="27"/>
      <c r="F441" s="27"/>
    </row>
    <row r="442" spans="3:6" x14ac:dyDescent="0.25">
      <c r="C442" s="27"/>
      <c r="D442" s="27"/>
      <c r="E442" s="27"/>
      <c r="F442" s="27"/>
    </row>
    <row r="443" spans="3:6" x14ac:dyDescent="0.25">
      <c r="C443" s="27"/>
      <c r="D443" s="27"/>
      <c r="E443" s="27"/>
      <c r="F443" s="27"/>
    </row>
    <row r="444" spans="3:6" x14ac:dyDescent="0.25">
      <c r="C444" s="27"/>
      <c r="D444" s="27"/>
      <c r="E444" s="27"/>
      <c r="F444" s="27"/>
    </row>
    <row r="445" spans="3:6" x14ac:dyDescent="0.25">
      <c r="C445" s="27"/>
      <c r="D445" s="27"/>
      <c r="E445" s="27"/>
      <c r="F445" s="27"/>
    </row>
    <row r="446" spans="3:6" x14ac:dyDescent="0.25">
      <c r="C446" s="27"/>
      <c r="D446" s="27"/>
      <c r="E446" s="27"/>
      <c r="F446" s="27"/>
    </row>
    <row r="447" spans="3:6" x14ac:dyDescent="0.25">
      <c r="C447" s="27"/>
      <c r="D447" s="27"/>
      <c r="E447" s="27"/>
      <c r="F447" s="27"/>
    </row>
    <row r="448" spans="3:6" x14ac:dyDescent="0.25">
      <c r="C448" s="27"/>
      <c r="D448" s="27"/>
      <c r="E448" s="27"/>
      <c r="F448" s="27"/>
    </row>
    <row r="449" spans="3:6" x14ac:dyDescent="0.25">
      <c r="C449" s="27"/>
      <c r="D449" s="27"/>
      <c r="E449" s="27"/>
      <c r="F449" s="27"/>
    </row>
    <row r="450" spans="3:6" x14ac:dyDescent="0.25">
      <c r="C450" s="27"/>
      <c r="D450" s="27"/>
      <c r="E450" s="27"/>
      <c r="F450" s="27"/>
    </row>
    <row r="451" spans="3:6" x14ac:dyDescent="0.25">
      <c r="C451" s="27"/>
      <c r="D451" s="27"/>
      <c r="E451" s="27"/>
      <c r="F451" s="27"/>
    </row>
    <row r="452" spans="3:6" x14ac:dyDescent="0.25">
      <c r="C452" s="27"/>
      <c r="D452" s="27"/>
      <c r="E452" s="27"/>
      <c r="F452" s="27"/>
    </row>
    <row r="453" spans="3:6" x14ac:dyDescent="0.25">
      <c r="C453" s="27"/>
      <c r="D453" s="27"/>
      <c r="E453" s="27"/>
      <c r="F453" s="27"/>
    </row>
    <row r="454" spans="3:6" x14ac:dyDescent="0.25">
      <c r="C454" s="27"/>
      <c r="D454" s="27"/>
      <c r="E454" s="27"/>
      <c r="F454" s="27"/>
    </row>
    <row r="455" spans="3:6" x14ac:dyDescent="0.25">
      <c r="C455" s="27"/>
      <c r="D455" s="27"/>
      <c r="E455" s="27"/>
      <c r="F455" s="27"/>
    </row>
    <row r="456" spans="3:6" x14ac:dyDescent="0.25">
      <c r="C456" s="27"/>
      <c r="D456" s="27"/>
      <c r="E456" s="27"/>
      <c r="F456" s="27"/>
    </row>
    <row r="457" spans="3:6" x14ac:dyDescent="0.25">
      <c r="C457" s="27"/>
      <c r="D457" s="27"/>
      <c r="E457" s="27"/>
      <c r="F457" s="27"/>
    </row>
    <row r="458" spans="3:6" x14ac:dyDescent="0.25">
      <c r="C458" s="27"/>
      <c r="D458" s="27"/>
      <c r="E458" s="27"/>
      <c r="F458" s="27"/>
    </row>
    <row r="459" spans="3:6" x14ac:dyDescent="0.25">
      <c r="C459" s="27"/>
      <c r="D459" s="27"/>
      <c r="E459" s="27"/>
      <c r="F459" s="27"/>
    </row>
    <row r="460" spans="3:6" x14ac:dyDescent="0.25">
      <c r="C460" s="27"/>
      <c r="D460" s="27"/>
      <c r="E460" s="27"/>
      <c r="F460" s="27"/>
    </row>
    <row r="461" spans="3:6" x14ac:dyDescent="0.25">
      <c r="C461" s="27"/>
      <c r="D461" s="27"/>
      <c r="E461" s="27"/>
      <c r="F461" s="27"/>
    </row>
    <row r="462" spans="3:6" x14ac:dyDescent="0.25">
      <c r="C462" s="27"/>
      <c r="D462" s="27"/>
      <c r="E462" s="27"/>
      <c r="F462" s="27"/>
    </row>
    <row r="463" spans="3:6" x14ac:dyDescent="0.25">
      <c r="C463" s="27"/>
      <c r="D463" s="27"/>
      <c r="E463" s="27"/>
      <c r="F463" s="27"/>
    </row>
    <row r="464" spans="3:6" x14ac:dyDescent="0.25">
      <c r="C464" s="27"/>
      <c r="D464" s="27"/>
      <c r="E464" s="27"/>
      <c r="F464" s="27"/>
    </row>
    <row r="465" spans="3:6" x14ac:dyDescent="0.25">
      <c r="C465" s="27"/>
      <c r="D465" s="27"/>
      <c r="E465" s="27"/>
      <c r="F465" s="27"/>
    </row>
    <row r="466" spans="3:6" x14ac:dyDescent="0.25">
      <c r="C466" s="27"/>
      <c r="D466" s="27"/>
      <c r="E466" s="27"/>
      <c r="F466" s="27"/>
    </row>
    <row r="467" spans="3:6" x14ac:dyDescent="0.25">
      <c r="C467" s="27"/>
      <c r="D467" s="27"/>
      <c r="E467" s="27"/>
      <c r="F467" s="27"/>
    </row>
    <row r="468" spans="3:6" x14ac:dyDescent="0.25">
      <c r="C468" s="27"/>
      <c r="D468" s="27"/>
      <c r="E468" s="27"/>
      <c r="F468" s="27"/>
    </row>
    <row r="469" spans="3:6" x14ac:dyDescent="0.25">
      <c r="C469" s="27"/>
      <c r="D469" s="27"/>
      <c r="E469" s="27"/>
      <c r="F469" s="27"/>
    </row>
    <row r="470" spans="3:6" x14ac:dyDescent="0.25">
      <c r="C470" s="27"/>
      <c r="D470" s="27"/>
      <c r="E470" s="27"/>
      <c r="F470" s="27"/>
    </row>
    <row r="471" spans="3:6" x14ac:dyDescent="0.25">
      <c r="C471" s="27"/>
      <c r="D471" s="27"/>
      <c r="E471" s="27"/>
      <c r="F471" s="27"/>
    </row>
    <row r="472" spans="3:6" x14ac:dyDescent="0.25">
      <c r="C472" s="27"/>
      <c r="D472" s="27"/>
      <c r="E472" s="27"/>
      <c r="F472" s="27"/>
    </row>
    <row r="473" spans="3:6" x14ac:dyDescent="0.25">
      <c r="C473" s="27"/>
      <c r="D473" s="27"/>
      <c r="E473" s="27"/>
      <c r="F473" s="27"/>
    </row>
    <row r="474" spans="3:6" x14ac:dyDescent="0.25">
      <c r="C474" s="27"/>
      <c r="D474" s="27"/>
      <c r="E474" s="27"/>
      <c r="F474" s="27"/>
    </row>
    <row r="475" spans="3:6" x14ac:dyDescent="0.25">
      <c r="C475" s="27"/>
      <c r="D475" s="27"/>
      <c r="E475" s="27"/>
      <c r="F475" s="27"/>
    </row>
    <row r="476" spans="3:6" x14ac:dyDescent="0.25">
      <c r="C476" s="27"/>
      <c r="D476" s="27"/>
      <c r="E476" s="27"/>
      <c r="F476" s="27"/>
    </row>
    <row r="477" spans="3:6" x14ac:dyDescent="0.25">
      <c r="C477" s="27"/>
      <c r="D477" s="27"/>
      <c r="E477" s="27"/>
      <c r="F477" s="27"/>
    </row>
    <row r="478" spans="3:6" x14ac:dyDescent="0.25">
      <c r="C478" s="27"/>
      <c r="D478" s="27"/>
      <c r="E478" s="27"/>
      <c r="F478" s="27"/>
    </row>
    <row r="479" spans="3:6" x14ac:dyDescent="0.25">
      <c r="C479" s="27"/>
      <c r="D479" s="27"/>
      <c r="E479" s="27"/>
      <c r="F479" s="27"/>
    </row>
    <row r="480" spans="3:6" x14ac:dyDescent="0.25">
      <c r="C480" s="27"/>
      <c r="D480" s="27"/>
      <c r="E480" s="27"/>
      <c r="F480" s="27"/>
    </row>
    <row r="481" spans="3:6" x14ac:dyDescent="0.25">
      <c r="C481" s="27"/>
      <c r="D481" s="27"/>
      <c r="E481" s="27"/>
      <c r="F481" s="27"/>
    </row>
    <row r="482" spans="3:6" x14ac:dyDescent="0.25">
      <c r="C482" s="27"/>
      <c r="D482" s="27"/>
      <c r="E482" s="27"/>
      <c r="F482" s="27"/>
    </row>
    <row r="483" spans="3:6" x14ac:dyDescent="0.25">
      <c r="C483" s="27"/>
      <c r="D483" s="27"/>
      <c r="E483" s="27"/>
      <c r="F483" s="27"/>
    </row>
    <row r="484" spans="3:6" x14ac:dyDescent="0.25">
      <c r="C484" s="27"/>
      <c r="D484" s="27"/>
      <c r="E484" s="27"/>
      <c r="F484" s="27"/>
    </row>
    <row r="485" spans="3:6" x14ac:dyDescent="0.25">
      <c r="C485" s="27"/>
      <c r="D485" s="27"/>
      <c r="E485" s="27"/>
      <c r="F485" s="27"/>
    </row>
    <row r="486" spans="3:6" x14ac:dyDescent="0.25">
      <c r="C486" s="27"/>
      <c r="D486" s="27"/>
      <c r="E486" s="27"/>
      <c r="F486" s="27"/>
    </row>
    <row r="487" spans="3:6" x14ac:dyDescent="0.25">
      <c r="C487" s="27"/>
      <c r="D487" s="27"/>
      <c r="E487" s="27"/>
      <c r="F487" s="27"/>
    </row>
    <row r="488" spans="3:6" x14ac:dyDescent="0.25">
      <c r="C488" s="27"/>
      <c r="D488" s="27"/>
      <c r="E488" s="27"/>
      <c r="F488" s="27"/>
    </row>
    <row r="489" spans="3:6" x14ac:dyDescent="0.25">
      <c r="C489" s="27"/>
      <c r="D489" s="27"/>
      <c r="E489" s="27"/>
      <c r="F489" s="27"/>
    </row>
    <row r="490" spans="3:6" x14ac:dyDescent="0.25">
      <c r="C490" s="27"/>
      <c r="D490" s="27"/>
      <c r="E490" s="27"/>
      <c r="F490" s="27"/>
    </row>
    <row r="491" spans="3:6" x14ac:dyDescent="0.25">
      <c r="C491" s="27"/>
      <c r="D491" s="27"/>
      <c r="E491" s="27"/>
      <c r="F491" s="27"/>
    </row>
    <row r="492" spans="3:6" x14ac:dyDescent="0.25">
      <c r="C492" s="27"/>
      <c r="D492" s="27"/>
      <c r="E492" s="27"/>
      <c r="F492" s="27"/>
    </row>
    <row r="493" spans="3:6" x14ac:dyDescent="0.25">
      <c r="C493" s="27"/>
      <c r="D493" s="27"/>
      <c r="E493" s="27"/>
      <c r="F493" s="27"/>
    </row>
    <row r="494" spans="3:6" x14ac:dyDescent="0.25">
      <c r="C494" s="27"/>
      <c r="D494" s="27"/>
      <c r="E494" s="27"/>
      <c r="F494" s="27"/>
    </row>
    <row r="495" spans="3:6" x14ac:dyDescent="0.25">
      <c r="C495" s="27"/>
      <c r="D495" s="27"/>
      <c r="E495" s="27"/>
      <c r="F495" s="27"/>
    </row>
    <row r="496" spans="3:6" x14ac:dyDescent="0.25">
      <c r="C496" s="27"/>
      <c r="D496" s="27"/>
      <c r="E496" s="27"/>
      <c r="F496" s="27"/>
    </row>
    <row r="497" spans="3:6" x14ac:dyDescent="0.25">
      <c r="C497" s="27"/>
      <c r="D497" s="27"/>
      <c r="E497" s="27"/>
      <c r="F497" s="27"/>
    </row>
    <row r="498" spans="3:6" x14ac:dyDescent="0.25">
      <c r="C498" s="27"/>
      <c r="D498" s="27"/>
      <c r="E498" s="27"/>
      <c r="F498" s="27"/>
    </row>
    <row r="499" spans="3:6" x14ac:dyDescent="0.25">
      <c r="C499" s="27"/>
      <c r="D499" s="27"/>
      <c r="E499" s="27"/>
      <c r="F499" s="27"/>
    </row>
    <row r="500" spans="3:6" x14ac:dyDescent="0.25">
      <c r="C500" s="27"/>
      <c r="D500" s="27"/>
      <c r="E500" s="27"/>
      <c r="F500" s="27"/>
    </row>
    <row r="501" spans="3:6" x14ac:dyDescent="0.25">
      <c r="C501" s="27"/>
      <c r="D501" s="27"/>
      <c r="E501" s="27"/>
      <c r="F501" s="27"/>
    </row>
    <row r="502" spans="3:6" x14ac:dyDescent="0.25">
      <c r="C502" s="27"/>
      <c r="D502" s="27"/>
      <c r="E502" s="27"/>
      <c r="F502" s="27"/>
    </row>
    <row r="503" spans="3:6" x14ac:dyDescent="0.25">
      <c r="C503" s="27"/>
      <c r="D503" s="27"/>
      <c r="E503" s="27"/>
      <c r="F503" s="27"/>
    </row>
    <row r="504" spans="3:6" x14ac:dyDescent="0.25">
      <c r="C504" s="27"/>
      <c r="D504" s="27"/>
      <c r="E504" s="27"/>
      <c r="F504" s="27"/>
    </row>
    <row r="505" spans="3:6" x14ac:dyDescent="0.25">
      <c r="C505" s="27"/>
      <c r="D505" s="27"/>
      <c r="E505" s="27"/>
      <c r="F505" s="27"/>
    </row>
    <row r="506" spans="3:6" x14ac:dyDescent="0.25">
      <c r="C506" s="27"/>
      <c r="D506" s="27"/>
      <c r="E506" s="27"/>
      <c r="F506" s="27"/>
    </row>
    <row r="507" spans="3:6" x14ac:dyDescent="0.25">
      <c r="C507" s="27"/>
      <c r="D507" s="27"/>
      <c r="E507" s="27"/>
      <c r="F507" s="27"/>
    </row>
    <row r="508" spans="3:6" x14ac:dyDescent="0.25">
      <c r="C508" s="27"/>
      <c r="D508" s="27"/>
      <c r="E508" s="27"/>
      <c r="F508" s="27"/>
    </row>
    <row r="509" spans="3:6" x14ac:dyDescent="0.25">
      <c r="C509" s="27"/>
      <c r="D509" s="27"/>
      <c r="E509" s="27"/>
      <c r="F509" s="27"/>
    </row>
    <row r="510" spans="3:6" x14ac:dyDescent="0.25">
      <c r="C510" s="27"/>
      <c r="D510" s="27"/>
      <c r="E510" s="27"/>
      <c r="F510" s="27"/>
    </row>
    <row r="511" spans="3:6" x14ac:dyDescent="0.25">
      <c r="C511" s="27"/>
      <c r="D511" s="27"/>
      <c r="E511" s="27"/>
      <c r="F511" s="27"/>
    </row>
    <row r="512" spans="3:6" x14ac:dyDescent="0.25">
      <c r="C512" s="27"/>
      <c r="D512" s="27"/>
      <c r="E512" s="27"/>
      <c r="F512" s="27"/>
    </row>
    <row r="513" spans="3:6" x14ac:dyDescent="0.25">
      <c r="C513" s="27"/>
      <c r="D513" s="27"/>
      <c r="E513" s="27"/>
      <c r="F513" s="27"/>
    </row>
    <row r="514" spans="3:6" x14ac:dyDescent="0.25">
      <c r="C514" s="27"/>
      <c r="D514" s="27"/>
      <c r="E514" s="27"/>
      <c r="F514" s="27"/>
    </row>
    <row r="515" spans="3:6" x14ac:dyDescent="0.25">
      <c r="C515" s="27"/>
      <c r="D515" s="27"/>
      <c r="E515" s="27"/>
      <c r="F515" s="27"/>
    </row>
    <row r="516" spans="3:6" x14ac:dyDescent="0.25">
      <c r="C516" s="27"/>
      <c r="D516" s="27"/>
      <c r="E516" s="27"/>
      <c r="F516" s="27"/>
    </row>
    <row r="517" spans="3:6" x14ac:dyDescent="0.25">
      <c r="C517" s="27"/>
      <c r="D517" s="27"/>
      <c r="E517" s="27"/>
      <c r="F517" s="27"/>
    </row>
  </sheetData>
  <sheetProtection password="DC2F" sheet="1" formatCells="0"/>
  <protectedRanges>
    <protectedRange sqref="B8:B27" name="Range2"/>
    <protectedRange sqref="C4:C6" name="Range1"/>
  </protectedRange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Renewal Process</vt:lpstr>
      <vt:lpstr>Minimal Repair</vt:lpstr>
      <vt:lpstr>Cycle time</vt:lpstr>
      <vt:lpstr>System MTTR</vt:lpstr>
      <vt:lpstr>Preventive Maintenance</vt:lpstr>
      <vt:lpstr>Active with Repair</vt:lpstr>
      <vt:lpstr>Standby with repair</vt:lpstr>
    </vt:vector>
  </TitlesOfParts>
  <Company>University of Dayton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 Ebeling</dc:creator>
  <cp:lastModifiedBy>Jason Freels</cp:lastModifiedBy>
  <cp:lastPrinted>2003-11-21T11:23:30Z</cp:lastPrinted>
  <dcterms:created xsi:type="dcterms:W3CDTF">2001-03-03T12:17:27Z</dcterms:created>
  <dcterms:modified xsi:type="dcterms:W3CDTF">2017-09-18T01:10:04Z</dcterms:modified>
</cp:coreProperties>
</file>