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bur\github\reliability\courses\logm634-asam\excel-templates\"/>
    </mc:Choice>
  </mc:AlternateContent>
  <xr:revisionPtr revIDLastSave="0" documentId="13_ncr:1_{350508EA-27F6-4AC2-AE52-A452A11F720E}" xr6:coauthVersionLast="36" xr6:coauthVersionMax="36" xr10:uidLastSave="{00000000-0000-0000-0000-000000000000}"/>
  <bookViews>
    <workbookView xWindow="240" yWindow="90" windowWidth="14235" windowHeight="8700" xr2:uid="{00000000-000D-0000-FFFF-FFFF00000000}"/>
  </bookViews>
  <sheets>
    <sheet name="Life Cycle Cost" sheetId="3" r:id="rId1"/>
    <sheet name="ARINC" sheetId="2" r:id="rId2"/>
    <sheet name="AGREE" sheetId="1" r:id="rId3"/>
    <sheet name="Safety Factor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4" l="1"/>
  <c r="E12" i="4" s="1"/>
  <c r="D9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11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12" i="4"/>
  <c r="F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11" i="4"/>
  <c r="B30" i="4"/>
  <c r="B21" i="4"/>
  <c r="B22" i="4"/>
  <c r="B23" i="4"/>
  <c r="B24" i="4"/>
  <c r="B25" i="4"/>
  <c r="B26" i="4"/>
  <c r="B27" i="4"/>
  <c r="B28" i="4"/>
  <c r="B29" i="4"/>
  <c r="B18" i="4"/>
  <c r="B19" i="4"/>
  <c r="B20" i="4"/>
  <c r="B12" i="4"/>
  <c r="B13" i="4"/>
  <c r="B14" i="4"/>
  <c r="B15" i="4"/>
  <c r="B16" i="4"/>
  <c r="B17" i="4"/>
  <c r="B11" i="4"/>
  <c r="J18" i="3"/>
  <c r="G18" i="3"/>
  <c r="D18" i="3"/>
  <c r="I9" i="3"/>
  <c r="I8" i="3"/>
  <c r="J7" i="3"/>
  <c r="I6" i="3"/>
  <c r="J5" i="3"/>
  <c r="J3" i="3"/>
  <c r="F9" i="3"/>
  <c r="F8" i="3"/>
  <c r="G7" i="3"/>
  <c r="F6" i="3"/>
  <c r="G5" i="3"/>
  <c r="G3" i="3"/>
  <c r="B18" i="3"/>
  <c r="H18" i="3" s="1"/>
  <c r="D7" i="3"/>
  <c r="D5" i="3"/>
  <c r="D3" i="3"/>
  <c r="C9" i="3"/>
  <c r="C8" i="3"/>
  <c r="C6" i="3"/>
  <c r="C27" i="2"/>
  <c r="D23" i="2" s="1"/>
  <c r="F5" i="2"/>
  <c r="D5" i="2"/>
  <c r="E15" i="1"/>
  <c r="F15" i="1" s="1"/>
  <c r="E1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F16" i="3" l="1"/>
  <c r="B20" i="3"/>
  <c r="D12" i="3" s="1"/>
  <c r="B19" i="3"/>
  <c r="D6" i="3" s="1"/>
  <c r="D18" i="2"/>
  <c r="D14" i="2"/>
  <c r="C16" i="3"/>
  <c r="I16" i="3"/>
  <c r="F5" i="1"/>
  <c r="C17" i="1" s="1"/>
  <c r="F12" i="1"/>
  <c r="C23" i="1"/>
  <c r="F13" i="1"/>
  <c r="C24" i="1"/>
  <c r="C21" i="1"/>
  <c r="F6" i="1"/>
  <c r="F14" i="1"/>
  <c r="C25" i="1"/>
  <c r="F7" i="1"/>
  <c r="C18" i="1"/>
  <c r="C26" i="1"/>
  <c r="F8" i="1"/>
  <c r="C19" i="1"/>
  <c r="F9" i="1"/>
  <c r="C20" i="1"/>
  <c r="F11" i="1"/>
  <c r="C22" i="1"/>
  <c r="F10" i="1"/>
  <c r="H20" i="3"/>
  <c r="J12" i="3" s="1"/>
  <c r="H19" i="3"/>
  <c r="D15" i="2"/>
  <c r="D7" i="2"/>
  <c r="D16" i="2"/>
  <c r="D13" i="2"/>
  <c r="D19" i="2"/>
  <c r="D12" i="2"/>
  <c r="D20" i="2"/>
  <c r="D17" i="2"/>
  <c r="D11" i="2"/>
  <c r="D21" i="2"/>
  <c r="D26" i="2"/>
  <c r="D9" i="3"/>
  <c r="D10" i="2"/>
  <c r="D22" i="2"/>
  <c r="D25" i="2"/>
  <c r="E18" i="3"/>
  <c r="D9" i="2"/>
  <c r="D24" i="2"/>
  <c r="D8" i="2"/>
  <c r="D8" i="3" l="1"/>
  <c r="D16" i="3" s="1"/>
  <c r="D17" i="3" s="1"/>
  <c r="E19" i="3"/>
  <c r="E20" i="3"/>
  <c r="G12" i="3" s="1"/>
  <c r="F19" i="1"/>
  <c r="E19" i="1"/>
  <c r="D19" i="1"/>
  <c r="F21" i="1"/>
  <c r="E21" i="1"/>
  <c r="D21" i="1"/>
  <c r="F24" i="1"/>
  <c r="E24" i="1"/>
  <c r="D24" i="1"/>
  <c r="E26" i="1"/>
  <c r="F26" i="1"/>
  <c r="D26" i="1"/>
  <c r="E18" i="1"/>
  <c r="F18" i="1"/>
  <c r="D18" i="1"/>
  <c r="D23" i="1"/>
  <c r="F23" i="1"/>
  <c r="E23" i="1"/>
  <c r="J6" i="3"/>
  <c r="J9" i="3"/>
  <c r="F22" i="1"/>
  <c r="E22" i="1"/>
  <c r="D22" i="1"/>
  <c r="F25" i="1"/>
  <c r="E25" i="1"/>
  <c r="D25" i="1"/>
  <c r="F17" i="1"/>
  <c r="F27" i="1" s="1"/>
  <c r="C27" i="1"/>
  <c r="D27" i="1" s="1"/>
  <c r="E17" i="1"/>
  <c r="E27" i="1" s="1"/>
  <c r="D17" i="1"/>
  <c r="D27" i="2"/>
  <c r="E20" i="1"/>
  <c r="D20" i="1"/>
  <c r="F20" i="1"/>
  <c r="J8" i="3"/>
  <c r="J16" i="3" l="1"/>
  <c r="J17" i="3" s="1"/>
  <c r="G8" i="3"/>
  <c r="G6" i="3"/>
  <c r="G9" i="3"/>
  <c r="G16" i="3" l="1"/>
  <c r="G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Ebeling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all units no discounting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discounted to present value</t>
        </r>
      </text>
    </comment>
    <comment ref="F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all units no discounting</t>
        </r>
      </text>
    </comment>
    <comment ref="G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discounted to present value</t>
        </r>
      </text>
    </comment>
    <comment ref="I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all units no discounting</t>
        </r>
      </text>
    </comment>
    <comment ref="J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discounted to present value</t>
        </r>
      </text>
    </comment>
    <comment ref="C9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Cf x (t0/MTTF) x N</t>
        </r>
      </text>
    </comment>
    <comment ref="F9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Cf x (t0/MTTF) x N</t>
        </r>
      </text>
    </comment>
    <comment ref="I9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Cf x (t0/MTTF) x N</t>
        </r>
      </text>
    </comment>
    <comment ref="A12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enter a negative value if there is a net disposal cost</t>
        </r>
      </text>
    </comment>
    <comment ref="D12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- Pf(i,d) x S x N</t>
        </r>
      </text>
    </comment>
    <comment ref="G12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- Pf(i,d) x S x N</t>
        </r>
      </text>
    </comment>
    <comment ref="J12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- Pf(i,d) x S x N</t>
        </r>
      </text>
    </comment>
    <comment ref="D18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 xml:space="preserve">Cu x N + F0 + Fs
</t>
        </r>
      </text>
    </comment>
  </commentList>
</comments>
</file>

<file path=xl/sharedStrings.xml><?xml version="1.0" encoding="utf-8"?>
<sst xmlns="http://schemas.openxmlformats.org/spreadsheetml/2006/main" count="92" uniqueCount="69">
  <si>
    <t>Section 8.2.4 AGREE Method</t>
  </si>
  <si>
    <t>component</t>
  </si>
  <si>
    <t>Importance Index - Wi</t>
  </si>
  <si>
    <t>Operating Time - ti</t>
  </si>
  <si>
    <t>Number of modules - ni</t>
  </si>
  <si>
    <t>Failure Rate</t>
  </si>
  <si>
    <t>MTTF</t>
  </si>
  <si>
    <t>System Reliability</t>
  </si>
  <si>
    <t>System time t</t>
  </si>
  <si>
    <t>R* =</t>
  </si>
  <si>
    <t>module Rel</t>
  </si>
  <si>
    <t>Component Reliability</t>
  </si>
  <si>
    <t>enter zero module count if component i is not used</t>
  </si>
  <si>
    <t>System</t>
  </si>
  <si>
    <t>Section 8.2.3 ARINC Method</t>
  </si>
  <si>
    <t>at time t =</t>
  </si>
  <si>
    <t>R(t) =</t>
  </si>
  <si>
    <t>System reliability goal</t>
  </si>
  <si>
    <r>
      <t xml:space="preserve">target 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* =</t>
    </r>
  </si>
  <si>
    <t>units</t>
  </si>
  <si>
    <t>failures per</t>
  </si>
  <si>
    <t>sum</t>
  </si>
  <si>
    <t>yr</t>
  </si>
  <si>
    <r>
      <t xml:space="preserve">failure rate </t>
    </r>
    <r>
      <rPr>
        <sz val="10"/>
        <rFont val="Symbol"/>
        <family val="1"/>
        <charset val="2"/>
      </rPr>
      <t>l</t>
    </r>
  </si>
  <si>
    <r>
      <t xml:space="preserve">new </t>
    </r>
    <r>
      <rPr>
        <sz val="10"/>
        <rFont val="Symbol"/>
        <family val="1"/>
        <charset val="2"/>
      </rPr>
      <t>l</t>
    </r>
  </si>
  <si>
    <t>Section 8.1.2 Economic Analysis and Life Cycle Cost</t>
  </si>
  <si>
    <t>N = number of identical units</t>
  </si>
  <si>
    <r>
      <t>C</t>
    </r>
    <r>
      <rPr>
        <vertAlign val="subscript"/>
        <sz val="11"/>
        <color indexed="8"/>
        <rFont val="Times New Roman"/>
        <family val="1"/>
      </rPr>
      <t>o</t>
    </r>
    <r>
      <rPr>
        <sz val="11"/>
        <color indexed="8"/>
        <rFont val="Times New Roman"/>
        <family val="1"/>
      </rPr>
      <t xml:space="preserve"> = annual operating costs per unit</t>
    </r>
  </si>
  <si>
    <r>
      <t>C</t>
    </r>
    <r>
      <rPr>
        <vertAlign val="subscript"/>
        <sz val="11"/>
        <color indexed="8"/>
        <rFont val="Times New Roman"/>
        <family val="1"/>
      </rPr>
      <t>s</t>
    </r>
    <r>
      <rPr>
        <sz val="11"/>
        <color indexed="8"/>
        <rFont val="Times New Roman"/>
        <family val="1"/>
      </rPr>
      <t xml:space="preserve"> =  annual support cost per unit</t>
    </r>
  </si>
  <si>
    <r>
      <t>C</t>
    </r>
    <r>
      <rPr>
        <vertAlign val="subscript"/>
        <sz val="11"/>
        <color indexed="8"/>
        <rFont val="Times New Roman"/>
        <family val="1"/>
      </rPr>
      <t xml:space="preserve">f </t>
    </r>
    <r>
      <rPr>
        <sz val="11"/>
        <color indexed="8"/>
        <rFont val="Times New Roman"/>
        <family val="1"/>
      </rPr>
      <t>= cost per failure</t>
    </r>
  </si>
  <si>
    <r>
      <t>t</t>
    </r>
    <r>
      <rPr>
        <vertAlign val="subscript"/>
        <sz val="11"/>
        <color indexed="8"/>
        <rFont val="Times New Roman"/>
        <family val="1"/>
      </rPr>
      <t>0</t>
    </r>
    <r>
      <rPr>
        <sz val="11"/>
        <color indexed="8"/>
        <rFont val="Times New Roman"/>
        <family val="1"/>
      </rPr>
      <t xml:space="preserve"> = operating hours per year per unit</t>
    </r>
  </si>
  <si>
    <t xml:space="preserve">f =  annual inflation rate </t>
  </si>
  <si>
    <t xml:space="preserve">e = annual return on investment rate </t>
  </si>
  <si>
    <t xml:space="preserve">LCC = Acquisition Costs + Operations Costs + Failure Cost + Support Costs -  Net  Salvage Value </t>
  </si>
  <si>
    <t>Net Salvage Value = Salvage Value - Disposal Cost</t>
  </si>
  <si>
    <t>S = net salvage value per unit</t>
  </si>
  <si>
    <t>i =computed discount rate</t>
  </si>
  <si>
    <t>d = design life (in years)</t>
  </si>
  <si>
    <r>
      <rPr>
        <sz val="11"/>
        <color indexed="8"/>
        <rFont val="Times New Roman"/>
        <family val="1"/>
      </rPr>
      <t>computed</t>
    </r>
    <r>
      <rPr>
        <sz val="10"/>
        <color indexed="8"/>
        <rFont val="Times New Roman"/>
        <family val="1"/>
      </rPr>
      <t xml:space="preserve"> P</t>
    </r>
    <r>
      <rPr>
        <vertAlign val="sub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>(i,d) = [(1+i)</t>
    </r>
    <r>
      <rPr>
        <vertAlign val="superscript"/>
        <sz val="10"/>
        <color indexed="8"/>
        <rFont val="Times New Roman"/>
        <family val="1"/>
      </rPr>
      <t>d</t>
    </r>
    <r>
      <rPr>
        <sz val="10"/>
        <color indexed="8"/>
        <rFont val="Times New Roman"/>
        <family val="1"/>
      </rPr>
      <t>-1 ] / [i(1+i)</t>
    </r>
    <r>
      <rPr>
        <vertAlign val="superscript"/>
        <sz val="10"/>
        <color indexed="8"/>
        <rFont val="Times New Roman"/>
        <family val="1"/>
      </rPr>
      <t>d</t>
    </r>
    <r>
      <rPr>
        <sz val="10"/>
        <color indexed="8"/>
        <rFont val="Times New Roman"/>
        <family val="1"/>
      </rPr>
      <t xml:space="preserve">] </t>
    </r>
  </si>
  <si>
    <r>
      <t>computed P</t>
    </r>
    <r>
      <rPr>
        <vertAlign val="subscript"/>
        <sz val="11"/>
        <color indexed="8"/>
        <rFont val="Times New Roman"/>
        <family val="1"/>
      </rPr>
      <t>F</t>
    </r>
    <r>
      <rPr>
        <sz val="11"/>
        <color indexed="8"/>
        <rFont val="Times New Roman"/>
        <family val="1"/>
      </rPr>
      <t>(i,d) = 1 / (1+i)</t>
    </r>
    <r>
      <rPr>
        <vertAlign val="superscript"/>
        <sz val="11"/>
        <color indexed="8"/>
        <rFont val="Times New Roman"/>
        <family val="1"/>
      </rPr>
      <t>d</t>
    </r>
    <r>
      <rPr>
        <sz val="11"/>
        <color indexed="8"/>
        <rFont val="Times New Roman"/>
        <family val="1"/>
      </rPr>
      <t xml:space="preserve"> </t>
    </r>
  </si>
  <si>
    <r>
      <t>F</t>
    </r>
    <r>
      <rPr>
        <vertAlign val="subscript"/>
        <sz val="11"/>
        <color indexed="8"/>
        <rFont val="Times New Roman"/>
        <family val="1"/>
      </rPr>
      <t>o</t>
    </r>
    <r>
      <rPr>
        <sz val="11"/>
        <color indexed="8"/>
        <rFont val="Times New Roman"/>
        <family val="1"/>
      </rPr>
      <t xml:space="preserve"> = initial fixed cost of operating</t>
    </r>
  </si>
  <si>
    <r>
      <t>F</t>
    </r>
    <r>
      <rPr>
        <vertAlign val="subscript"/>
        <sz val="11"/>
        <color indexed="8"/>
        <rFont val="Times New Roman"/>
        <family val="1"/>
      </rPr>
      <t>s</t>
    </r>
    <r>
      <rPr>
        <sz val="11"/>
        <color indexed="8"/>
        <rFont val="Times New Roman"/>
        <family val="1"/>
      </rPr>
      <t xml:space="preserve"> = initial fixed support cost</t>
    </r>
  </si>
  <si>
    <t>MTTF (operating hours)</t>
  </si>
  <si>
    <r>
      <t>C</t>
    </r>
    <r>
      <rPr>
        <vertAlign val="subscript"/>
        <sz val="11"/>
        <color indexed="8"/>
        <rFont val="Times New Roman"/>
        <family val="1"/>
      </rPr>
      <t>u</t>
    </r>
    <r>
      <rPr>
        <sz val="11"/>
        <color indexed="8"/>
        <rFont val="Times New Roman"/>
        <family val="1"/>
      </rPr>
      <t xml:space="preserve"> = initial unit acquisition cost</t>
    </r>
  </si>
  <si>
    <t>Totals</t>
  </si>
  <si>
    <t>annual reoccurring cost</t>
  </si>
  <si>
    <t>Life cycle cost</t>
  </si>
  <si>
    <t>Design #1 enter values</t>
  </si>
  <si>
    <t>Design #2 enter values</t>
  </si>
  <si>
    <t>Design #3 enter values</t>
  </si>
  <si>
    <t>cost per year (present value)</t>
  </si>
  <si>
    <t>Initial cost</t>
  </si>
  <si>
    <t>Exponential</t>
  </si>
  <si>
    <t>m</t>
  </si>
  <si>
    <t>Normal</t>
  </si>
  <si>
    <t>σ</t>
  </si>
  <si>
    <t>Lognormal</t>
  </si>
  <si>
    <t>s</t>
  </si>
  <si>
    <t>Gamma</t>
  </si>
  <si>
    <t>g</t>
  </si>
  <si>
    <t>Section 8.3.3 Stress-Strength Analysis and Safety Factors</t>
  </si>
  <si>
    <t>Safety Factor</t>
  </si>
  <si>
    <t>Probability of a failure failure</t>
  </si>
  <si>
    <t>Stress</t>
  </si>
  <si>
    <t>Distribution</t>
  </si>
  <si>
    <t>Strength</t>
  </si>
  <si>
    <r>
      <rPr>
        <b/>
        <sz val="11"/>
        <rFont val="Symbol"/>
        <family val="1"/>
        <charset val="2"/>
      </rPr>
      <t>m</t>
    </r>
    <r>
      <rPr>
        <b/>
        <sz val="11"/>
        <rFont val="Times New Roman"/>
        <family val="1"/>
      </rPr>
      <t>y</t>
    </r>
    <r>
      <rPr>
        <b/>
        <sz val="11"/>
        <rFont val="Symbol"/>
        <family val="1"/>
        <charset val="2"/>
      </rPr>
      <t xml:space="preserve"> / m</t>
    </r>
    <r>
      <rPr>
        <b/>
        <sz val="11"/>
        <rFont val="Times New Roman"/>
        <family val="1"/>
      </rPr>
      <t>x</t>
    </r>
  </si>
  <si>
    <r>
      <t>(ag</t>
    </r>
    <r>
      <rPr>
        <b/>
        <sz val="9.35"/>
        <rFont val="Symbol"/>
        <family val="1"/>
        <charset val="2"/>
      </rPr>
      <t>) / m</t>
    </r>
  </si>
  <si>
    <r>
      <t>m / (ag</t>
    </r>
    <r>
      <rPr>
        <b/>
        <sz val="9.35"/>
        <rFont val="Symbol"/>
        <family val="1"/>
        <charset val="2"/>
      </rPr>
      <t>)</t>
    </r>
    <r>
      <rPr>
        <b/>
        <sz val="11"/>
        <rFont val="Symbol"/>
        <family val="1"/>
        <charset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</si>
</sst>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00"/>
    <numFmt numFmtId="166" formatCode="0.00000"/>
    <numFmt numFmtId="167" formatCode="0.0000"/>
    <numFmt numFmtId="168" formatCode="&quot;$&quot;#,##0"/>
  </numFmts>
  <fonts count="27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sz val="10"/>
      <color indexed="8"/>
      <name val="Times New Roman"/>
      <family val="1"/>
    </font>
    <font>
      <vertAlign val="subscript"/>
      <sz val="10"/>
      <color indexed="8"/>
      <name val="Times New Roman"/>
      <family val="1"/>
    </font>
    <font>
      <b/>
      <sz val="8"/>
      <color indexed="81"/>
      <name val="Tahoma"/>
      <family val="2"/>
    </font>
    <font>
      <sz val="14"/>
      <name val="Arial"/>
      <family val="2"/>
    </font>
    <font>
      <vertAlign val="superscript"/>
      <sz val="10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b/>
      <sz val="10"/>
      <name val="Arial"/>
      <family val="2"/>
    </font>
    <font>
      <sz val="14"/>
      <name val="Symbol"/>
      <family val="1"/>
      <charset val="2"/>
    </font>
    <font>
      <b/>
      <sz val="11"/>
      <name val="Symbol"/>
      <family val="1"/>
      <charset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9.35"/>
      <name val="Symbol"/>
      <family val="1"/>
      <charset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FF0000"/>
      <name val="Arial"/>
      <family val="2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7DD9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Fill="1" applyAlignment="1">
      <alignment vertical="top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/>
    <xf numFmtId="0" fontId="5" fillId="3" borderId="9" xfId="0" applyFont="1" applyFill="1" applyBorder="1" applyAlignment="1">
      <alignment horizontal="right"/>
    </xf>
    <xf numFmtId="0" fontId="0" fillId="3" borderId="9" xfId="0" applyFill="1" applyBorder="1"/>
    <xf numFmtId="0" fontId="5" fillId="3" borderId="9" xfId="0" applyFont="1" applyFill="1" applyBorder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0" fillId="3" borderId="0" xfId="0" applyFill="1"/>
    <xf numFmtId="0" fontId="5" fillId="3" borderId="10" xfId="0" applyFont="1" applyFill="1" applyBorder="1"/>
    <xf numFmtId="0" fontId="5" fillId="4" borderId="10" xfId="0" applyFont="1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0" xfId="0" applyFill="1" applyAlignment="1">
      <alignment horizontal="center"/>
    </xf>
    <xf numFmtId="3" fontId="0" fillId="3" borderId="7" xfId="0" applyNumberFormat="1" applyFill="1" applyBorder="1"/>
    <xf numFmtId="164" fontId="0" fillId="3" borderId="0" xfId="0" applyNumberFormat="1" applyFill="1"/>
    <xf numFmtId="3" fontId="0" fillId="3" borderId="1" xfId="0" applyNumberFormat="1" applyFill="1" applyBorder="1"/>
    <xf numFmtId="164" fontId="0" fillId="3" borderId="8" xfId="0" applyNumberFormat="1" applyFill="1" applyBorder="1"/>
    <xf numFmtId="3" fontId="0" fillId="3" borderId="11" xfId="0" applyNumberFormat="1" applyFill="1" applyBorder="1"/>
    <xf numFmtId="164" fontId="0" fillId="3" borderId="9" xfId="0" applyNumberFormat="1" applyFill="1" applyBorder="1"/>
    <xf numFmtId="164" fontId="0" fillId="3" borderId="11" xfId="0" applyNumberFormat="1" applyFill="1" applyBorder="1"/>
    <xf numFmtId="0" fontId="5" fillId="2" borderId="12" xfId="0" applyFont="1" applyFill="1" applyBorder="1"/>
    <xf numFmtId="0" fontId="0" fillId="2" borderId="12" xfId="0" applyFill="1" applyBorder="1"/>
    <xf numFmtId="0" fontId="5" fillId="3" borderId="11" xfId="0" applyFont="1" applyFill="1" applyBorder="1" applyAlignment="1">
      <alignment horizontal="center"/>
    </xf>
    <xf numFmtId="165" fontId="0" fillId="3" borderId="11" xfId="0" applyNumberFormat="1" applyFill="1" applyBorder="1"/>
    <xf numFmtId="165" fontId="5" fillId="4" borderId="10" xfId="0" applyNumberFormat="1" applyFont="1" applyFill="1" applyBorder="1"/>
    <xf numFmtId="0" fontId="5" fillId="3" borderId="12" xfId="0" applyFont="1" applyFill="1" applyBorder="1"/>
    <xf numFmtId="0" fontId="22" fillId="0" borderId="0" xfId="0" applyFont="1"/>
    <xf numFmtId="0" fontId="22" fillId="0" borderId="0" xfId="0" applyFont="1" applyAlignment="1">
      <alignment horizontal="left" readingOrder="1"/>
    </xf>
    <xf numFmtId="0" fontId="23" fillId="0" borderId="0" xfId="0" applyFont="1" applyAlignment="1">
      <alignment horizontal="left" readingOrder="1"/>
    </xf>
    <xf numFmtId="0" fontId="12" fillId="0" borderId="0" xfId="0" applyFont="1"/>
    <xf numFmtId="168" fontId="0" fillId="2" borderId="0" xfId="0" applyNumberFormat="1" applyFill="1"/>
    <xf numFmtId="0" fontId="0" fillId="2" borderId="0" xfId="0" applyFill="1"/>
    <xf numFmtId="0" fontId="3" fillId="2" borderId="9" xfId="0" applyFont="1" applyFill="1" applyBorder="1" applyAlignment="1">
      <alignment wrapText="1"/>
    </xf>
    <xf numFmtId="0" fontId="0" fillId="0" borderId="3" xfId="0" applyBorder="1"/>
    <xf numFmtId="168" fontId="0" fillId="0" borderId="13" xfId="0" applyNumberFormat="1" applyBorder="1"/>
    <xf numFmtId="0" fontId="0" fillId="0" borderId="6" xfId="0" applyBorder="1"/>
    <xf numFmtId="0" fontId="0" fillId="0" borderId="14" xfId="0" applyBorder="1"/>
    <xf numFmtId="0" fontId="12" fillId="0" borderId="6" xfId="0" applyFont="1" applyBorder="1"/>
    <xf numFmtId="168" fontId="0" fillId="0" borderId="14" xfId="0" applyNumberFormat="1" applyBorder="1"/>
    <xf numFmtId="168" fontId="0" fillId="0" borderId="6" xfId="0" applyNumberFormat="1" applyBorder="1"/>
    <xf numFmtId="0" fontId="0" fillId="0" borderId="2" xfId="0" applyBorder="1"/>
    <xf numFmtId="0" fontId="0" fillId="0" borderId="15" xfId="0" applyBorder="1"/>
    <xf numFmtId="167" fontId="0" fillId="4" borderId="7" xfId="0" applyNumberFormat="1" applyFill="1" applyBorder="1"/>
    <xf numFmtId="167" fontId="0" fillId="4" borderId="1" xfId="0" applyNumberFormat="1" applyFill="1" applyBorder="1"/>
    <xf numFmtId="168" fontId="0" fillId="3" borderId="6" xfId="0" applyNumberFormat="1" applyFill="1" applyBorder="1"/>
    <xf numFmtId="168" fontId="15" fillId="3" borderId="14" xfId="0" applyNumberFormat="1" applyFont="1" applyFill="1" applyBorder="1"/>
    <xf numFmtId="0" fontId="3" fillId="2" borderId="12" xfId="0" applyFont="1" applyFill="1" applyBorder="1" applyAlignment="1">
      <alignment wrapText="1"/>
    </xf>
    <xf numFmtId="168" fontId="0" fillId="2" borderId="6" xfId="0" applyNumberFormat="1" applyFill="1" applyBorder="1"/>
    <xf numFmtId="0" fontId="0" fillId="2" borderId="6" xfId="0" applyFill="1" applyBorder="1"/>
    <xf numFmtId="168" fontId="15" fillId="3" borderId="16" xfId="0" applyNumberFormat="1" applyFont="1" applyFill="1" applyBorder="1"/>
    <xf numFmtId="168" fontId="0" fillId="3" borderId="17" xfId="0" applyNumberFormat="1" applyFill="1" applyBorder="1"/>
    <xf numFmtId="168" fontId="15" fillId="3" borderId="18" xfId="0" applyNumberFormat="1" applyFont="1" applyFill="1" applyBorder="1"/>
    <xf numFmtId="0" fontId="0" fillId="5" borderId="6" xfId="0" applyFill="1" applyBorder="1"/>
    <xf numFmtId="0" fontId="0" fillId="5" borderId="0" xfId="0" applyFill="1"/>
    <xf numFmtId="0" fontId="0" fillId="0" borderId="0" xfId="0" applyBorder="1"/>
    <xf numFmtId="0" fontId="0" fillId="2" borderId="19" xfId="0" applyFill="1" applyBorder="1"/>
    <xf numFmtId="168" fontId="0" fillId="3" borderId="20" xfId="0" applyNumberFormat="1" applyFill="1" applyBorder="1"/>
    <xf numFmtId="0" fontId="0" fillId="2" borderId="21" xfId="0" applyFill="1" applyBorder="1"/>
    <xf numFmtId="168" fontId="0" fillId="3" borderId="22" xfId="0" applyNumberFormat="1" applyFill="1" applyBorder="1"/>
    <xf numFmtId="168" fontId="15" fillId="3" borderId="23" xfId="0" applyNumberFormat="1" applyFont="1" applyFill="1" applyBorder="1"/>
    <xf numFmtId="0" fontId="3" fillId="3" borderId="2" xfId="0" applyFont="1" applyFill="1" applyBorder="1" applyAlignment="1">
      <alignment horizontal="right"/>
    </xf>
    <xf numFmtId="168" fontId="0" fillId="3" borderId="15" xfId="0" applyNumberFormat="1" applyFill="1" applyBorder="1"/>
    <xf numFmtId="0" fontId="3" fillId="3" borderId="24" xfId="0" applyFont="1" applyFill="1" applyBorder="1" applyAlignment="1">
      <alignment horizontal="right"/>
    </xf>
    <xf numFmtId="168" fontId="0" fillId="3" borderId="25" xfId="0" applyNumberFormat="1" applyFill="1" applyBorder="1"/>
    <xf numFmtId="0" fontId="0" fillId="3" borderId="20" xfId="0" applyFill="1" applyBorder="1"/>
    <xf numFmtId="0" fontId="6" fillId="0" borderId="0" xfId="0" applyFont="1"/>
    <xf numFmtId="0" fontId="1" fillId="6" borderId="9" xfId="0" applyFont="1" applyFill="1" applyBorder="1"/>
    <xf numFmtId="164" fontId="6" fillId="0" borderId="7" xfId="0" applyNumberFormat="1" applyFont="1" applyBorder="1"/>
    <xf numFmtId="164" fontId="6" fillId="0" borderId="1" xfId="0" applyNumberFormat="1" applyFont="1" applyBorder="1"/>
    <xf numFmtId="0" fontId="0" fillId="3" borderId="26" xfId="0" applyFill="1" applyBorder="1"/>
    <xf numFmtId="0" fontId="18" fillId="2" borderId="12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0" fillId="3" borderId="27" xfId="0" applyFill="1" applyBorder="1"/>
    <xf numFmtId="164" fontId="6" fillId="0" borderId="4" xfId="0" applyNumberFormat="1" applyFont="1" applyBorder="1"/>
    <xf numFmtId="164" fontId="6" fillId="0" borderId="6" xfId="0" applyNumberFormat="1" applyFont="1" applyBorder="1"/>
    <xf numFmtId="164" fontId="6" fillId="0" borderId="2" xfId="0" applyNumberFormat="1" applyFont="1" applyBorder="1"/>
    <xf numFmtId="164" fontId="6" fillId="0" borderId="14" xfId="0" applyNumberFormat="1" applyFont="1" applyBorder="1"/>
    <xf numFmtId="164" fontId="6" fillId="0" borderId="15" xfId="0" applyNumberFormat="1" applyFont="1" applyBorder="1"/>
    <xf numFmtId="0" fontId="1" fillId="6" borderId="5" xfId="0" applyFont="1" applyFill="1" applyBorder="1"/>
    <xf numFmtId="164" fontId="6" fillId="0" borderId="3" xfId="0" applyNumberFormat="1" applyFont="1" applyBorder="1"/>
    <xf numFmtId="164" fontId="6" fillId="0" borderId="13" xfId="0" applyNumberFormat="1" applyFont="1" applyBorder="1"/>
    <xf numFmtId="0" fontId="1" fillId="6" borderId="13" xfId="0" applyFont="1" applyFill="1" applyBorder="1"/>
    <xf numFmtId="167" fontId="24" fillId="6" borderId="9" xfId="0" applyNumberFormat="1" applyFont="1" applyFill="1" applyBorder="1"/>
    <xf numFmtId="0" fontId="1" fillId="7" borderId="12" xfId="0" applyFont="1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10" xfId="0" applyFill="1" applyBorder="1"/>
    <xf numFmtId="0" fontId="1" fillId="7" borderId="3" xfId="0" applyFont="1" applyFill="1" applyBorder="1"/>
    <xf numFmtId="0" fontId="0" fillId="7" borderId="13" xfId="0" applyFill="1" applyBorder="1"/>
    <xf numFmtId="0" fontId="0" fillId="7" borderId="0" xfId="0" applyFill="1"/>
    <xf numFmtId="0" fontId="3" fillId="7" borderId="12" xfId="0" applyFont="1" applyFill="1" applyBorder="1"/>
    <xf numFmtId="0" fontId="25" fillId="7" borderId="4" xfId="0" applyFont="1" applyFill="1" applyBorder="1"/>
    <xf numFmtId="0" fontId="25" fillId="7" borderId="7" xfId="0" applyFont="1" applyFill="1" applyBorder="1"/>
    <xf numFmtId="0" fontId="25" fillId="7" borderId="6" xfId="0" applyFont="1" applyFill="1" applyBorder="1" applyAlignment="1">
      <alignment horizontal="left" readingOrder="1"/>
    </xf>
    <xf numFmtId="0" fontId="25" fillId="7" borderId="2" xfId="0" applyFont="1" applyFill="1" applyBorder="1" applyAlignment="1">
      <alignment horizontal="left" readingOrder="1"/>
    </xf>
    <xf numFmtId="0" fontId="0" fillId="7" borderId="0" xfId="0" applyFill="1" applyBorder="1"/>
    <xf numFmtId="0" fontId="0" fillId="7" borderId="28" xfId="0" applyFill="1" applyBorder="1"/>
    <xf numFmtId="0" fontId="3" fillId="7" borderId="7" xfId="0" applyFont="1" applyFill="1" applyBorder="1"/>
    <xf numFmtId="0" fontId="26" fillId="7" borderId="7" xfId="0" applyFont="1" applyFill="1" applyBorder="1" applyAlignment="1">
      <alignment horizontal="left" readingOrder="1"/>
    </xf>
    <xf numFmtId="0" fontId="25" fillId="7" borderId="1" xfId="0" applyFont="1" applyFill="1" applyBorder="1"/>
    <xf numFmtId="0" fontId="3" fillId="7" borderId="0" xfId="0" applyFont="1" applyFill="1" applyBorder="1" applyAlignment="1">
      <alignment horizontal="right"/>
    </xf>
    <xf numFmtId="0" fontId="3" fillId="7" borderId="27" xfId="0" applyFont="1" applyFill="1" applyBorder="1" applyAlignment="1">
      <alignment horizontal="right"/>
    </xf>
    <xf numFmtId="0" fontId="3" fillId="7" borderId="9" xfId="0" applyFont="1" applyFill="1" applyBorder="1" applyAlignment="1">
      <alignment wrapText="1"/>
    </xf>
    <xf numFmtId="0" fontId="3" fillId="7" borderId="10" xfId="0" applyFont="1" applyFill="1" applyBorder="1"/>
    <xf numFmtId="0" fontId="3" fillId="7" borderId="29" xfId="0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6" fillId="7" borderId="12" xfId="0" applyFont="1" applyFill="1" applyBorder="1"/>
    <xf numFmtId="0" fontId="6" fillId="7" borderId="9" xfId="0" applyFont="1" applyFill="1" applyBorder="1" applyAlignment="1">
      <alignment horizontal="right"/>
    </xf>
    <xf numFmtId="0" fontId="6" fillId="7" borderId="9" xfId="0" applyFont="1" applyFill="1" applyBorder="1"/>
    <xf numFmtId="0" fontId="6" fillId="7" borderId="10" xfId="0" applyFont="1" applyFill="1" applyBorder="1"/>
    <xf numFmtId="0" fontId="6" fillId="7" borderId="6" xfId="0" applyFont="1" applyFill="1" applyBorder="1"/>
    <xf numFmtId="0" fontId="6" fillId="7" borderId="0" xfId="0" applyFont="1" applyFill="1" applyBorder="1" applyAlignment="1">
      <alignment horizontal="right"/>
    </xf>
    <xf numFmtId="0" fontId="6" fillId="7" borderId="0" xfId="0" applyFont="1" applyFill="1" applyBorder="1"/>
    <xf numFmtId="0" fontId="6" fillId="7" borderId="14" xfId="0" applyFont="1" applyFill="1" applyBorder="1"/>
    <xf numFmtId="0" fontId="0" fillId="7" borderId="9" xfId="0" applyFill="1" applyBorder="1" applyAlignment="1">
      <alignment horizontal="right"/>
    </xf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right"/>
    </xf>
    <xf numFmtId="0" fontId="0" fillId="7" borderId="6" xfId="0" applyFill="1" applyBorder="1"/>
    <xf numFmtId="0" fontId="0" fillId="7" borderId="2" xfId="0" applyFill="1" applyBorder="1"/>
    <xf numFmtId="0" fontId="0" fillId="7" borderId="12" xfId="0" applyFill="1" applyBorder="1" applyAlignment="1">
      <alignment vertical="top" wrapText="1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2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vertical="top" wrapText="1"/>
    </xf>
    <xf numFmtId="0" fontId="0" fillId="7" borderId="11" xfId="0" applyFill="1" applyBorder="1" applyAlignment="1">
      <alignment vertical="top" wrapText="1"/>
    </xf>
    <xf numFmtId="0" fontId="0" fillId="7" borderId="7" xfId="0" applyFill="1" applyBorder="1"/>
    <xf numFmtId="0" fontId="0" fillId="7" borderId="0" xfId="0" applyFill="1" applyAlignment="1">
      <alignment horizontal="right"/>
    </xf>
    <xf numFmtId="0" fontId="0" fillId="7" borderId="1" xfId="0" applyFill="1" applyBorder="1" applyAlignment="1">
      <alignment vertical="top" wrapText="1"/>
    </xf>
    <xf numFmtId="0" fontId="1" fillId="7" borderId="0" xfId="0" applyFont="1" applyFill="1" applyBorder="1"/>
    <xf numFmtId="0" fontId="15" fillId="7" borderId="3" xfId="0" applyFont="1" applyFill="1" applyBorder="1"/>
    <xf numFmtId="0" fontId="15" fillId="7" borderId="13" xfId="0" applyFont="1" applyFill="1" applyBorder="1"/>
    <xf numFmtId="0" fontId="15" fillId="7" borderId="4" xfId="0" applyFont="1" applyFill="1" applyBorder="1"/>
    <xf numFmtId="0" fontId="0" fillId="7" borderId="0" xfId="0" applyFill="1" applyBorder="1" applyAlignment="1">
      <alignment wrapText="1"/>
    </xf>
    <xf numFmtId="0" fontId="16" fillId="7" borderId="6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6" fillId="7" borderId="7" xfId="0" applyFont="1" applyFill="1" applyBorder="1" applyAlignment="1">
      <alignment horizontal="center"/>
    </xf>
    <xf numFmtId="0" fontId="0" fillId="7" borderId="6" xfId="0" applyFill="1" applyBorder="1" applyAlignment="1">
      <alignment horizontal="right"/>
    </xf>
    <xf numFmtId="0" fontId="0" fillId="7" borderId="30" xfId="0" applyFill="1" applyBorder="1"/>
    <xf numFmtId="0" fontId="0" fillId="7" borderId="20" xfId="0" applyFill="1" applyBorder="1"/>
    <xf numFmtId="0" fontId="0" fillId="7" borderId="31" xfId="0" applyFill="1" applyBorder="1"/>
    <xf numFmtId="0" fontId="0" fillId="7" borderId="31" xfId="0" applyFill="1" applyBorder="1" applyAlignment="1">
      <alignment wrapText="1"/>
    </xf>
    <xf numFmtId="0" fontId="15" fillId="7" borderId="6" xfId="0" applyFont="1" applyFill="1" applyBorder="1"/>
    <xf numFmtId="166" fontId="18" fillId="7" borderId="6" xfId="0" applyNumberFormat="1" applyFont="1" applyFill="1" applyBorder="1" applyAlignment="1">
      <alignment horizontal="center"/>
    </xf>
    <xf numFmtId="0" fontId="15" fillId="7" borderId="11" xfId="0" applyFont="1" applyFill="1" applyBorder="1" applyAlignment="1">
      <alignment vertical="top" wrapText="1"/>
    </xf>
    <xf numFmtId="0" fontId="0" fillId="7" borderId="14" xfId="0" applyFill="1" applyBorder="1"/>
    <xf numFmtId="0" fontId="15" fillId="7" borderId="14" xfId="0" applyFont="1" applyFill="1" applyBorder="1"/>
    <xf numFmtId="0" fontId="15" fillId="7" borderId="7" xfId="0" applyFont="1" applyFill="1" applyBorder="1"/>
    <xf numFmtId="0" fontId="0" fillId="7" borderId="7" xfId="0" applyFill="1" applyBorder="1" applyAlignment="1">
      <alignment horizontal="right"/>
    </xf>
    <xf numFmtId="0" fontId="17" fillId="7" borderId="7" xfId="0" applyFont="1" applyFill="1" applyBorder="1" applyAlignment="1">
      <alignment horizontal="center"/>
    </xf>
    <xf numFmtId="2" fontId="21" fillId="7" borderId="1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</xdr:row>
          <xdr:rowOff>123825</xdr:rowOff>
        </xdr:from>
        <xdr:to>
          <xdr:col>12</xdr:col>
          <xdr:colOff>219075</xdr:colOff>
          <xdr:row>4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C11" sqref="C11"/>
    </sheetView>
  </sheetViews>
  <sheetFormatPr defaultRowHeight="12.75" x14ac:dyDescent="0.2"/>
  <cols>
    <col min="1" max="1" width="31.7109375" customWidth="1"/>
    <col min="2" max="2" width="10.42578125" customWidth="1"/>
    <col min="3" max="3" width="11.140625" customWidth="1"/>
    <col min="4" max="4" width="13.28515625" customWidth="1"/>
    <col min="5" max="5" width="10.42578125" customWidth="1"/>
    <col min="6" max="6" width="11.140625" customWidth="1"/>
    <col min="7" max="7" width="14.85546875" customWidth="1"/>
    <col min="9" max="9" width="11.5703125" customWidth="1"/>
    <col min="10" max="10" width="12.5703125" customWidth="1"/>
  </cols>
  <sheetData>
    <row r="1" spans="1:10" ht="15" x14ac:dyDescent="0.2">
      <c r="A1" s="100" t="s">
        <v>25</v>
      </c>
      <c r="B1" s="98"/>
      <c r="C1" s="98"/>
      <c r="D1" s="98"/>
      <c r="E1" s="101"/>
      <c r="F1" s="102"/>
      <c r="G1" s="102"/>
      <c r="H1" s="102"/>
      <c r="I1" s="102"/>
      <c r="J1" s="102"/>
    </row>
    <row r="2" spans="1:10" ht="38.25" x14ac:dyDescent="0.2">
      <c r="A2" s="103"/>
      <c r="B2" s="44" t="s">
        <v>47</v>
      </c>
      <c r="C2" s="115" t="s">
        <v>45</v>
      </c>
      <c r="D2" s="116" t="s">
        <v>46</v>
      </c>
      <c r="E2" s="58" t="s">
        <v>48</v>
      </c>
      <c r="F2" s="115" t="s">
        <v>45</v>
      </c>
      <c r="G2" s="116" t="s">
        <v>46</v>
      </c>
      <c r="H2" s="44" t="s">
        <v>49</v>
      </c>
      <c r="I2" s="115" t="s">
        <v>45</v>
      </c>
      <c r="J2" s="116" t="s">
        <v>46</v>
      </c>
    </row>
    <row r="3" spans="1:10" ht="16.5" x14ac:dyDescent="0.3">
      <c r="A3" s="104" t="s">
        <v>43</v>
      </c>
      <c r="B3" s="42">
        <v>225</v>
      </c>
      <c r="C3" s="45"/>
      <c r="D3" s="46">
        <f>B4*B3</f>
        <v>22500</v>
      </c>
      <c r="E3" s="59">
        <v>245</v>
      </c>
      <c r="F3" s="45"/>
      <c r="G3" s="46">
        <f>E4*E3</f>
        <v>24500</v>
      </c>
      <c r="H3" s="42">
        <v>900</v>
      </c>
      <c r="I3" s="45"/>
      <c r="J3" s="46">
        <f>H4*H3</f>
        <v>18000</v>
      </c>
    </row>
    <row r="4" spans="1:10" ht="15" x14ac:dyDescent="0.25">
      <c r="A4" s="105" t="s">
        <v>26</v>
      </c>
      <c r="B4" s="43">
        <v>100</v>
      </c>
      <c r="C4" s="47"/>
      <c r="D4" s="48"/>
      <c r="E4" s="60">
        <v>100</v>
      </c>
      <c r="F4" s="47"/>
      <c r="G4" s="48"/>
      <c r="H4" s="43">
        <v>20</v>
      </c>
      <c r="I4" s="47"/>
      <c r="J4" s="48"/>
    </row>
    <row r="5" spans="1:10" ht="18.75" x14ac:dyDescent="0.3">
      <c r="A5" s="105" t="s">
        <v>40</v>
      </c>
      <c r="B5" s="42">
        <v>0</v>
      </c>
      <c r="C5" s="49"/>
      <c r="D5" s="50">
        <f>B5</f>
        <v>0</v>
      </c>
      <c r="E5" s="59">
        <v>0</v>
      </c>
      <c r="F5" s="49"/>
      <c r="G5" s="50">
        <f>E5</f>
        <v>0</v>
      </c>
      <c r="H5" s="42">
        <v>2000</v>
      </c>
      <c r="I5" s="49"/>
      <c r="J5" s="50">
        <f>H5</f>
        <v>2000</v>
      </c>
    </row>
    <row r="6" spans="1:10" ht="16.5" x14ac:dyDescent="0.3">
      <c r="A6" s="105" t="s">
        <v>27</v>
      </c>
      <c r="B6" s="42">
        <v>0</v>
      </c>
      <c r="C6" s="51">
        <f>B4*B6</f>
        <v>0</v>
      </c>
      <c r="D6" s="50">
        <f>C6*B19</f>
        <v>0</v>
      </c>
      <c r="E6" s="59">
        <v>0</v>
      </c>
      <c r="F6" s="51">
        <f>E4*E6</f>
        <v>0</v>
      </c>
      <c r="G6" s="50">
        <f>F6*E19</f>
        <v>0</v>
      </c>
      <c r="H6" s="42">
        <v>250</v>
      </c>
      <c r="I6" s="51">
        <f>H4*H6</f>
        <v>5000</v>
      </c>
      <c r="J6" s="50">
        <f>I6*H19</f>
        <v>44316.258182244004</v>
      </c>
    </row>
    <row r="7" spans="1:10" ht="16.5" x14ac:dyDescent="0.3">
      <c r="A7" s="105" t="s">
        <v>41</v>
      </c>
      <c r="B7" s="42">
        <v>4300</v>
      </c>
      <c r="C7" s="47"/>
      <c r="D7" s="50">
        <f>B7</f>
        <v>4300</v>
      </c>
      <c r="E7" s="59">
        <v>0</v>
      </c>
      <c r="F7" s="47"/>
      <c r="G7" s="50">
        <f>E7</f>
        <v>0</v>
      </c>
      <c r="H7" s="42">
        <v>2000</v>
      </c>
      <c r="I7" s="47"/>
      <c r="J7" s="50">
        <f>H7</f>
        <v>2000</v>
      </c>
    </row>
    <row r="8" spans="1:10" ht="16.5" x14ac:dyDescent="0.3">
      <c r="A8" s="105" t="s">
        <v>28</v>
      </c>
      <c r="B8" s="42">
        <v>0</v>
      </c>
      <c r="C8" s="51">
        <f>B4*B8</f>
        <v>0</v>
      </c>
      <c r="D8" s="50">
        <f>C8*B19</f>
        <v>0</v>
      </c>
      <c r="E8" s="59">
        <v>0</v>
      </c>
      <c r="F8" s="51">
        <f>E4*E8</f>
        <v>0</v>
      </c>
      <c r="G8" s="50">
        <f>F8*E19</f>
        <v>0</v>
      </c>
      <c r="H8" s="42">
        <v>3100</v>
      </c>
      <c r="I8" s="51">
        <f>H4*H8</f>
        <v>62000</v>
      </c>
      <c r="J8" s="50">
        <f>I8*H19</f>
        <v>549521.60145982564</v>
      </c>
    </row>
    <row r="9" spans="1:10" ht="16.5" x14ac:dyDescent="0.3">
      <c r="A9" s="105" t="s">
        <v>29</v>
      </c>
      <c r="B9" s="42">
        <v>40</v>
      </c>
      <c r="C9" s="51">
        <f>(B10/B13)*B4*B9</f>
        <v>373.58968295413911</v>
      </c>
      <c r="D9" s="50">
        <f>C9*B19</f>
        <v>2884.7605040500539</v>
      </c>
      <c r="E9" s="59">
        <v>35</v>
      </c>
      <c r="F9" s="51">
        <f>(E10/E13)*E4*E9</f>
        <v>384.61538461538464</v>
      </c>
      <c r="G9" s="50">
        <f>F9*E19</f>
        <v>2969.8980496864642</v>
      </c>
      <c r="H9" s="42">
        <v>125</v>
      </c>
      <c r="I9" s="51">
        <f>(H10/H13)*H4*H9</f>
        <v>45454.545454545463</v>
      </c>
      <c r="J9" s="50">
        <f>I9*H19</f>
        <v>402875.07438403647</v>
      </c>
    </row>
    <row r="10" spans="1:10" ht="16.5" x14ac:dyDescent="0.3">
      <c r="A10" s="105" t="s">
        <v>30</v>
      </c>
      <c r="B10" s="43">
        <v>8760</v>
      </c>
      <c r="C10" s="47"/>
      <c r="D10" s="48"/>
      <c r="E10" s="60">
        <v>8760</v>
      </c>
      <c r="F10" s="47"/>
      <c r="G10" s="48"/>
      <c r="H10" s="43">
        <v>2000</v>
      </c>
      <c r="I10" s="47"/>
      <c r="J10" s="48"/>
    </row>
    <row r="11" spans="1:10" ht="15" x14ac:dyDescent="0.25">
      <c r="A11" s="105" t="s">
        <v>37</v>
      </c>
      <c r="B11" s="43">
        <v>10</v>
      </c>
      <c r="C11" s="47"/>
      <c r="D11" s="48"/>
      <c r="E11" s="60">
        <v>10</v>
      </c>
      <c r="F11" s="47"/>
      <c r="G11" s="48"/>
      <c r="H11" s="43">
        <v>12</v>
      </c>
      <c r="I11" s="47"/>
      <c r="J11" s="48"/>
    </row>
    <row r="12" spans="1:10" ht="15" x14ac:dyDescent="0.25">
      <c r="A12" s="105" t="s">
        <v>35</v>
      </c>
      <c r="B12" s="42">
        <v>60</v>
      </c>
      <c r="C12" s="47"/>
      <c r="D12" s="50">
        <f>B20*B12*B4</f>
        <v>3683.4795212445556</v>
      </c>
      <c r="E12" s="59">
        <v>40</v>
      </c>
      <c r="F12" s="47"/>
      <c r="G12" s="50">
        <f>E20*E12*E4</f>
        <v>2455.6530141630374</v>
      </c>
      <c r="H12" s="42">
        <v>10</v>
      </c>
      <c r="I12" s="47"/>
      <c r="J12" s="50">
        <f>H20*H12*H4</f>
        <v>111.3674836355119</v>
      </c>
    </row>
    <row r="13" spans="1:10" ht="15.75" thickBot="1" x14ac:dyDescent="0.3">
      <c r="A13" s="105" t="s">
        <v>42</v>
      </c>
      <c r="B13" s="43">
        <v>93792.74</v>
      </c>
      <c r="C13" s="47"/>
      <c r="D13" s="48"/>
      <c r="E13" s="60">
        <v>79716</v>
      </c>
      <c r="F13" s="47"/>
      <c r="G13" s="48"/>
      <c r="H13" s="43">
        <v>110</v>
      </c>
      <c r="I13" s="47"/>
      <c r="J13" s="48"/>
    </row>
    <row r="14" spans="1:10" ht="15" x14ac:dyDescent="0.25">
      <c r="A14" s="106" t="s">
        <v>31</v>
      </c>
      <c r="B14" s="67">
        <v>0</v>
      </c>
      <c r="C14" s="66"/>
      <c r="D14" s="48"/>
      <c r="E14" s="64"/>
      <c r="F14" s="47"/>
      <c r="G14" s="48"/>
      <c r="H14" s="65"/>
      <c r="I14" s="47"/>
      <c r="J14" s="48"/>
    </row>
    <row r="15" spans="1:10" ht="15.75" thickBot="1" x14ac:dyDescent="0.3">
      <c r="A15" s="107" t="s">
        <v>32</v>
      </c>
      <c r="B15" s="69">
        <v>0.05</v>
      </c>
      <c r="C15" s="66"/>
      <c r="D15" s="48"/>
      <c r="E15" s="64"/>
      <c r="F15" s="47"/>
      <c r="G15" s="48"/>
      <c r="H15" s="65"/>
      <c r="I15" s="47"/>
      <c r="J15" s="48"/>
    </row>
    <row r="16" spans="1:10" ht="13.5" thickBot="1" x14ac:dyDescent="0.25">
      <c r="A16" s="108"/>
      <c r="B16" s="113" t="s">
        <v>44</v>
      </c>
      <c r="C16" s="68">
        <f>C6+C8+C9</f>
        <v>373.58968295413911</v>
      </c>
      <c r="D16" s="61">
        <f>SUM(D3:D12)</f>
        <v>33368.24002529461</v>
      </c>
      <c r="E16" s="117" t="s">
        <v>44</v>
      </c>
      <c r="F16" s="62">
        <f>F6+F8+F9</f>
        <v>384.61538461538464</v>
      </c>
      <c r="G16" s="61">
        <f>SUM(G3:G12)</f>
        <v>29925.551063849503</v>
      </c>
      <c r="H16" s="117" t="s">
        <v>44</v>
      </c>
      <c r="I16" s="62">
        <f>I6+I8+I9</f>
        <v>112454.54545454547</v>
      </c>
      <c r="J16" s="63">
        <f>SUM(J3:J12)</f>
        <v>1018824.3015097417</v>
      </c>
    </row>
    <row r="17" spans="1:10" ht="13.5" thickBot="1" x14ac:dyDescent="0.25">
      <c r="A17" s="109"/>
      <c r="B17" s="114" t="s">
        <v>50</v>
      </c>
      <c r="C17" s="70"/>
      <c r="D17" s="71">
        <f>D16/B11</f>
        <v>3336.8240025294608</v>
      </c>
      <c r="E17" s="118"/>
      <c r="F17" s="56"/>
      <c r="G17" s="57">
        <f>G16/E11</f>
        <v>2992.5551063849502</v>
      </c>
      <c r="H17" s="118"/>
      <c r="I17" s="56"/>
      <c r="J17" s="57">
        <f>J16/H11</f>
        <v>84902.025125811808</v>
      </c>
    </row>
    <row r="18" spans="1:10" x14ac:dyDescent="0.2">
      <c r="A18" s="110" t="s">
        <v>36</v>
      </c>
      <c r="B18" s="54">
        <f>(1+B15)/(1+B14)-1</f>
        <v>5.0000000000000044E-2</v>
      </c>
      <c r="C18" s="72" t="s">
        <v>51</v>
      </c>
      <c r="D18" s="73">
        <f>B3*B4+B5+B7</f>
        <v>26800</v>
      </c>
      <c r="E18" s="54">
        <f>B18</f>
        <v>5.0000000000000044E-2</v>
      </c>
      <c r="F18" s="74" t="s">
        <v>51</v>
      </c>
      <c r="G18" s="75">
        <f>E3*E4+E5+E7</f>
        <v>24500</v>
      </c>
      <c r="H18" s="54">
        <f>B18</f>
        <v>5.0000000000000044E-2</v>
      </c>
      <c r="I18" s="74" t="s">
        <v>51</v>
      </c>
      <c r="J18" s="75">
        <f>H3*H4+H5+H7</f>
        <v>22000</v>
      </c>
    </row>
    <row r="19" spans="1:10" ht="16.5" x14ac:dyDescent="0.25">
      <c r="A19" s="111" t="s">
        <v>38</v>
      </c>
      <c r="B19" s="54">
        <f>((1+B18)^B11-1)/(B18*(1+B18)^B11)</f>
        <v>7.721734929184807</v>
      </c>
      <c r="C19" s="47"/>
      <c r="D19" s="48"/>
      <c r="E19" s="54">
        <f>((1+E18)^E11-1)/(E18*(1+E18)^E11)</f>
        <v>7.721734929184807</v>
      </c>
      <c r="F19" s="47"/>
      <c r="G19" s="48"/>
      <c r="H19" s="54">
        <f>((1+H18)^H11-1)/(H18*(1+H18)^H11)</f>
        <v>8.8632516364488012</v>
      </c>
      <c r="I19" s="47"/>
      <c r="J19" s="48"/>
    </row>
    <row r="20" spans="1:10" ht="18.75" x14ac:dyDescent="0.3">
      <c r="A20" s="112" t="s">
        <v>39</v>
      </c>
      <c r="B20" s="55">
        <f>1/(1+B18)^B11</f>
        <v>0.61391325354075932</v>
      </c>
      <c r="C20" s="52"/>
      <c r="D20" s="53"/>
      <c r="E20" s="55">
        <f>1/(1+E18)^E11</f>
        <v>0.61391325354075932</v>
      </c>
      <c r="F20" s="52"/>
      <c r="G20" s="53"/>
      <c r="H20" s="55">
        <f>1/(1+H18)^H11</f>
        <v>0.5568374181775595</v>
      </c>
      <c r="I20" s="52"/>
      <c r="J20" s="53"/>
    </row>
    <row r="21" spans="1:10" ht="18" x14ac:dyDescent="0.25">
      <c r="B21" s="41"/>
      <c r="C21" s="41"/>
    </row>
    <row r="22" spans="1:10" ht="18.75" x14ac:dyDescent="0.3">
      <c r="A22" s="39" t="s">
        <v>33</v>
      </c>
      <c r="B22" s="41"/>
      <c r="C22" s="40"/>
    </row>
    <row r="23" spans="1:10" ht="15.75" x14ac:dyDescent="0.25">
      <c r="A23" s="38" t="s">
        <v>34</v>
      </c>
    </row>
  </sheetData>
  <sheetProtection password="DC2F" sheet="1" formatCells="0"/>
  <protectedRanges>
    <protectedRange sqref="H3:H13" name="Range3"/>
    <protectedRange sqref="E3:E13" name="Range2"/>
    <protectedRange sqref="B3:B15" name="Range1"/>
  </protectedRanges>
  <phoneticPr fontId="2" type="noConversion"/>
  <pageMargins left="0.75" right="0.75" top="1" bottom="1" header="0.5" footer="0.5"/>
  <pageSetup orientation="portrait" horizontalDpi="4294967293" verticalDpi="4294967293" r:id="rId1"/>
  <headerFooter alignWithMargins="0"/>
  <ignoredErrors>
    <ignoredError sqref="D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7"/>
  <sheetViews>
    <sheetView workbookViewId="0">
      <selection activeCell="H19" sqref="H19"/>
    </sheetView>
  </sheetViews>
  <sheetFormatPr defaultRowHeight="12.75" x14ac:dyDescent="0.2"/>
  <cols>
    <col min="2" max="2" width="12.85546875" customWidth="1"/>
    <col min="3" max="3" width="15" customWidth="1"/>
    <col min="4" max="4" width="17.28515625" customWidth="1"/>
    <col min="5" max="13" width="10.42578125" bestFit="1" customWidth="1"/>
    <col min="14" max="14" width="11.140625" customWidth="1"/>
  </cols>
  <sheetData>
    <row r="1" spans="2:6" ht="15" x14ac:dyDescent="0.2">
      <c r="B1" s="100" t="s">
        <v>14</v>
      </c>
      <c r="C1" s="98"/>
      <c r="D1" s="98"/>
      <c r="E1" s="98"/>
      <c r="F1" s="101"/>
    </row>
    <row r="2" spans="2:6" ht="14.25" x14ac:dyDescent="0.2">
      <c r="B2" s="119"/>
      <c r="C2" s="120" t="s">
        <v>17</v>
      </c>
      <c r="D2" s="121"/>
      <c r="E2" s="121" t="s">
        <v>19</v>
      </c>
      <c r="F2" s="122"/>
    </row>
    <row r="3" spans="2:6" ht="14.25" x14ac:dyDescent="0.2">
      <c r="B3" s="123"/>
      <c r="C3" s="124" t="s">
        <v>15</v>
      </c>
      <c r="D3" s="16">
        <v>5</v>
      </c>
      <c r="E3" s="17" t="s">
        <v>22</v>
      </c>
      <c r="F3" s="126"/>
    </row>
    <row r="4" spans="2:6" ht="14.25" x14ac:dyDescent="0.2">
      <c r="B4" s="123"/>
      <c r="C4" s="124" t="s">
        <v>16</v>
      </c>
      <c r="D4" s="16">
        <v>0.95</v>
      </c>
      <c r="E4" s="125"/>
      <c r="F4" s="126"/>
    </row>
    <row r="5" spans="2:6" x14ac:dyDescent="0.2">
      <c r="B5" s="37"/>
      <c r="C5" s="13" t="s">
        <v>18</v>
      </c>
      <c r="D5" s="15">
        <f>-LN(D4)/D3</f>
        <v>1.0258658877510115E-2</v>
      </c>
      <c r="E5" s="15" t="s">
        <v>20</v>
      </c>
      <c r="F5" s="19" t="str">
        <f>E3</f>
        <v>yr</v>
      </c>
    </row>
    <row r="6" spans="2:6" x14ac:dyDescent="0.2">
      <c r="B6" s="127" t="s">
        <v>1</v>
      </c>
      <c r="C6" s="128" t="s">
        <v>23</v>
      </c>
      <c r="D6" s="34" t="s">
        <v>24</v>
      </c>
    </row>
    <row r="7" spans="2:6" x14ac:dyDescent="0.2">
      <c r="B7" s="97">
        <v>1</v>
      </c>
      <c r="C7" s="32">
        <v>2.1000000000000001E-2</v>
      </c>
      <c r="D7" s="35">
        <f t="shared" ref="D7:D26" si="0">(C7/$C$27)*$D$5</f>
        <v>4.6731417880197922E-4</v>
      </c>
    </row>
    <row r="8" spans="2:6" x14ac:dyDescent="0.2">
      <c r="B8" s="97">
        <v>2</v>
      </c>
      <c r="C8" s="33">
        <v>4.4999999999999998E-2</v>
      </c>
      <c r="D8" s="35">
        <f t="shared" si="0"/>
        <v>1.0013875260042411E-3</v>
      </c>
    </row>
    <row r="9" spans="2:6" x14ac:dyDescent="0.2">
      <c r="B9" s="97">
        <v>3</v>
      </c>
      <c r="C9" s="33">
        <v>0.12</v>
      </c>
      <c r="D9" s="35">
        <f t="shared" si="0"/>
        <v>2.6703667360113096E-3</v>
      </c>
    </row>
    <row r="10" spans="2:6" x14ac:dyDescent="0.2">
      <c r="B10" s="97">
        <v>4</v>
      </c>
      <c r="C10" s="33">
        <v>2.5000000000000001E-2</v>
      </c>
      <c r="D10" s="35">
        <f t="shared" si="0"/>
        <v>5.5632640333568961E-4</v>
      </c>
    </row>
    <row r="11" spans="2:6" x14ac:dyDescent="0.2">
      <c r="B11" s="97">
        <v>5</v>
      </c>
      <c r="C11" s="33">
        <v>3.5000000000000003E-2</v>
      </c>
      <c r="D11" s="35">
        <f t="shared" si="0"/>
        <v>7.788569646699653E-4</v>
      </c>
    </row>
    <row r="12" spans="2:6" x14ac:dyDescent="0.2">
      <c r="B12" s="97">
        <v>6</v>
      </c>
      <c r="C12" s="33">
        <v>1.8E-3</v>
      </c>
      <c r="D12" s="35">
        <f t="shared" si="0"/>
        <v>4.0055501040169642E-5</v>
      </c>
    </row>
    <row r="13" spans="2:6" x14ac:dyDescent="0.2">
      <c r="B13" s="97">
        <v>7</v>
      </c>
      <c r="C13" s="33">
        <v>5.7000000000000002E-3</v>
      </c>
      <c r="D13" s="35">
        <f t="shared" si="0"/>
        <v>1.2684241996053721E-4</v>
      </c>
    </row>
    <row r="14" spans="2:6" x14ac:dyDescent="0.2">
      <c r="B14" s="97">
        <v>8</v>
      </c>
      <c r="C14" s="33">
        <v>0.04</v>
      </c>
      <c r="D14" s="35">
        <f t="shared" si="0"/>
        <v>8.9012224533710331E-4</v>
      </c>
    </row>
    <row r="15" spans="2:6" x14ac:dyDescent="0.2">
      <c r="B15" s="97">
        <v>9</v>
      </c>
      <c r="C15" s="33">
        <v>3.5999999999999997E-2</v>
      </c>
      <c r="D15" s="35">
        <f t="shared" si="0"/>
        <v>8.0111002080339281E-4</v>
      </c>
    </row>
    <row r="16" spans="2:6" x14ac:dyDescent="0.2">
      <c r="B16" s="97">
        <v>10</v>
      </c>
      <c r="C16" s="33">
        <v>9.1999999999999998E-2</v>
      </c>
      <c r="D16" s="35">
        <f t="shared" si="0"/>
        <v>2.0472811642753374E-3</v>
      </c>
    </row>
    <row r="17" spans="2:4" x14ac:dyDescent="0.2">
      <c r="B17" s="97">
        <v>11</v>
      </c>
      <c r="C17" s="33">
        <v>3.5000000000000003E-2</v>
      </c>
      <c r="D17" s="35">
        <f t="shared" si="0"/>
        <v>7.788569646699653E-4</v>
      </c>
    </row>
    <row r="18" spans="2:4" x14ac:dyDescent="0.2">
      <c r="B18" s="97">
        <v>12</v>
      </c>
      <c r="C18" s="33">
        <v>4.4999999999999997E-3</v>
      </c>
      <c r="D18" s="35">
        <f t="shared" si="0"/>
        <v>1.001387526004241E-4</v>
      </c>
    </row>
    <row r="19" spans="2:4" x14ac:dyDescent="0.2">
      <c r="B19" s="97">
        <v>13</v>
      </c>
      <c r="C19" s="33">
        <v>0</v>
      </c>
      <c r="D19" s="35">
        <f t="shared" si="0"/>
        <v>0</v>
      </c>
    </row>
    <row r="20" spans="2:4" x14ac:dyDescent="0.2">
      <c r="B20" s="97">
        <v>14</v>
      </c>
      <c r="C20" s="33">
        <v>0</v>
      </c>
      <c r="D20" s="35">
        <f t="shared" si="0"/>
        <v>0</v>
      </c>
    </row>
    <row r="21" spans="2:4" x14ac:dyDescent="0.2">
      <c r="B21" s="97">
        <v>15</v>
      </c>
      <c r="C21" s="33">
        <v>0</v>
      </c>
      <c r="D21" s="35">
        <f t="shared" si="0"/>
        <v>0</v>
      </c>
    </row>
    <row r="22" spans="2:4" x14ac:dyDescent="0.2">
      <c r="B22" s="97">
        <v>16</v>
      </c>
      <c r="C22" s="33">
        <v>0</v>
      </c>
      <c r="D22" s="35">
        <f t="shared" si="0"/>
        <v>0</v>
      </c>
    </row>
    <row r="23" spans="2:4" x14ac:dyDescent="0.2">
      <c r="B23" s="97">
        <v>17</v>
      </c>
      <c r="C23" s="33">
        <v>0</v>
      </c>
      <c r="D23" s="35">
        <f t="shared" si="0"/>
        <v>0</v>
      </c>
    </row>
    <row r="24" spans="2:4" x14ac:dyDescent="0.2">
      <c r="B24" s="97">
        <v>18</v>
      </c>
      <c r="C24" s="33">
        <v>0</v>
      </c>
      <c r="D24" s="35">
        <f t="shared" si="0"/>
        <v>0</v>
      </c>
    </row>
    <row r="25" spans="2:4" x14ac:dyDescent="0.2">
      <c r="B25" s="97">
        <v>19</v>
      </c>
      <c r="C25" s="33">
        <v>0</v>
      </c>
      <c r="D25" s="35">
        <f t="shared" si="0"/>
        <v>0</v>
      </c>
    </row>
    <row r="26" spans="2:4" x14ac:dyDescent="0.2">
      <c r="B26" s="97">
        <v>20</v>
      </c>
      <c r="C26" s="33">
        <v>0</v>
      </c>
      <c r="D26" s="35">
        <f t="shared" si="0"/>
        <v>0</v>
      </c>
    </row>
    <row r="27" spans="2:4" x14ac:dyDescent="0.2">
      <c r="B27" s="129" t="s">
        <v>21</v>
      </c>
      <c r="C27" s="20">
        <f>SUM(C7:C26)</f>
        <v>0.46100000000000002</v>
      </c>
      <c r="D27" s="36">
        <f>SUM(D7:D26)</f>
        <v>1.0258658877510115E-2</v>
      </c>
    </row>
  </sheetData>
  <sheetProtection password="DC2F" sheet="1" objects="1" scenarios="1" formatCells="0"/>
  <protectedRanges>
    <protectedRange sqref="C7:C26" name="Range2"/>
    <protectedRange sqref="D3:E4" name="Range1"/>
  </protectedRanges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7"/>
  <sheetViews>
    <sheetView workbookViewId="0">
      <selection activeCell="I6" sqref="I6"/>
    </sheetView>
  </sheetViews>
  <sheetFormatPr defaultRowHeight="12.75" x14ac:dyDescent="0.2"/>
  <cols>
    <col min="2" max="2" width="13.140625" customWidth="1"/>
    <col min="3" max="3" width="12.7109375" customWidth="1"/>
    <col min="4" max="4" width="10.28515625" customWidth="1"/>
    <col min="5" max="5" width="12.140625" customWidth="1"/>
    <col min="6" max="6" width="11" customWidth="1"/>
  </cols>
  <sheetData>
    <row r="1" spans="2:7" ht="15" x14ac:dyDescent="0.2">
      <c r="B1" s="96" t="s">
        <v>0</v>
      </c>
      <c r="C1" s="97"/>
      <c r="D1" s="97"/>
      <c r="E1" s="97"/>
      <c r="F1" s="99"/>
    </row>
    <row r="2" spans="2:7" x14ac:dyDescent="0.2">
      <c r="B2" s="130" t="s">
        <v>8</v>
      </c>
      <c r="C2" s="2">
        <v>1000</v>
      </c>
      <c r="D2" s="142" t="s">
        <v>9</v>
      </c>
      <c r="E2" s="3">
        <v>0.99</v>
      </c>
      <c r="F2" s="141"/>
    </row>
    <row r="3" spans="2:7" x14ac:dyDescent="0.2">
      <c r="B3" s="131" t="s">
        <v>12</v>
      </c>
      <c r="C3" s="102"/>
      <c r="D3" s="102"/>
      <c r="E3" s="102"/>
      <c r="F3" s="143"/>
    </row>
    <row r="4" spans="2:7" ht="25.5" x14ac:dyDescent="0.2">
      <c r="B4" s="132" t="s">
        <v>1</v>
      </c>
      <c r="C4" s="139" t="s">
        <v>2</v>
      </c>
      <c r="D4" s="140" t="s">
        <v>3</v>
      </c>
      <c r="E4" s="139" t="s">
        <v>4</v>
      </c>
      <c r="F4" s="21" t="s">
        <v>10</v>
      </c>
    </row>
    <row r="5" spans="2:7" x14ac:dyDescent="0.2">
      <c r="B5" s="133">
        <v>1</v>
      </c>
      <c r="C5" s="4">
        <v>0.8</v>
      </c>
      <c r="D5" s="5">
        <v>1000</v>
      </c>
      <c r="E5" s="6">
        <v>25</v>
      </c>
      <c r="F5" s="22">
        <f>$F$15^E5</f>
        <v>0.99811262246650456</v>
      </c>
    </row>
    <row r="6" spans="2:7" x14ac:dyDescent="0.2">
      <c r="B6" s="134">
        <v>2</v>
      </c>
      <c r="C6" s="7">
        <v>1</v>
      </c>
      <c r="D6" s="8">
        <v>1000</v>
      </c>
      <c r="E6" s="9">
        <v>15</v>
      </c>
      <c r="F6" s="22">
        <f t="shared" ref="F6:F14" si="0">$F$15^E6</f>
        <v>0.99886714563970191</v>
      </c>
    </row>
    <row r="7" spans="2:7" x14ac:dyDescent="0.2">
      <c r="B7" s="134">
        <v>3</v>
      </c>
      <c r="C7" s="7">
        <v>0.7</v>
      </c>
      <c r="D7" s="8">
        <v>500</v>
      </c>
      <c r="E7" s="9">
        <v>23</v>
      </c>
      <c r="F7" s="22">
        <f t="shared" si="0"/>
        <v>0.99826348149129029</v>
      </c>
    </row>
    <row r="8" spans="2:7" x14ac:dyDescent="0.2">
      <c r="B8" s="134">
        <v>4</v>
      </c>
      <c r="C8" s="7">
        <v>1</v>
      </c>
      <c r="D8" s="8">
        <v>1000</v>
      </c>
      <c r="E8" s="9">
        <v>70</v>
      </c>
      <c r="F8" s="22">
        <f t="shared" si="0"/>
        <v>0.99472431511655646</v>
      </c>
    </row>
    <row r="9" spans="2:7" x14ac:dyDescent="0.2">
      <c r="B9" s="134">
        <v>5</v>
      </c>
      <c r="C9" s="7">
        <v>1</v>
      </c>
      <c r="D9" s="8">
        <v>1</v>
      </c>
      <c r="E9" s="9">
        <v>0</v>
      </c>
      <c r="F9" s="22">
        <f t="shared" si="0"/>
        <v>1</v>
      </c>
    </row>
    <row r="10" spans="2:7" x14ac:dyDescent="0.2">
      <c r="B10" s="134">
        <v>6</v>
      </c>
      <c r="C10" s="7">
        <v>1</v>
      </c>
      <c r="D10" s="8">
        <v>1</v>
      </c>
      <c r="E10" s="9">
        <v>0</v>
      </c>
      <c r="F10" s="22">
        <f t="shared" si="0"/>
        <v>1</v>
      </c>
    </row>
    <row r="11" spans="2:7" x14ac:dyDescent="0.2">
      <c r="B11" s="134">
        <v>7</v>
      </c>
      <c r="C11" s="7">
        <v>1</v>
      </c>
      <c r="D11" s="8">
        <v>1</v>
      </c>
      <c r="E11" s="9">
        <v>0</v>
      </c>
      <c r="F11" s="22">
        <f t="shared" si="0"/>
        <v>1</v>
      </c>
    </row>
    <row r="12" spans="2:7" x14ac:dyDescent="0.2">
      <c r="B12" s="134">
        <v>8</v>
      </c>
      <c r="C12" s="7">
        <v>1</v>
      </c>
      <c r="D12" s="8">
        <v>1</v>
      </c>
      <c r="E12" s="9">
        <v>0</v>
      </c>
      <c r="F12" s="22">
        <f t="shared" si="0"/>
        <v>1</v>
      </c>
    </row>
    <row r="13" spans="2:7" x14ac:dyDescent="0.2">
      <c r="B13" s="134">
        <v>9</v>
      </c>
      <c r="C13" s="7">
        <v>1</v>
      </c>
      <c r="D13" s="8">
        <v>1</v>
      </c>
      <c r="E13" s="9">
        <v>0</v>
      </c>
      <c r="F13" s="22">
        <f t="shared" si="0"/>
        <v>1</v>
      </c>
    </row>
    <row r="14" spans="2:7" x14ac:dyDescent="0.2">
      <c r="B14" s="135">
        <v>10</v>
      </c>
      <c r="C14" s="10">
        <v>1</v>
      </c>
      <c r="D14" s="2">
        <v>1</v>
      </c>
      <c r="E14" s="11">
        <v>0</v>
      </c>
      <c r="F14" s="23">
        <f t="shared" si="0"/>
        <v>1</v>
      </c>
    </row>
    <row r="15" spans="2:7" x14ac:dyDescent="0.2">
      <c r="B15" s="136"/>
      <c r="C15" s="137"/>
      <c r="D15" s="138"/>
      <c r="E15" s="24">
        <f>SUM(E5:E14)</f>
        <v>133</v>
      </c>
      <c r="F15" s="21">
        <f>E2^(1/E15)</f>
        <v>0.99992443642008244</v>
      </c>
    </row>
    <row r="16" spans="2:7" ht="25.5" x14ac:dyDescent="0.2">
      <c r="B16" s="132" t="s">
        <v>1</v>
      </c>
      <c r="C16" s="139" t="s">
        <v>5</v>
      </c>
      <c r="D16" s="140" t="s">
        <v>6</v>
      </c>
      <c r="E16" s="139" t="s">
        <v>11</v>
      </c>
      <c r="F16" s="140" t="s">
        <v>7</v>
      </c>
      <c r="G16" s="1"/>
    </row>
    <row r="17" spans="2:6" x14ac:dyDescent="0.2">
      <c r="B17" s="133">
        <v>1</v>
      </c>
      <c r="C17" s="18">
        <f>(-1/D5)*LN(1-(1-F5)/C5)</f>
        <v>2.362009265741862E-6</v>
      </c>
      <c r="D17" s="25">
        <f>IF(C17&gt;0,1/C17,"")</f>
        <v>423368.36459696066</v>
      </c>
      <c r="E17" s="26">
        <f t="shared" ref="E17:E26" si="1">EXP(-C17*D5)</f>
        <v>0.99764077808313067</v>
      </c>
      <c r="F17" s="22">
        <f>1-C5+C5*EXP(-C17*D5)</f>
        <v>0.99811262246650456</v>
      </c>
    </row>
    <row r="18" spans="2:6" x14ac:dyDescent="0.2">
      <c r="B18" s="134">
        <v>2</v>
      </c>
      <c r="C18" s="18">
        <f t="shared" ref="C18:C26" si="2">(-1/D6)*LN(1-(1-$F$15^E6)/C6)</f>
        <v>1.1334965248306485E-6</v>
      </c>
      <c r="D18" s="25">
        <f t="shared" ref="D18:D26" si="3">IF(C18&gt;0,1/C18,"")</f>
        <v>882225.90726460877</v>
      </c>
      <c r="E18" s="26">
        <f t="shared" si="1"/>
        <v>0.99886714563970191</v>
      </c>
      <c r="F18" s="22">
        <f t="shared" ref="F18:F26" si="4">1-C6+C6*EXP(-C18*D6)</f>
        <v>0.99886714563970191</v>
      </c>
    </row>
    <row r="19" spans="2:6" x14ac:dyDescent="0.2">
      <c r="B19" s="134">
        <v>3</v>
      </c>
      <c r="C19" s="18">
        <f t="shared" si="2"/>
        <v>4.9676457247590168E-6</v>
      </c>
      <c r="D19" s="25">
        <f t="shared" si="3"/>
        <v>201302.59994506967</v>
      </c>
      <c r="E19" s="26">
        <f t="shared" si="1"/>
        <v>0.9975192592732719</v>
      </c>
      <c r="F19" s="22">
        <f t="shared" si="4"/>
        <v>0.99826348149129029</v>
      </c>
    </row>
    <row r="20" spans="2:6" x14ac:dyDescent="0.2">
      <c r="B20" s="134">
        <v>4</v>
      </c>
      <c r="C20" s="18">
        <f t="shared" si="2"/>
        <v>5.2896504492098724E-6</v>
      </c>
      <c r="D20" s="25">
        <f t="shared" si="3"/>
        <v>189048.40869955262</v>
      </c>
      <c r="E20" s="26">
        <f t="shared" si="1"/>
        <v>0.99472431511655646</v>
      </c>
      <c r="F20" s="22">
        <f t="shared" si="4"/>
        <v>0.99472431511655646</v>
      </c>
    </row>
    <row r="21" spans="2:6" x14ac:dyDescent="0.2">
      <c r="B21" s="134">
        <v>5</v>
      </c>
      <c r="C21" s="18">
        <f t="shared" si="2"/>
        <v>0</v>
      </c>
      <c r="D21" s="25" t="str">
        <f t="shared" si="3"/>
        <v/>
      </c>
      <c r="E21" s="26">
        <f t="shared" si="1"/>
        <v>1</v>
      </c>
      <c r="F21" s="22">
        <f t="shared" si="4"/>
        <v>1</v>
      </c>
    </row>
    <row r="22" spans="2:6" x14ac:dyDescent="0.2">
      <c r="B22" s="134">
        <v>6</v>
      </c>
      <c r="C22" s="18">
        <f t="shared" si="2"/>
        <v>0</v>
      </c>
      <c r="D22" s="25" t="str">
        <f t="shared" si="3"/>
        <v/>
      </c>
      <c r="E22" s="26">
        <f t="shared" si="1"/>
        <v>1</v>
      </c>
      <c r="F22" s="22">
        <f t="shared" si="4"/>
        <v>1</v>
      </c>
    </row>
    <row r="23" spans="2:6" x14ac:dyDescent="0.2">
      <c r="B23" s="134">
        <v>7</v>
      </c>
      <c r="C23" s="18">
        <f t="shared" si="2"/>
        <v>0</v>
      </c>
      <c r="D23" s="25" t="str">
        <f t="shared" si="3"/>
        <v/>
      </c>
      <c r="E23" s="26">
        <f t="shared" si="1"/>
        <v>1</v>
      </c>
      <c r="F23" s="22">
        <f t="shared" si="4"/>
        <v>1</v>
      </c>
    </row>
    <row r="24" spans="2:6" x14ac:dyDescent="0.2">
      <c r="B24" s="134">
        <v>8</v>
      </c>
      <c r="C24" s="18">
        <f t="shared" si="2"/>
        <v>0</v>
      </c>
      <c r="D24" s="25" t="str">
        <f t="shared" si="3"/>
        <v/>
      </c>
      <c r="E24" s="26">
        <f t="shared" si="1"/>
        <v>1</v>
      </c>
      <c r="F24" s="22">
        <f t="shared" si="4"/>
        <v>1</v>
      </c>
    </row>
    <row r="25" spans="2:6" x14ac:dyDescent="0.2">
      <c r="B25" s="134">
        <v>9</v>
      </c>
      <c r="C25" s="18">
        <f t="shared" si="2"/>
        <v>0</v>
      </c>
      <c r="D25" s="25" t="str">
        <f t="shared" si="3"/>
        <v/>
      </c>
      <c r="E25" s="26">
        <f t="shared" si="1"/>
        <v>1</v>
      </c>
      <c r="F25" s="22">
        <f t="shared" si="4"/>
        <v>1</v>
      </c>
    </row>
    <row r="26" spans="2:6" x14ac:dyDescent="0.2">
      <c r="B26" s="135">
        <v>10</v>
      </c>
      <c r="C26" s="12">
        <f t="shared" si="2"/>
        <v>0</v>
      </c>
      <c r="D26" s="27" t="str">
        <f t="shared" si="3"/>
        <v/>
      </c>
      <c r="E26" s="28">
        <f t="shared" si="1"/>
        <v>1</v>
      </c>
      <c r="F26" s="23">
        <f t="shared" si="4"/>
        <v>1</v>
      </c>
    </row>
    <row r="27" spans="2:6" x14ac:dyDescent="0.2">
      <c r="B27" s="136" t="s">
        <v>13</v>
      </c>
      <c r="C27" s="14">
        <f>SUM(C17:C26)</f>
        <v>1.37528019645414E-5</v>
      </c>
      <c r="D27" s="29">
        <f>1/C27</f>
        <v>72712.455438410427</v>
      </c>
      <c r="E27" s="30">
        <f>PRODUCT(E17:E26)</f>
        <v>0.98879427800552766</v>
      </c>
      <c r="F27" s="31">
        <f>PRODUCT(F17:F26)</f>
        <v>0.99000000000000299</v>
      </c>
    </row>
  </sheetData>
  <sheetProtection password="DC2F" sheet="1" objects="1" scenarios="1" formatCells="0"/>
  <protectedRanges>
    <protectedRange sqref="C5:E14" name="Range3"/>
    <protectedRange sqref="E2" name="Range2"/>
    <protectedRange sqref="C2" name="Range1"/>
  </protectedRange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zoomScale="85" zoomScaleNormal="85" workbookViewId="0">
      <selection activeCell="I11" sqref="I11"/>
    </sheetView>
  </sheetViews>
  <sheetFormatPr defaultRowHeight="12.75" x14ac:dyDescent="0.2"/>
  <cols>
    <col min="1" max="1" width="14.28515625" customWidth="1"/>
    <col min="2" max="2" width="13.140625" customWidth="1"/>
    <col min="3" max="3" width="11.7109375" customWidth="1"/>
    <col min="4" max="4" width="9.140625" customWidth="1"/>
    <col min="5" max="5" width="11.140625" customWidth="1"/>
    <col min="6" max="6" width="12" customWidth="1"/>
    <col min="7" max="7" width="12.7109375" customWidth="1"/>
  </cols>
  <sheetData>
    <row r="1" spans="1:7" ht="15" x14ac:dyDescent="0.2">
      <c r="A1" s="96" t="s">
        <v>60</v>
      </c>
      <c r="B1" s="97"/>
      <c r="C1" s="98"/>
      <c r="D1" s="98"/>
      <c r="E1" s="97"/>
      <c r="F1" s="97"/>
      <c r="G1" s="99"/>
    </row>
    <row r="2" spans="1:7" ht="15" x14ac:dyDescent="0.2">
      <c r="A2" s="144"/>
      <c r="B2" s="145" t="s">
        <v>52</v>
      </c>
      <c r="C2" s="145" t="s">
        <v>54</v>
      </c>
      <c r="D2" s="101"/>
      <c r="E2" s="146" t="s">
        <v>56</v>
      </c>
      <c r="F2" s="147" t="s">
        <v>52</v>
      </c>
      <c r="G2" s="147" t="s">
        <v>58</v>
      </c>
    </row>
    <row r="3" spans="1:7" ht="17.25" customHeight="1" x14ac:dyDescent="0.25">
      <c r="A3" s="148" t="s">
        <v>63</v>
      </c>
      <c r="B3" s="130"/>
      <c r="C3" s="149" t="s">
        <v>53</v>
      </c>
      <c r="D3" s="150" t="s">
        <v>55</v>
      </c>
      <c r="E3" s="150" t="s">
        <v>57</v>
      </c>
      <c r="F3" s="141"/>
      <c r="G3" s="151" t="s">
        <v>59</v>
      </c>
    </row>
    <row r="4" spans="1:7" ht="21.75" customHeight="1" thickBot="1" x14ac:dyDescent="0.3">
      <c r="A4" s="108" t="s">
        <v>64</v>
      </c>
      <c r="B4" s="152"/>
      <c r="C4" s="82">
        <v>100</v>
      </c>
      <c r="D4" s="83">
        <v>75</v>
      </c>
      <c r="E4" s="84">
        <v>1</v>
      </c>
      <c r="F4" s="163"/>
      <c r="G4" s="84">
        <v>1.8</v>
      </c>
    </row>
    <row r="5" spans="1:7" ht="8.25" customHeight="1" thickBot="1" x14ac:dyDescent="0.25">
      <c r="A5" s="153"/>
      <c r="B5" s="154"/>
      <c r="C5" s="81"/>
      <c r="D5" s="81"/>
      <c r="E5" s="81"/>
      <c r="F5" s="76"/>
      <c r="G5" s="85"/>
    </row>
    <row r="6" spans="1:7" x14ac:dyDescent="0.2">
      <c r="A6" s="155"/>
      <c r="B6" s="130"/>
      <c r="C6" s="157" t="s">
        <v>54</v>
      </c>
      <c r="D6" s="160"/>
      <c r="E6" s="161" t="s">
        <v>56</v>
      </c>
      <c r="F6" s="162" t="s">
        <v>58</v>
      </c>
      <c r="G6" s="141"/>
    </row>
    <row r="7" spans="1:7" ht="18" x14ac:dyDescent="0.25">
      <c r="A7" s="156" t="s">
        <v>65</v>
      </c>
      <c r="B7" s="157" t="s">
        <v>52</v>
      </c>
      <c r="C7" s="149" t="s">
        <v>53</v>
      </c>
      <c r="D7" s="150" t="s">
        <v>55</v>
      </c>
      <c r="E7" s="150" t="s">
        <v>57</v>
      </c>
      <c r="F7" s="151" t="s">
        <v>59</v>
      </c>
      <c r="G7" s="162" t="s">
        <v>52</v>
      </c>
    </row>
    <row r="8" spans="1:7" ht="15.75" customHeight="1" x14ac:dyDescent="0.25">
      <c r="A8" s="155" t="s">
        <v>64</v>
      </c>
      <c r="B8" s="152"/>
      <c r="C8" s="82">
        <v>200</v>
      </c>
      <c r="D8" s="83">
        <v>50</v>
      </c>
      <c r="E8" s="84">
        <v>1.2</v>
      </c>
      <c r="F8" s="84">
        <v>1.8</v>
      </c>
      <c r="G8" s="163"/>
    </row>
    <row r="9" spans="1:7" ht="15" x14ac:dyDescent="0.25">
      <c r="A9" s="102"/>
      <c r="B9" s="158" t="s">
        <v>66</v>
      </c>
      <c r="C9" s="158" t="s">
        <v>66</v>
      </c>
      <c r="D9" s="165">
        <f>SQRT(D4^2+D8^2)</f>
        <v>90.13878188659973</v>
      </c>
      <c r="E9" s="158" t="s">
        <v>66</v>
      </c>
      <c r="F9" s="164" t="s">
        <v>67</v>
      </c>
      <c r="G9" s="164" t="s">
        <v>68</v>
      </c>
    </row>
    <row r="10" spans="1:7" ht="15" x14ac:dyDescent="0.2">
      <c r="A10" s="159" t="s">
        <v>61</v>
      </c>
      <c r="B10" s="78" t="s">
        <v>62</v>
      </c>
      <c r="C10" s="91"/>
      <c r="D10" s="91"/>
      <c r="E10" s="95">
        <f>EXP(E4^2/2)/EXP(E8^2/2)</f>
        <v>0.8025187979624786</v>
      </c>
      <c r="F10" s="78"/>
      <c r="G10" s="94"/>
    </row>
    <row r="11" spans="1:7" ht="14.25" x14ac:dyDescent="0.2">
      <c r="A11" s="77">
        <v>1</v>
      </c>
      <c r="B11" s="87">
        <f>1/(1+A11)</f>
        <v>0.5</v>
      </c>
      <c r="C11" s="92">
        <f t="shared" ref="C11:C30" si="0">NORMSDIST(($C$8-A11*$C$4)/(SQRT($D$4^2+$D$8^2)))</f>
        <v>0.86637125342280608</v>
      </c>
      <c r="D11" s="93"/>
      <c r="E11" s="86">
        <f>1-NORMSDIST(LN(A11*$E$10)/SQRT($E$4^2+$E$8^2))</f>
        <v>0.55600205305131234</v>
      </c>
      <c r="F11" s="92">
        <f>(1/(1+A11/$F$8))^$F$8</f>
        <v>0.45144625303760305</v>
      </c>
      <c r="G11" s="86">
        <f>1-(1/(1+1/(A11*$G$4))^$G$4)</f>
        <v>0.54855374696239689</v>
      </c>
    </row>
    <row r="12" spans="1:7" ht="14.25" x14ac:dyDescent="0.2">
      <c r="A12" s="77">
        <v>2</v>
      </c>
      <c r="B12" s="87">
        <f t="shared" ref="B12:B29" si="1">1/(1+A12)</f>
        <v>0.33333333333333331</v>
      </c>
      <c r="C12" s="87">
        <f t="shared" si="0"/>
        <v>0.5</v>
      </c>
      <c r="D12" s="89"/>
      <c r="E12" s="79">
        <f t="shared" ref="E12:E30" si="2">1-NORMSDIST(LN(A12*$E$10)/SQRT($E$4^2+$E$8^2))</f>
        <v>0.38098248553324587</v>
      </c>
      <c r="F12" s="87">
        <f>(1/(1+A12/$F$8))^$F$8</f>
        <v>0.26054337542655431</v>
      </c>
      <c r="G12" s="79">
        <f t="shared" ref="G12:G30" si="3">1-(1/(1+1/(A12*$G$4))^$G$4)</f>
        <v>0.35674909728746074</v>
      </c>
    </row>
    <row r="13" spans="1:7" ht="14.25" x14ac:dyDescent="0.2">
      <c r="A13" s="77">
        <v>3</v>
      </c>
      <c r="B13" s="87">
        <f t="shared" si="1"/>
        <v>0.25</v>
      </c>
      <c r="C13" s="87">
        <f t="shared" si="0"/>
        <v>0.1336287465771939</v>
      </c>
      <c r="D13" s="89"/>
      <c r="E13" s="79">
        <f t="shared" si="2"/>
        <v>0.28689659731695594</v>
      </c>
      <c r="F13" s="87">
        <f t="shared" ref="F13:F30" si="4">(1/(1+A13/$F$8))^$F$8</f>
        <v>0.17110247115746413</v>
      </c>
      <c r="G13" s="79">
        <f t="shared" si="3"/>
        <v>0.26347954206751478</v>
      </c>
    </row>
    <row r="14" spans="1:7" ht="14.25" x14ac:dyDescent="0.2">
      <c r="A14" s="77">
        <v>4</v>
      </c>
      <c r="B14" s="87">
        <f t="shared" si="1"/>
        <v>0.2</v>
      </c>
      <c r="C14" s="87">
        <f t="shared" si="0"/>
        <v>1.3250140301245937E-2</v>
      </c>
      <c r="D14" s="89"/>
      <c r="E14" s="79">
        <f t="shared" si="2"/>
        <v>0.2276394050382512</v>
      </c>
      <c r="F14" s="87">
        <f t="shared" si="4"/>
        <v>0.12170827882893183</v>
      </c>
      <c r="G14" s="79">
        <f t="shared" si="3"/>
        <v>0.20871385908647155</v>
      </c>
    </row>
    <row r="15" spans="1:7" ht="14.25" x14ac:dyDescent="0.2">
      <c r="A15" s="77">
        <v>5</v>
      </c>
      <c r="B15" s="87">
        <f t="shared" si="1"/>
        <v>0.16666666666666666</v>
      </c>
      <c r="C15" s="87">
        <f t="shared" si="0"/>
        <v>4.3704360564923695E-4</v>
      </c>
      <c r="D15" s="89"/>
      <c r="E15" s="79">
        <f t="shared" si="2"/>
        <v>0.18686815818411384</v>
      </c>
      <c r="F15" s="87">
        <f t="shared" si="4"/>
        <v>9.1405949914871734E-2</v>
      </c>
      <c r="G15" s="79">
        <f t="shared" si="3"/>
        <v>0.17275049304389078</v>
      </c>
    </row>
    <row r="16" spans="1:7" ht="14.25" x14ac:dyDescent="0.2">
      <c r="A16" s="77">
        <v>6</v>
      </c>
      <c r="B16" s="87">
        <f t="shared" si="1"/>
        <v>0.14285714285714285</v>
      </c>
      <c r="C16" s="87">
        <f t="shared" si="0"/>
        <v>4.5483400365295964E-6</v>
      </c>
      <c r="D16" s="89"/>
      <c r="E16" s="79">
        <f t="shared" si="2"/>
        <v>0.15715586450593433</v>
      </c>
      <c r="F16" s="87">
        <f t="shared" si="4"/>
        <v>7.1403619058438561E-2</v>
      </c>
      <c r="G16" s="79">
        <f t="shared" si="3"/>
        <v>0.14734145895482853</v>
      </c>
    </row>
    <row r="17" spans="1:7" ht="14.25" x14ac:dyDescent="0.2">
      <c r="A17" s="77">
        <v>7</v>
      </c>
      <c r="B17" s="87">
        <f t="shared" si="1"/>
        <v>0.125</v>
      </c>
      <c r="C17" s="87">
        <f t="shared" si="0"/>
        <v>1.4530474100349089E-8</v>
      </c>
      <c r="D17" s="89"/>
      <c r="E17" s="79">
        <f t="shared" si="2"/>
        <v>0.13460129813596566</v>
      </c>
      <c r="F17" s="87">
        <f t="shared" si="4"/>
        <v>5.7467419920130484E-2</v>
      </c>
      <c r="G17" s="79">
        <f t="shared" si="3"/>
        <v>0.12844069048108564</v>
      </c>
    </row>
    <row r="18" spans="1:7" ht="14.25" x14ac:dyDescent="0.2">
      <c r="A18" s="77">
        <v>8</v>
      </c>
      <c r="B18" s="87">
        <f t="shared" si="1"/>
        <v>0.1111111111111111</v>
      </c>
      <c r="C18" s="87">
        <f t="shared" si="0"/>
        <v>1.4030570477120404E-11</v>
      </c>
      <c r="D18" s="89"/>
      <c r="E18" s="79">
        <f t="shared" si="2"/>
        <v>0.11694746121512445</v>
      </c>
      <c r="F18" s="87">
        <f t="shared" si="4"/>
        <v>4.7346030435024729E-2</v>
      </c>
      <c r="G18" s="79">
        <f t="shared" si="3"/>
        <v>0.11383378563434854</v>
      </c>
    </row>
    <row r="19" spans="1:7" ht="14.25" x14ac:dyDescent="0.2">
      <c r="A19" s="77">
        <v>9</v>
      </c>
      <c r="B19" s="87">
        <f t="shared" si="1"/>
        <v>0.1</v>
      </c>
      <c r="C19" s="87">
        <f t="shared" si="0"/>
        <v>4.0564864670418241E-15</v>
      </c>
      <c r="D19" s="89"/>
      <c r="E19" s="79">
        <f t="shared" si="2"/>
        <v>0.10279443731129889</v>
      </c>
      <c r="F19" s="87">
        <f t="shared" si="4"/>
        <v>3.9749141141812647E-2</v>
      </c>
      <c r="G19" s="79">
        <f t="shared" si="3"/>
        <v>0.10220781281159697</v>
      </c>
    </row>
    <row r="20" spans="1:7" ht="14.25" x14ac:dyDescent="0.2">
      <c r="A20" s="77">
        <v>10</v>
      </c>
      <c r="B20" s="87">
        <f t="shared" si="1"/>
        <v>9.0909090909090912E-2</v>
      </c>
      <c r="C20" s="87">
        <f t="shared" si="0"/>
        <v>3.4902943050879198E-19</v>
      </c>
      <c r="D20" s="89"/>
      <c r="E20" s="79">
        <f t="shared" si="2"/>
        <v>9.1226776380278762E-2</v>
      </c>
      <c r="F20" s="87">
        <f t="shared" si="4"/>
        <v>3.3892444693776586E-2</v>
      </c>
      <c r="G20" s="79">
        <f t="shared" si="3"/>
        <v>9.2735271037358236E-2</v>
      </c>
    </row>
    <row r="21" spans="1:7" ht="14.25" x14ac:dyDescent="0.2">
      <c r="A21" s="77">
        <v>11</v>
      </c>
      <c r="B21" s="87">
        <f>1/(1+A21)</f>
        <v>8.3333333333333329E-2</v>
      </c>
      <c r="C21" s="87">
        <f t="shared" si="0"/>
        <v>8.9005639965592333E-24</v>
      </c>
      <c r="D21" s="89"/>
      <c r="E21" s="79">
        <f t="shared" si="2"/>
        <v>8.1620371019661242E-2</v>
      </c>
      <c r="F21" s="87">
        <f t="shared" si="4"/>
        <v>2.9276055636190842E-2</v>
      </c>
      <c r="G21" s="79">
        <f t="shared" si="3"/>
        <v>8.4868847774113632E-2</v>
      </c>
    </row>
    <row r="22" spans="1:7" ht="14.25" x14ac:dyDescent="0.2">
      <c r="A22" s="77">
        <v>12</v>
      </c>
      <c r="B22" s="87">
        <f t="shared" si="1"/>
        <v>7.6923076923076927E-2</v>
      </c>
      <c r="C22" s="87">
        <f t="shared" si="0"/>
        <v>6.7073009800108677E-29</v>
      </c>
      <c r="D22" s="89"/>
      <c r="E22" s="79">
        <f t="shared" si="2"/>
        <v>7.3535129273161082E-2</v>
      </c>
      <c r="F22" s="87">
        <f t="shared" si="4"/>
        <v>2.5568670921519113E-2</v>
      </c>
      <c r="G22" s="79">
        <f t="shared" si="3"/>
        <v>7.8232139068664219E-2</v>
      </c>
    </row>
    <row r="23" spans="1:7" ht="14.25" x14ac:dyDescent="0.2">
      <c r="A23" s="77">
        <v>13</v>
      </c>
      <c r="B23" s="87">
        <f t="shared" si="1"/>
        <v>7.1428571428571425E-2</v>
      </c>
      <c r="C23" s="87">
        <f t="shared" si="0"/>
        <v>1.4904759442333826E-34</v>
      </c>
      <c r="D23" s="89"/>
      <c r="E23" s="79">
        <f t="shared" si="2"/>
        <v>6.6651920419510957E-2</v>
      </c>
      <c r="F23" s="87">
        <f t="shared" si="4"/>
        <v>2.2543400230798778E-2</v>
      </c>
      <c r="G23" s="79">
        <f t="shared" si="3"/>
        <v>7.2557793862376707E-2</v>
      </c>
    </row>
    <row r="24" spans="1:7" ht="14.25" x14ac:dyDescent="0.2">
      <c r="A24" s="77">
        <v>14</v>
      </c>
      <c r="B24" s="87">
        <f t="shared" si="1"/>
        <v>6.6666666666666666E-2</v>
      </c>
      <c r="C24" s="87">
        <f t="shared" si="0"/>
        <v>9.7510447300940275E-41</v>
      </c>
      <c r="D24" s="89"/>
      <c r="E24" s="79">
        <f t="shared" si="2"/>
        <v>6.073380989769972E-2</v>
      </c>
      <c r="F24" s="87">
        <f t="shared" si="4"/>
        <v>2.0040463080252095E-2</v>
      </c>
      <c r="G24" s="79">
        <f t="shared" si="3"/>
        <v>6.7650700136201336E-2</v>
      </c>
    </row>
    <row r="25" spans="1:7" ht="14.25" x14ac:dyDescent="0.2">
      <c r="A25" s="77">
        <v>15</v>
      </c>
      <c r="B25" s="87">
        <f t="shared" si="1"/>
        <v>6.25E-2</v>
      </c>
      <c r="C25" s="87">
        <f t="shared" si="0"/>
        <v>1.8758099973838933E-47</v>
      </c>
      <c r="D25" s="89"/>
      <c r="E25" s="79">
        <f t="shared" si="2"/>
        <v>5.5601306840492803E-2</v>
      </c>
      <c r="F25" s="87">
        <f t="shared" si="4"/>
        <v>1.7944600829934151E-2</v>
      </c>
      <c r="G25" s="79">
        <f t="shared" si="3"/>
        <v>6.3365136546799428E-2</v>
      </c>
    </row>
    <row r="26" spans="1:7" ht="14.25" x14ac:dyDescent="0.2">
      <c r="A26" s="77">
        <v>16</v>
      </c>
      <c r="B26" s="87">
        <f t="shared" si="1"/>
        <v>5.8823529411764705E-2</v>
      </c>
      <c r="C26" s="87">
        <f t="shared" si="0"/>
        <v>1.0600240117557747E-54</v>
      </c>
      <c r="D26" s="89"/>
      <c r="E26" s="79">
        <f t="shared" si="2"/>
        <v>5.1116043052237603E-2</v>
      </c>
      <c r="F26" s="87">
        <f t="shared" si="4"/>
        <v>1.6170911675430576E-2</v>
      </c>
      <c r="G26" s="79">
        <f t="shared" si="3"/>
        <v>5.9590077927191287E-2</v>
      </c>
    </row>
    <row r="27" spans="1:7" ht="14.25" x14ac:dyDescent="0.2">
      <c r="A27" s="77">
        <v>17</v>
      </c>
      <c r="B27" s="87">
        <f t="shared" si="1"/>
        <v>5.5555555555555552E-2</v>
      </c>
      <c r="C27" s="87">
        <f t="shared" si="0"/>
        <v>1.7583041798036804E-62</v>
      </c>
      <c r="D27" s="89"/>
      <c r="E27" s="79">
        <f t="shared" si="2"/>
        <v>4.7169710098444284E-2</v>
      </c>
      <c r="F27" s="87">
        <f t="shared" si="4"/>
        <v>1.4655693724597185E-2</v>
      </c>
      <c r="G27" s="79">
        <f t="shared" si="3"/>
        <v>5.6239451197366619E-2</v>
      </c>
    </row>
    <row r="28" spans="1:7" ht="14.25" x14ac:dyDescent="0.2">
      <c r="A28" s="77">
        <v>18</v>
      </c>
      <c r="B28" s="87">
        <f t="shared" si="1"/>
        <v>5.2631578947368418E-2</v>
      </c>
      <c r="C28" s="87">
        <f t="shared" si="0"/>
        <v>8.5555833697062717E-71</v>
      </c>
      <c r="D28" s="89"/>
      <c r="E28" s="79">
        <f t="shared" si="2"/>
        <v>4.3676378255474324E-2</v>
      </c>
      <c r="F28" s="87">
        <f t="shared" si="4"/>
        <v>1.3350365836381635E-2</v>
      </c>
      <c r="G28" s="79">
        <f t="shared" si="3"/>
        <v>5.324549983248017E-2</v>
      </c>
    </row>
    <row r="29" spans="1:7" ht="14.25" x14ac:dyDescent="0.2">
      <c r="A29" s="77">
        <v>19</v>
      </c>
      <c r="B29" s="87">
        <f t="shared" si="1"/>
        <v>0.05</v>
      </c>
      <c r="C29" s="87">
        <f t="shared" si="0"/>
        <v>1.2205541946795994E-79</v>
      </c>
      <c r="D29" s="89"/>
      <c r="E29" s="79">
        <f t="shared" si="2"/>
        <v>4.0567049848565961E-2</v>
      </c>
      <c r="F29" s="87">
        <f t="shared" si="4"/>
        <v>1.2217335670485038E-2</v>
      </c>
      <c r="G29" s="79">
        <f t="shared" si="3"/>
        <v>5.0554158537434057E-2</v>
      </c>
    </row>
    <row r="30" spans="1:7" ht="14.25" x14ac:dyDescent="0.2">
      <c r="A30" s="77">
        <v>20</v>
      </c>
      <c r="B30" s="88">
        <f>1/(1+A30)</f>
        <v>4.7619047619047616E-2</v>
      </c>
      <c r="C30" s="88">
        <f t="shared" si="0"/>
        <v>5.1030363883266559E-89</v>
      </c>
      <c r="D30" s="90"/>
      <c r="E30" s="80">
        <f t="shared" si="2"/>
        <v>3.778572418915771E-2</v>
      </c>
      <c r="F30" s="88">
        <f t="shared" si="4"/>
        <v>1.1227131791138562E-2</v>
      </c>
      <c r="G30" s="80">
        <f t="shared" si="3"/>
        <v>4.8121761911728678E-2</v>
      </c>
    </row>
  </sheetData>
  <sheetProtection password="DC2F" sheet="1" objects="1" scenarios="1" formatCells="0"/>
  <protectedRanges>
    <protectedRange sqref="C8:F8" name="Range2"/>
    <protectedRange sqref="C4:G4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>
              <from>
                <xdr:col>7</xdr:col>
                <xdr:colOff>19050</xdr:colOff>
                <xdr:row>1</xdr:row>
                <xdr:rowOff>123825</xdr:rowOff>
              </from>
              <to>
                <xdr:col>12</xdr:col>
                <xdr:colOff>219075</xdr:colOff>
                <xdr:row>4</xdr:row>
                <xdr:rowOff>76200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Cycle Cost</vt:lpstr>
      <vt:lpstr>ARINC</vt:lpstr>
      <vt:lpstr>AGREE</vt:lpstr>
      <vt:lpstr>Safety Factor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Ebeling</dc:creator>
  <cp:lastModifiedBy>Jason Freels</cp:lastModifiedBy>
  <dcterms:created xsi:type="dcterms:W3CDTF">2004-10-17T14:58:49Z</dcterms:created>
  <dcterms:modified xsi:type="dcterms:W3CDTF">2018-10-03T02:03:37Z</dcterms:modified>
</cp:coreProperties>
</file>