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embeddings/oleObject5.bin" ContentType="application/vnd.openxmlformats-officedocument.oleObject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Aubur\github\reliability\courses\logm634-asam\excel-templates\"/>
    </mc:Choice>
  </mc:AlternateContent>
  <bookViews>
    <workbookView xWindow="120" yWindow="72" windowWidth="12120" windowHeight="8532" activeTab="2"/>
  </bookViews>
  <sheets>
    <sheet name="Repair &amp; avail measures" sheetId="1" r:id="rId1"/>
    <sheet name="Cost Models" sheetId="4" r:id="rId2"/>
    <sheet name="Exponential Avail" sheetId="2" r:id="rId3"/>
    <sheet name="Inspect &amp; Repair" sheetId="3" r:id="rId4"/>
  </sheets>
  <calcPr calcId="171027"/>
</workbook>
</file>

<file path=xl/calcChain.xml><?xml version="1.0" encoding="utf-8"?>
<calcChain xmlns="http://schemas.openxmlformats.org/spreadsheetml/2006/main">
  <c r="G6" i="3" l="1"/>
  <c r="E15" i="4"/>
  <c r="C15" i="4"/>
  <c r="C11" i="4"/>
  <c r="C12" i="4" s="1"/>
  <c r="B12" i="4"/>
  <c r="B10" i="4"/>
  <c r="D11" i="4"/>
  <c r="D9" i="4"/>
  <c r="C9" i="4"/>
  <c r="C10" i="4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K4" i="2"/>
  <c r="K3" i="2"/>
  <c r="I3" i="2" s="1"/>
  <c r="J5" i="1"/>
  <c r="H6" i="1"/>
  <c r="F6" i="1"/>
  <c r="F18" i="1" s="1"/>
  <c r="D6" i="1"/>
  <c r="D16" i="1" s="1"/>
  <c r="B6" i="1"/>
  <c r="B23" i="1" s="1"/>
  <c r="H18" i="1"/>
  <c r="L5" i="1"/>
  <c r="F23" i="1"/>
  <c r="H16" i="1"/>
  <c r="F16" i="1"/>
  <c r="H15" i="1"/>
  <c r="B15" i="1"/>
  <c r="D13" i="1"/>
  <c r="D10" i="1"/>
  <c r="D9" i="1"/>
  <c r="D8" i="1"/>
  <c r="D7" i="1"/>
  <c r="B10" i="1"/>
  <c r="B9" i="1"/>
  <c r="B8" i="1"/>
  <c r="B7" i="1"/>
  <c r="H10" i="1"/>
  <c r="H9" i="1"/>
  <c r="H8" i="1"/>
  <c r="H7" i="1"/>
  <c r="F10" i="1"/>
  <c r="F9" i="1"/>
  <c r="F8" i="1"/>
  <c r="F7" i="1"/>
  <c r="I4" i="2"/>
  <c r="B13" i="4"/>
  <c r="B16" i="4" s="1"/>
  <c r="H23" i="1"/>
  <c r="B22" i="1"/>
  <c r="D22" i="1"/>
  <c r="F22" i="1"/>
  <c r="D23" i="1"/>
  <c r="H22" i="1"/>
  <c r="D13" i="4"/>
  <c r="D16" i="4" s="1"/>
  <c r="D17" i="4" s="1"/>
  <c r="E16" i="4"/>
  <c r="C16" i="4" l="1"/>
  <c r="B17" i="4"/>
  <c r="E17" i="4"/>
  <c r="D18" i="4"/>
  <c r="H19" i="1"/>
  <c r="H20" i="1" s="1"/>
  <c r="D19" i="1"/>
  <c r="D20" i="1" s="1"/>
  <c r="F13" i="1"/>
  <c r="B13" i="1"/>
  <c r="H12" i="1"/>
  <c r="D12" i="1"/>
  <c r="F19" i="1"/>
  <c r="B19" i="1"/>
  <c r="F12" i="1"/>
  <c r="B12" i="1"/>
  <c r="H13" i="1"/>
  <c r="I5" i="2"/>
  <c r="D4" i="2"/>
  <c r="E6" i="3"/>
  <c r="H77" i="3" s="1"/>
  <c r="D15" i="1"/>
  <c r="F15" i="1"/>
  <c r="B18" i="1"/>
  <c r="D18" i="1"/>
  <c r="B16" i="1"/>
  <c r="H51" i="3" l="1"/>
  <c r="D19" i="4"/>
  <c r="E18" i="4"/>
  <c r="H45" i="3"/>
  <c r="H59" i="3"/>
  <c r="H53" i="3"/>
  <c r="H67" i="3"/>
  <c r="C17" i="4"/>
  <c r="B18" i="4"/>
  <c r="H61" i="3"/>
  <c r="B20" i="1"/>
  <c r="H11" i="3"/>
  <c r="H75" i="3"/>
  <c r="H69" i="3"/>
  <c r="F20" i="1"/>
  <c r="H19" i="3"/>
  <c r="H83" i="3"/>
  <c r="H13" i="3"/>
  <c r="H8" i="3"/>
  <c r="H16" i="3"/>
  <c r="H24" i="3"/>
  <c r="H40" i="3"/>
  <c r="H56" i="3"/>
  <c r="H80" i="3"/>
  <c r="H9" i="3"/>
  <c r="H17" i="3"/>
  <c r="H25" i="3"/>
  <c r="H33" i="3"/>
  <c r="H41" i="3"/>
  <c r="H49" i="3"/>
  <c r="H57" i="3"/>
  <c r="H65" i="3"/>
  <c r="H73" i="3"/>
  <c r="H81" i="3"/>
  <c r="H89" i="3"/>
  <c r="H97" i="3"/>
  <c r="H105" i="3"/>
  <c r="H46" i="3"/>
  <c r="H94" i="3"/>
  <c r="H10" i="3"/>
  <c r="H18" i="3"/>
  <c r="H26" i="3"/>
  <c r="H34" i="3"/>
  <c r="H42" i="3"/>
  <c r="H50" i="3"/>
  <c r="H58" i="3"/>
  <c r="H66" i="3"/>
  <c r="H74" i="3"/>
  <c r="H82" i="3"/>
  <c r="H90" i="3"/>
  <c r="H98" i="3"/>
  <c r="H106" i="3"/>
  <c r="H22" i="3"/>
  <c r="H54" i="3"/>
  <c r="H102" i="3"/>
  <c r="H14" i="3"/>
  <c r="H30" i="3"/>
  <c r="H70" i="3"/>
  <c r="H86" i="3"/>
  <c r="H12" i="3"/>
  <c r="H20" i="3"/>
  <c r="H28" i="3"/>
  <c r="H36" i="3"/>
  <c r="H44" i="3"/>
  <c r="H52" i="3"/>
  <c r="H60" i="3"/>
  <c r="H68" i="3"/>
  <c r="H76" i="3"/>
  <c r="H84" i="3"/>
  <c r="H92" i="3"/>
  <c r="H100" i="3"/>
  <c r="H38" i="3"/>
  <c r="H78" i="3"/>
  <c r="H62" i="3"/>
  <c r="H15" i="3"/>
  <c r="H23" i="3"/>
  <c r="H31" i="3"/>
  <c r="H39" i="3"/>
  <c r="H47" i="3"/>
  <c r="H55" i="3"/>
  <c r="H63" i="3"/>
  <c r="H71" i="3"/>
  <c r="H79" i="3"/>
  <c r="H87" i="3"/>
  <c r="H95" i="3"/>
  <c r="H103" i="3"/>
  <c r="H32" i="3"/>
  <c r="H48" i="3"/>
  <c r="H64" i="3"/>
  <c r="H72" i="3"/>
  <c r="H88" i="3"/>
  <c r="H96" i="3"/>
  <c r="H104" i="3"/>
  <c r="H27" i="3"/>
  <c r="H91" i="3"/>
  <c r="H21" i="3"/>
  <c r="H85" i="3"/>
  <c r="C63" i="2"/>
  <c r="C71" i="2"/>
  <c r="C79" i="2"/>
  <c r="C87" i="2"/>
  <c r="C95" i="2"/>
  <c r="C103" i="2"/>
  <c r="C17" i="2"/>
  <c r="C25" i="2"/>
  <c r="C33" i="2"/>
  <c r="C41" i="2"/>
  <c r="C49" i="2"/>
  <c r="C8" i="2"/>
  <c r="C60" i="2"/>
  <c r="C68" i="2"/>
  <c r="C76" i="2"/>
  <c r="C84" i="2"/>
  <c r="C92" i="2"/>
  <c r="C14" i="2"/>
  <c r="C22" i="2"/>
  <c r="C7" i="2"/>
  <c r="C64" i="2"/>
  <c r="C72" i="2"/>
  <c r="C80" i="2"/>
  <c r="C88" i="2"/>
  <c r="C96" i="2"/>
  <c r="C104" i="2"/>
  <c r="C18" i="2"/>
  <c r="C26" i="2"/>
  <c r="C34" i="2"/>
  <c r="C42" i="2"/>
  <c r="C50" i="2"/>
  <c r="C9" i="2"/>
  <c r="G5" i="2"/>
  <c r="C30" i="2"/>
  <c r="C57" i="2"/>
  <c r="C65" i="2"/>
  <c r="C73" i="2"/>
  <c r="C81" i="2"/>
  <c r="C89" i="2"/>
  <c r="C97" i="2"/>
  <c r="C105" i="2"/>
  <c r="C19" i="2"/>
  <c r="C27" i="2"/>
  <c r="C35" i="2"/>
  <c r="C43" i="2"/>
  <c r="C51" i="2"/>
  <c r="C10" i="2"/>
  <c r="C54" i="2"/>
  <c r="C58" i="2"/>
  <c r="C66" i="2"/>
  <c r="C74" i="2"/>
  <c r="C82" i="2"/>
  <c r="C90" i="2"/>
  <c r="C98" i="2"/>
  <c r="C106" i="2"/>
  <c r="C20" i="2"/>
  <c r="C28" i="2"/>
  <c r="C36" i="2"/>
  <c r="C44" i="2"/>
  <c r="C52" i="2"/>
  <c r="C11" i="2"/>
  <c r="C38" i="2"/>
  <c r="C59" i="2"/>
  <c r="C67" i="2"/>
  <c r="C75" i="2"/>
  <c r="C83" i="2"/>
  <c r="C91" i="2"/>
  <c r="C99" i="2"/>
  <c r="C13" i="2"/>
  <c r="C21" i="2"/>
  <c r="C29" i="2"/>
  <c r="C37" i="2"/>
  <c r="C45" i="2"/>
  <c r="C53" i="2"/>
  <c r="C12" i="2"/>
  <c r="C100" i="2"/>
  <c r="C46" i="2"/>
  <c r="C61" i="2"/>
  <c r="C69" i="2"/>
  <c r="C77" i="2"/>
  <c r="C85" i="2"/>
  <c r="C93" i="2"/>
  <c r="C101" i="2"/>
  <c r="C15" i="2"/>
  <c r="C23" i="2"/>
  <c r="C31" i="2"/>
  <c r="C39" i="2"/>
  <c r="C47" i="2"/>
  <c r="C55" i="2"/>
  <c r="C24" i="2"/>
  <c r="C32" i="2"/>
  <c r="C70" i="2"/>
  <c r="C40" i="2"/>
  <c r="C78" i="2"/>
  <c r="C48" i="2"/>
  <c r="C86" i="2"/>
  <c r="C56" i="2"/>
  <c r="C102" i="2"/>
  <c r="C94" i="2"/>
  <c r="C16" i="2"/>
  <c r="C62" i="2"/>
  <c r="H93" i="3"/>
  <c r="H35" i="3"/>
  <c r="H99" i="3"/>
  <c r="H29" i="3"/>
  <c r="H43" i="3"/>
  <c r="H107" i="3"/>
  <c r="H37" i="3"/>
  <c r="H101" i="3"/>
  <c r="F6" i="3" l="1"/>
  <c r="E19" i="4"/>
  <c r="D20" i="4"/>
  <c r="C18" i="4"/>
  <c r="B19" i="4"/>
  <c r="C19" i="4" l="1"/>
  <c r="B20" i="4"/>
  <c r="D21" i="4"/>
  <c r="E20" i="4"/>
  <c r="E21" i="4" l="1"/>
  <c r="D22" i="4"/>
  <c r="C20" i="4"/>
  <c r="B21" i="4"/>
  <c r="D23" i="4" l="1"/>
  <c r="E22" i="4"/>
  <c r="C21" i="4"/>
  <c r="B22" i="4"/>
  <c r="C22" i="4" l="1"/>
  <c r="B23" i="4"/>
  <c r="E23" i="4"/>
  <c r="D24" i="4"/>
  <c r="C23" i="4" l="1"/>
  <c r="B24" i="4"/>
  <c r="D25" i="4"/>
  <c r="E24" i="4"/>
  <c r="C24" i="4" l="1"/>
  <c r="B25" i="4"/>
  <c r="E25" i="4"/>
  <c r="D26" i="4"/>
  <c r="D27" i="4" l="1"/>
  <c r="E26" i="4"/>
  <c r="C25" i="4"/>
  <c r="B26" i="4"/>
  <c r="C26" i="4" l="1"/>
  <c r="B27" i="4"/>
  <c r="E27" i="4"/>
  <c r="D28" i="4"/>
  <c r="D29" i="4" l="1"/>
  <c r="E28" i="4"/>
  <c r="C27" i="4"/>
  <c r="B28" i="4"/>
  <c r="C28" i="4" l="1"/>
  <c r="B29" i="4"/>
  <c r="E29" i="4"/>
  <c r="D30" i="4"/>
  <c r="D31" i="4" l="1"/>
  <c r="E30" i="4"/>
  <c r="C29" i="4"/>
  <c r="B30" i="4"/>
  <c r="C30" i="4" l="1"/>
  <c r="B31" i="4"/>
  <c r="E31" i="4"/>
  <c r="D32" i="4"/>
  <c r="D33" i="4" l="1"/>
  <c r="E32" i="4"/>
  <c r="C31" i="4"/>
  <c r="B32" i="4"/>
  <c r="C32" i="4" l="1"/>
  <c r="B33" i="4"/>
  <c r="E33" i="4"/>
  <c r="D34" i="4"/>
  <c r="D35" i="4" l="1"/>
  <c r="E34" i="4"/>
  <c r="C33" i="4"/>
  <c r="B34" i="4"/>
  <c r="C34" i="4" l="1"/>
  <c r="B35" i="4"/>
  <c r="E35" i="4"/>
  <c r="D36" i="4"/>
  <c r="D37" i="4" l="1"/>
  <c r="E36" i="4"/>
  <c r="C35" i="4"/>
  <c r="B36" i="4"/>
  <c r="C36" i="4" l="1"/>
  <c r="B37" i="4"/>
  <c r="E37" i="4"/>
  <c r="D38" i="4"/>
  <c r="D39" i="4" l="1"/>
  <c r="E38" i="4"/>
  <c r="C37" i="4"/>
  <c r="B38" i="4"/>
  <c r="E39" i="4" l="1"/>
  <c r="D40" i="4"/>
  <c r="C38" i="4"/>
  <c r="B39" i="4"/>
  <c r="C39" i="4" l="1"/>
  <c r="B40" i="4"/>
  <c r="D41" i="4"/>
  <c r="E40" i="4"/>
  <c r="E41" i="4" l="1"/>
  <c r="D42" i="4"/>
  <c r="C40" i="4"/>
  <c r="B41" i="4"/>
  <c r="C41" i="4" l="1"/>
  <c r="B42" i="4"/>
  <c r="D43" i="4"/>
  <c r="E42" i="4"/>
  <c r="E43" i="4" l="1"/>
  <c r="D44" i="4"/>
  <c r="C42" i="4"/>
  <c r="B43" i="4"/>
  <c r="C43" i="4" l="1"/>
  <c r="B44" i="4"/>
  <c r="D45" i="4"/>
  <c r="E44" i="4"/>
  <c r="E45" i="4" l="1"/>
  <c r="D46" i="4"/>
  <c r="C44" i="4"/>
  <c r="B45" i="4"/>
  <c r="C45" i="4" l="1"/>
  <c r="B46" i="4"/>
  <c r="D47" i="4"/>
  <c r="E46" i="4"/>
  <c r="E47" i="4" l="1"/>
  <c r="D48" i="4"/>
  <c r="C46" i="4"/>
  <c r="B47" i="4"/>
  <c r="C47" i="4" l="1"/>
  <c r="B48" i="4"/>
  <c r="D49" i="4"/>
  <c r="E48" i="4"/>
  <c r="E49" i="4" l="1"/>
  <c r="D50" i="4"/>
  <c r="C48" i="4"/>
  <c r="B49" i="4"/>
  <c r="C49" i="4" l="1"/>
  <c r="B50" i="4"/>
  <c r="D51" i="4"/>
  <c r="E50" i="4"/>
  <c r="E51" i="4" l="1"/>
  <c r="D52" i="4"/>
  <c r="C50" i="4"/>
  <c r="B51" i="4"/>
  <c r="C51" i="4" l="1"/>
  <c r="B52" i="4"/>
  <c r="D53" i="4"/>
  <c r="E52" i="4"/>
  <c r="E53" i="4" l="1"/>
  <c r="D54" i="4"/>
  <c r="C52" i="4"/>
  <c r="B53" i="4"/>
  <c r="C53" i="4" l="1"/>
  <c r="B54" i="4"/>
  <c r="D55" i="4"/>
  <c r="E54" i="4"/>
  <c r="E55" i="4" l="1"/>
  <c r="D56" i="4"/>
  <c r="C54" i="4"/>
  <c r="B55" i="4"/>
  <c r="C55" i="4" l="1"/>
  <c r="B56" i="4"/>
  <c r="D57" i="4"/>
  <c r="E56" i="4"/>
  <c r="E57" i="4" l="1"/>
  <c r="D58" i="4"/>
  <c r="C56" i="4"/>
  <c r="B57" i="4"/>
  <c r="C57" i="4" l="1"/>
  <c r="B58" i="4"/>
  <c r="D59" i="4"/>
  <c r="E58" i="4"/>
  <c r="E59" i="4" l="1"/>
  <c r="D60" i="4"/>
  <c r="C58" i="4"/>
  <c r="B59" i="4"/>
  <c r="C59" i="4" l="1"/>
  <c r="B60" i="4"/>
  <c r="D61" i="4"/>
  <c r="E60" i="4"/>
  <c r="E61" i="4" l="1"/>
  <c r="D62" i="4"/>
  <c r="C60" i="4"/>
  <c r="B61" i="4"/>
  <c r="C61" i="4" l="1"/>
  <c r="B62" i="4"/>
  <c r="D63" i="4"/>
  <c r="E62" i="4"/>
  <c r="E63" i="4" l="1"/>
  <c r="D64" i="4"/>
  <c r="C62" i="4"/>
  <c r="B63" i="4"/>
  <c r="C63" i="4" l="1"/>
  <c r="B64" i="4"/>
  <c r="D65" i="4"/>
  <c r="E64" i="4"/>
  <c r="E65" i="4" l="1"/>
  <c r="D66" i="4"/>
  <c r="B65" i="4"/>
  <c r="C64" i="4"/>
  <c r="C65" i="4" l="1"/>
  <c r="B66" i="4"/>
  <c r="D67" i="4"/>
  <c r="E66" i="4"/>
  <c r="E67" i="4" l="1"/>
  <c r="D68" i="4"/>
  <c r="C66" i="4"/>
  <c r="B67" i="4"/>
  <c r="C67" i="4" l="1"/>
  <c r="B68" i="4"/>
  <c r="D69" i="4"/>
  <c r="E68" i="4"/>
  <c r="E69" i="4" l="1"/>
  <c r="D70" i="4"/>
  <c r="B69" i="4"/>
  <c r="C68" i="4"/>
  <c r="C69" i="4" l="1"/>
  <c r="B70" i="4"/>
  <c r="D71" i="4"/>
  <c r="E70" i="4"/>
  <c r="E71" i="4" l="1"/>
  <c r="D72" i="4"/>
  <c r="B71" i="4"/>
  <c r="C70" i="4"/>
  <c r="C71" i="4" l="1"/>
  <c r="B72" i="4"/>
  <c r="D73" i="4"/>
  <c r="E72" i="4"/>
  <c r="E73" i="4" l="1"/>
  <c r="D74" i="4"/>
  <c r="B73" i="4"/>
  <c r="C72" i="4"/>
  <c r="C73" i="4" l="1"/>
  <c r="B74" i="4"/>
  <c r="D75" i="4"/>
  <c r="E74" i="4"/>
  <c r="E75" i="4" l="1"/>
  <c r="D76" i="4"/>
  <c r="B75" i="4"/>
  <c r="C74" i="4"/>
  <c r="C75" i="4" l="1"/>
  <c r="B76" i="4"/>
  <c r="D77" i="4"/>
  <c r="E76" i="4"/>
  <c r="E77" i="4" l="1"/>
  <c r="D78" i="4"/>
  <c r="B77" i="4"/>
  <c r="C76" i="4"/>
  <c r="C77" i="4" l="1"/>
  <c r="B78" i="4"/>
  <c r="D79" i="4"/>
  <c r="E78" i="4"/>
  <c r="E79" i="4" l="1"/>
  <c r="D80" i="4"/>
  <c r="B79" i="4"/>
  <c r="C78" i="4"/>
  <c r="C79" i="4" l="1"/>
  <c r="B80" i="4"/>
  <c r="D81" i="4"/>
  <c r="E80" i="4"/>
  <c r="E81" i="4" l="1"/>
  <c r="D82" i="4"/>
  <c r="B81" i="4"/>
  <c r="C80" i="4"/>
  <c r="C81" i="4" l="1"/>
  <c r="B82" i="4"/>
  <c r="D83" i="4"/>
  <c r="E82" i="4"/>
  <c r="E83" i="4" l="1"/>
  <c r="D84" i="4"/>
  <c r="B83" i="4"/>
  <c r="C82" i="4"/>
  <c r="C83" i="4" l="1"/>
  <c r="B84" i="4"/>
  <c r="D85" i="4"/>
  <c r="E84" i="4"/>
  <c r="E85" i="4" l="1"/>
  <c r="D86" i="4"/>
  <c r="B85" i="4"/>
  <c r="C84" i="4"/>
  <c r="C85" i="4" l="1"/>
  <c r="B86" i="4"/>
  <c r="D87" i="4"/>
  <c r="E86" i="4"/>
  <c r="E87" i="4" l="1"/>
  <c r="D88" i="4"/>
  <c r="B87" i="4"/>
  <c r="C86" i="4"/>
  <c r="C87" i="4" l="1"/>
  <c r="B88" i="4"/>
  <c r="E88" i="4"/>
  <c r="D89" i="4"/>
  <c r="E89" i="4" s="1"/>
  <c r="B89" i="4" l="1"/>
  <c r="C89" i="4" s="1"/>
  <c r="C88" i="4"/>
</calcChain>
</file>

<file path=xl/comments1.xml><?xml version="1.0" encoding="utf-8"?>
<comments xmlns="http://schemas.openxmlformats.org/spreadsheetml/2006/main">
  <authors>
    <author>Charles Ebeling</author>
  </authors>
  <commentList>
    <comment ref="A21" authorId="0" shapeId="0">
      <text>
        <r>
          <rPr>
            <b/>
            <sz val="8"/>
            <color indexed="81"/>
            <rFont val="Tahoma"/>
            <family val="2"/>
          </rPr>
          <t>failures and PMs are over the entire design life</t>
        </r>
      </text>
    </comment>
  </commentList>
</comments>
</file>

<file path=xl/sharedStrings.xml><?xml version="1.0" encoding="utf-8"?>
<sst xmlns="http://schemas.openxmlformats.org/spreadsheetml/2006/main" count="91" uniqueCount="83">
  <si>
    <t>Exponential</t>
  </si>
  <si>
    <t>m</t>
  </si>
  <si>
    <t>Weibull</t>
  </si>
  <si>
    <t>b</t>
  </si>
  <si>
    <t>q</t>
  </si>
  <si>
    <t>Normal</t>
  </si>
  <si>
    <t>σ</t>
  </si>
  <si>
    <t>Lognormal</t>
  </si>
  <si>
    <t>s</t>
  </si>
  <si>
    <t>Repair Distribution</t>
  </si>
  <si>
    <t>Preventive Maintenance</t>
  </si>
  <si>
    <t>MPMT =</t>
  </si>
  <si>
    <t>Tpm =</t>
  </si>
  <si>
    <t>MTTR</t>
  </si>
  <si>
    <t>25 % repairs</t>
  </si>
  <si>
    <t>50% (median) repairs</t>
  </si>
  <si>
    <t>75% repairs</t>
  </si>
  <si>
    <t>90% repairs</t>
  </si>
  <si>
    <t>failure distribution</t>
  </si>
  <si>
    <t>Renewal process - MTBF</t>
  </si>
  <si>
    <t>Renewal Process</t>
  </si>
  <si>
    <t>Mean downtime (M-bar)</t>
  </si>
  <si>
    <t>MH/OH</t>
  </si>
  <si>
    <t>Crew size</t>
  </si>
  <si>
    <t>Power law process -a</t>
  </si>
  <si>
    <t>PM Crew size =</t>
  </si>
  <si>
    <t>Minimal Repair Process</t>
  </si>
  <si>
    <t>Chapter 10</t>
  </si>
  <si>
    <t>Inherent Availability</t>
  </si>
  <si>
    <t>Achieved Availability</t>
  </si>
  <si>
    <t>MTBM</t>
  </si>
  <si>
    <t>Section 11.2  Exponential Model</t>
  </si>
  <si>
    <t>MTBF =</t>
  </si>
  <si>
    <t>MTTR =</t>
  </si>
  <si>
    <t>A(t)</t>
  </si>
  <si>
    <t>t</t>
  </si>
  <si>
    <t>r =</t>
  </si>
  <si>
    <t>Steady-state Avail</t>
  </si>
  <si>
    <t>Chapter 11 Steady-State Availability (Renewal process)</t>
  </si>
  <si>
    <t>start time</t>
  </si>
  <si>
    <t>stop time</t>
  </si>
  <si>
    <t xml:space="preserve">l = </t>
  </si>
  <si>
    <t>intermediate</t>
  </si>
  <si>
    <t>point availability</t>
  </si>
  <si>
    <t>Section 11.4 Inspect and Repair Availability Model</t>
  </si>
  <si>
    <t>Exponential Case</t>
  </si>
  <si>
    <t>T</t>
  </si>
  <si>
    <t>A(T)</t>
  </si>
  <si>
    <t>Maximum</t>
  </si>
  <si>
    <t>Availability</t>
  </si>
  <si>
    <t>Time between</t>
  </si>
  <si>
    <t>Section 10.1.1 and Section 11.1</t>
  </si>
  <si>
    <t>= m(t) =</t>
  </si>
  <si>
    <t>interval availability =</t>
  </si>
  <si>
    <t>enter values</t>
  </si>
  <si>
    <t xml:space="preserve">l </t>
  </si>
  <si>
    <t xml:space="preserve">Inspect time - t1 </t>
  </si>
  <si>
    <t xml:space="preserve">Repair time - t2 </t>
  </si>
  <si>
    <t>Section 10.2.4 Replacement Model and Section 10.2.5 Preventive Maintenance Model</t>
  </si>
  <si>
    <t>Power law process</t>
  </si>
  <si>
    <t xml:space="preserve">b = </t>
  </si>
  <si>
    <t xml:space="preserve">a  =  </t>
  </si>
  <si>
    <t xml:space="preserve">cost of a failure Cf = </t>
  </si>
  <si>
    <t xml:space="preserve">cost of a PM = </t>
  </si>
  <si>
    <t xml:space="preserve">replacement cost Cu = </t>
  </si>
  <si>
    <t xml:space="preserve">time between PM = </t>
  </si>
  <si>
    <t xml:space="preserve">time to replace = </t>
  </si>
  <si>
    <t>unit of time:</t>
  </si>
  <si>
    <t>oper hr</t>
  </si>
  <si>
    <t>min cost per</t>
  </si>
  <si>
    <t>time</t>
  </si>
  <si>
    <t>cost</t>
  </si>
  <si>
    <t>increment</t>
  </si>
  <si>
    <t>replacement</t>
  </si>
  <si>
    <t>PM</t>
  </si>
  <si>
    <t>enter starting value</t>
  </si>
  <si>
    <t>Inspections - T*</t>
  </si>
  <si>
    <t>units</t>
  </si>
  <si>
    <t>hours</t>
  </si>
  <si>
    <t>w/o PM</t>
  </si>
  <si>
    <t>with PM</t>
  </si>
  <si>
    <r>
      <t xml:space="preserve">design or economic life </t>
    </r>
    <r>
      <rPr>
        <b/>
        <sz val="10"/>
        <rFont val="Arial"/>
        <family val="2"/>
      </rPr>
      <t>(td)</t>
    </r>
  </si>
  <si>
    <t>Chapter 11.1.5  Availability with minimal repair over the design life (power law process)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</si>
</sst>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"/>
    <numFmt numFmtId="165" formatCode="0.000"/>
    <numFmt numFmtId="166" formatCode="0.000000"/>
    <numFmt numFmtId="167" formatCode="0.00000"/>
    <numFmt numFmtId="169" formatCode="&quot;$&quot;#,##0"/>
    <numFmt numFmtId="170" formatCode="0.0"/>
    <numFmt numFmtId="172" formatCode="&quot;$&quot;#,##0.00"/>
  </numFmts>
  <fonts count="18" x14ac:knownFonts="1">
    <font>
      <sz val="10"/>
      <name val="Arial"/>
    </font>
    <font>
      <b/>
      <sz val="10"/>
      <name val="Arial"/>
      <family val="2"/>
    </font>
    <font>
      <sz val="14"/>
      <name val="Symbol"/>
      <family val="1"/>
      <charset val="2"/>
    </font>
    <font>
      <sz val="14"/>
      <name val="Symbol"/>
      <family val="1"/>
      <charset val="2"/>
    </font>
    <font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3"/>
      <name val="Symbol"/>
      <family val="1"/>
      <charset val="2"/>
    </font>
    <font>
      <sz val="13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1"/>
      <name val="Symbol"/>
      <family val="1"/>
      <charset val="2"/>
    </font>
    <font>
      <b/>
      <sz val="11"/>
      <name val="Arial"/>
      <family val="2"/>
    </font>
    <font>
      <b/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7DD9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 applyFill="1"/>
    <xf numFmtId="0" fontId="0" fillId="0" borderId="2" xfId="0" applyBorder="1"/>
    <xf numFmtId="0" fontId="0" fillId="0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8" xfId="0" applyFill="1" applyBorder="1"/>
    <xf numFmtId="0" fontId="0" fillId="4" borderId="0" xfId="0" applyFill="1"/>
    <xf numFmtId="0" fontId="0" fillId="4" borderId="9" xfId="0" applyFill="1" applyBorder="1"/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13" xfId="0" applyBorder="1"/>
    <xf numFmtId="164" fontId="0" fillId="0" borderId="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5" xfId="0" applyBorder="1"/>
    <xf numFmtId="2" fontId="0" fillId="0" borderId="1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7" xfId="0" applyBorder="1"/>
    <xf numFmtId="164" fontId="0" fillId="0" borderId="9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5" xfId="0" applyBorder="1"/>
    <xf numFmtId="0" fontId="5" fillId="5" borderId="16" xfId="0" applyFont="1" applyFill="1" applyBorder="1" applyAlignment="1">
      <alignment horizontal="center"/>
    </xf>
    <xf numFmtId="0" fontId="5" fillId="5" borderId="16" xfId="0" applyFont="1" applyFill="1" applyBorder="1"/>
    <xf numFmtId="0" fontId="5" fillId="5" borderId="16" xfId="0" applyFont="1" applyFill="1" applyBorder="1" applyAlignment="1">
      <alignment horizontal="center" vertical="top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6" fillId="5" borderId="19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0" xfId="0" applyFill="1" applyBorder="1"/>
    <xf numFmtId="0" fontId="14" fillId="0" borderId="0" xfId="0" applyFont="1" applyFill="1" applyBorder="1"/>
    <xf numFmtId="0" fontId="0" fillId="0" borderId="0" xfId="0" applyFill="1" applyBorder="1"/>
    <xf numFmtId="0" fontId="0" fillId="3" borderId="10" xfId="0" applyFill="1" applyBorder="1" applyAlignment="1">
      <alignment horizontal="center"/>
    </xf>
    <xf numFmtId="165" fontId="0" fillId="3" borderId="12" xfId="0" applyNumberForma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6" borderId="19" xfId="0" applyFont="1" applyFill="1" applyBorder="1"/>
    <xf numFmtId="0" fontId="5" fillId="6" borderId="17" xfId="0" applyFont="1" applyFill="1" applyBorder="1"/>
    <xf numFmtId="0" fontId="0" fillId="6" borderId="21" xfId="0" applyFill="1" applyBorder="1"/>
    <xf numFmtId="0" fontId="10" fillId="6" borderId="22" xfId="0" applyFont="1" applyFill="1" applyBorder="1"/>
    <xf numFmtId="0" fontId="5" fillId="6" borderId="23" xfId="0" applyFont="1" applyFill="1" applyBorder="1"/>
    <xf numFmtId="0" fontId="10" fillId="0" borderId="0" xfId="0" applyFont="1" applyFill="1" applyBorder="1"/>
    <xf numFmtId="0" fontId="10" fillId="7" borderId="19" xfId="0" applyFont="1" applyFill="1" applyBorder="1"/>
    <xf numFmtId="0" fontId="10" fillId="7" borderId="24" xfId="0" applyFont="1" applyFill="1" applyBorder="1"/>
    <xf numFmtId="0" fontId="0" fillId="8" borderId="19" xfId="0" applyFill="1" applyBorder="1"/>
    <xf numFmtId="0" fontId="0" fillId="8" borderId="20" xfId="0" applyFill="1" applyBorder="1"/>
    <xf numFmtId="0" fontId="5" fillId="8" borderId="17" xfId="0" applyFont="1" applyFill="1" applyBorder="1"/>
    <xf numFmtId="0" fontId="0" fillId="8" borderId="24" xfId="0" applyFill="1" applyBorder="1"/>
    <xf numFmtId="0" fontId="11" fillId="8" borderId="0" xfId="0" applyFont="1" applyFill="1" applyBorder="1" applyAlignment="1">
      <alignment horizontal="right"/>
    </xf>
    <xf numFmtId="0" fontId="12" fillId="8" borderId="0" xfId="0" applyFont="1" applyFill="1" applyBorder="1" applyAlignment="1">
      <alignment horizontal="right"/>
    </xf>
    <xf numFmtId="0" fontId="0" fillId="8" borderId="21" xfId="0" applyFill="1" applyBorder="1"/>
    <xf numFmtId="0" fontId="0" fillId="8" borderId="22" xfId="0" applyFill="1" applyBorder="1"/>
    <xf numFmtId="0" fontId="0" fillId="8" borderId="25" xfId="0" applyFill="1" applyBorder="1"/>
    <xf numFmtId="0" fontId="5" fillId="8" borderId="23" xfId="0" applyFont="1" applyFill="1" applyBorder="1" applyAlignment="1">
      <alignment horizontal="center"/>
    </xf>
    <xf numFmtId="0" fontId="5" fillId="7" borderId="10" xfId="0" applyFont="1" applyFill="1" applyBorder="1"/>
    <xf numFmtId="0" fontId="5" fillId="7" borderId="11" xfId="0" applyFont="1" applyFill="1" applyBorder="1" applyAlignment="1">
      <alignment horizontal="right"/>
    </xf>
    <xf numFmtId="167" fontId="10" fillId="7" borderId="12" xfId="0" applyNumberFormat="1" applyFont="1" applyFill="1" applyBorder="1" applyAlignment="1">
      <alignment horizontal="center"/>
    </xf>
    <xf numFmtId="0" fontId="10" fillId="5" borderId="18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0" fillId="5" borderId="3" xfId="0" applyFill="1" applyBorder="1"/>
    <xf numFmtId="0" fontId="0" fillId="5" borderId="6" xfId="0" applyFill="1" applyBorder="1"/>
    <xf numFmtId="0" fontId="0" fillId="5" borderId="13" xfId="0" applyFill="1" applyBorder="1"/>
    <xf numFmtId="166" fontId="5" fillId="6" borderId="21" xfId="0" applyNumberFormat="1" applyFont="1" applyFill="1" applyBorder="1"/>
    <xf numFmtId="0" fontId="6" fillId="5" borderId="3" xfId="0" applyFont="1" applyFill="1" applyBorder="1"/>
    <xf numFmtId="0" fontId="6" fillId="5" borderId="3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3" borderId="27" xfId="0" applyFont="1" applyFill="1" applyBorder="1"/>
    <xf numFmtId="0" fontId="6" fillId="3" borderId="28" xfId="0" applyFont="1" applyFill="1" applyBorder="1"/>
    <xf numFmtId="0" fontId="0" fillId="2" borderId="8" xfId="0" applyFill="1" applyBorder="1" applyAlignment="1">
      <alignment horizontal="center"/>
    </xf>
    <xf numFmtId="0" fontId="8" fillId="4" borderId="0" xfId="0" applyFont="1" applyFill="1" applyBorder="1" applyAlignment="1">
      <alignment horizontal="right" wrapText="1"/>
    </xf>
    <xf numFmtId="0" fontId="14" fillId="4" borderId="0" xfId="0" applyFont="1" applyFill="1" applyBorder="1" applyAlignment="1">
      <alignment horizontal="right"/>
    </xf>
    <xf numFmtId="0" fontId="14" fillId="4" borderId="0" xfId="0" applyFont="1" applyFill="1"/>
    <xf numFmtId="172" fontId="0" fillId="0" borderId="0" xfId="0" applyNumberFormat="1"/>
    <xf numFmtId="170" fontId="0" fillId="6" borderId="4" xfId="0" applyNumberFormat="1" applyFill="1" applyBorder="1"/>
    <xf numFmtId="0" fontId="0" fillId="6" borderId="5" xfId="0" applyFill="1" applyBorder="1"/>
    <xf numFmtId="0" fontId="0" fillId="6" borderId="15" xfId="0" applyFill="1" applyBorder="1"/>
    <xf numFmtId="0" fontId="0" fillId="4" borderId="4" xfId="0" applyFill="1" applyBorder="1"/>
    <xf numFmtId="0" fontId="14" fillId="4" borderId="5" xfId="0" applyFont="1" applyFill="1" applyBorder="1" applyAlignment="1">
      <alignment horizontal="right"/>
    </xf>
    <xf numFmtId="0" fontId="14" fillId="4" borderId="9" xfId="0" applyFont="1" applyFill="1" applyBorder="1" applyAlignment="1">
      <alignment horizontal="right"/>
    </xf>
    <xf numFmtId="0" fontId="0" fillId="4" borderId="15" xfId="0" applyFill="1" applyBorder="1"/>
    <xf numFmtId="0" fontId="0" fillId="5" borderId="6" xfId="0" applyFill="1" applyBorder="1" applyAlignment="1">
      <alignment horizontal="center"/>
    </xf>
    <xf numFmtId="0" fontId="14" fillId="5" borderId="6" xfId="0" applyFont="1" applyFill="1" applyBorder="1"/>
    <xf numFmtId="0" fontId="1" fillId="4" borderId="28" xfId="0" applyFont="1" applyFill="1" applyBorder="1"/>
    <xf numFmtId="0" fontId="16" fillId="4" borderId="29" xfId="0" applyFont="1" applyFill="1" applyBorder="1"/>
    <xf numFmtId="0" fontId="1" fillId="4" borderId="8" xfId="0" applyFont="1" applyFill="1" applyBorder="1"/>
    <xf numFmtId="169" fontId="0" fillId="5" borderId="6" xfId="0" applyNumberFormat="1" applyFill="1" applyBorder="1" applyAlignment="1">
      <alignment horizontal="center"/>
    </xf>
    <xf numFmtId="169" fontId="0" fillId="5" borderId="13" xfId="0" applyNumberFormat="1" applyFill="1" applyBorder="1" applyAlignment="1">
      <alignment horizontal="center"/>
    </xf>
    <xf numFmtId="172" fontId="0" fillId="6" borderId="9" xfId="0" applyNumberFormat="1" applyFill="1" applyBorder="1" applyAlignment="1">
      <alignment horizontal="center"/>
    </xf>
    <xf numFmtId="169" fontId="0" fillId="0" borderId="0" xfId="0" applyNumberFormat="1"/>
    <xf numFmtId="0" fontId="14" fillId="4" borderId="1" xfId="0" applyFont="1" applyFill="1" applyBorder="1" applyAlignment="1">
      <alignment horizontal="right"/>
    </xf>
    <xf numFmtId="0" fontId="0" fillId="4" borderId="7" xfId="0" applyFill="1" applyBorder="1" applyAlignment="1">
      <alignment horizontal="left"/>
    </xf>
    <xf numFmtId="172" fontId="0" fillId="6" borderId="1" xfId="0" applyNumberFormat="1" applyFill="1" applyBorder="1" applyAlignment="1">
      <alignment horizontal="center"/>
    </xf>
    <xf numFmtId="0" fontId="0" fillId="6" borderId="7" xfId="0" applyFill="1" applyBorder="1"/>
    <xf numFmtId="0" fontId="14" fillId="4" borderId="4" xfId="0" applyFont="1" applyFill="1" applyBorder="1"/>
    <xf numFmtId="0" fontId="14" fillId="4" borderId="2" xfId="0" applyFont="1" applyFill="1" applyBorder="1" applyAlignment="1">
      <alignment horizontal="center"/>
    </xf>
    <xf numFmtId="0" fontId="14" fillId="4" borderId="15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4" fillId="4" borderId="14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4" fillId="5" borderId="27" xfId="0" applyFont="1" applyFill="1" applyBorder="1"/>
    <xf numFmtId="0" fontId="14" fillId="2" borderId="1" xfId="0" applyFont="1" applyFill="1" applyBorder="1"/>
    <xf numFmtId="0" fontId="14" fillId="5" borderId="13" xfId="0" applyFont="1" applyFill="1" applyBorder="1"/>
    <xf numFmtId="0" fontId="6" fillId="5" borderId="27" xfId="0" applyFont="1" applyFill="1" applyBorder="1"/>
    <xf numFmtId="0" fontId="0" fillId="0" borderId="4" xfId="0" applyFont="1" applyFill="1" applyBorder="1" applyAlignment="1">
      <alignment horizontal="right"/>
    </xf>
    <xf numFmtId="0" fontId="0" fillId="0" borderId="14" xfId="0" applyBorder="1"/>
    <xf numFmtId="0" fontId="0" fillId="0" borderId="9" xfId="0" applyFont="1" applyFill="1" applyBorder="1" applyAlignment="1">
      <alignment horizontal="right"/>
    </xf>
    <xf numFmtId="0" fontId="0" fillId="9" borderId="3" xfId="0" applyFill="1" applyBorder="1"/>
    <xf numFmtId="0" fontId="0" fillId="9" borderId="6" xfId="0" applyFill="1" applyBorder="1"/>
    <xf numFmtId="0" fontId="0" fillId="9" borderId="13" xfId="0" applyFill="1" applyBorder="1"/>
    <xf numFmtId="0" fontId="0" fillId="9" borderId="27" xfId="0" applyFill="1" applyBorder="1" applyAlignment="1">
      <alignment horizontal="right"/>
    </xf>
    <xf numFmtId="0" fontId="5" fillId="10" borderId="28" xfId="0" applyFont="1" applyFill="1" applyBorder="1"/>
    <xf numFmtId="0" fontId="5" fillId="10" borderId="29" xfId="0" applyFont="1" applyFill="1" applyBorder="1"/>
    <xf numFmtId="0" fontId="5" fillId="10" borderId="8" xfId="0" applyFont="1" applyFill="1" applyBorder="1"/>
    <xf numFmtId="0" fontId="4" fillId="10" borderId="28" xfId="0" applyFont="1" applyFill="1" applyBorder="1"/>
    <xf numFmtId="0" fontId="0" fillId="10" borderId="29" xfId="0" applyFill="1" applyBorder="1"/>
    <xf numFmtId="0" fontId="0" fillId="10" borderId="8" xfId="0" applyFill="1" applyBorder="1"/>
    <xf numFmtId="0" fontId="4" fillId="10" borderId="10" xfId="0" applyFont="1" applyFill="1" applyBorder="1"/>
    <xf numFmtId="0" fontId="0" fillId="10" borderId="11" xfId="0" applyFill="1" applyBorder="1"/>
    <xf numFmtId="0" fontId="0" fillId="10" borderId="12" xfId="0" applyFill="1" applyBorder="1"/>
    <xf numFmtId="0" fontId="13" fillId="10" borderId="28" xfId="0" applyFont="1" applyFill="1" applyBorder="1"/>
    <xf numFmtId="0" fontId="13" fillId="10" borderId="4" xfId="0" applyFont="1" applyFill="1" applyBorder="1"/>
    <xf numFmtId="0" fontId="0" fillId="10" borderId="14" xfId="0" applyFill="1" applyBorder="1"/>
    <xf numFmtId="0" fontId="0" fillId="10" borderId="5" xfId="0" applyFill="1" applyBorder="1"/>
    <xf numFmtId="0" fontId="0" fillId="10" borderId="0" xfId="0" applyFill="1" applyBorder="1"/>
    <xf numFmtId="0" fontId="0" fillId="10" borderId="7" xfId="0" applyFill="1" applyBorder="1"/>
    <xf numFmtId="0" fontId="6" fillId="10" borderId="1" xfId="0" applyFont="1" applyFill="1" applyBorder="1"/>
    <xf numFmtId="0" fontId="15" fillId="10" borderId="1" xfId="0" applyFont="1" applyFill="1" applyBorder="1" applyAlignment="1">
      <alignment horizontal="right"/>
    </xf>
    <xf numFmtId="0" fontId="6" fillId="10" borderId="9" xfId="0" applyFont="1" applyFill="1" applyBorder="1"/>
    <xf numFmtId="0" fontId="0" fillId="10" borderId="28" xfId="0" applyFill="1" applyBorder="1"/>
    <xf numFmtId="0" fontId="0" fillId="10" borderId="9" xfId="0" applyFill="1" applyBorder="1"/>
    <xf numFmtId="0" fontId="0" fillId="10" borderId="15" xfId="0" applyFill="1" applyBorder="1"/>
    <xf numFmtId="0" fontId="0" fillId="10" borderId="2" xfId="0" applyFill="1" applyBorder="1"/>
    <xf numFmtId="0" fontId="14" fillId="10" borderId="28" xfId="0" applyFont="1" applyFill="1" applyBorder="1"/>
    <xf numFmtId="0" fontId="0" fillId="10" borderId="0" xfId="0" applyFill="1"/>
    <xf numFmtId="0" fontId="0" fillId="10" borderId="0" xfId="0" applyFill="1" applyBorder="1" applyAlignment="1">
      <alignment horizontal="center"/>
    </xf>
    <xf numFmtId="49" fontId="14" fillId="10" borderId="1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wrapText="1"/>
    </xf>
    <xf numFmtId="0" fontId="1" fillId="10" borderId="1" xfId="0" applyFont="1" applyFill="1" applyBorder="1"/>
    <xf numFmtId="0" fontId="2" fillId="10" borderId="0" xfId="0" applyFont="1" applyFill="1" applyBorder="1" applyAlignment="1">
      <alignment horizontal="center"/>
    </xf>
    <xf numFmtId="0" fontId="2" fillId="10" borderId="30" xfId="0" applyFont="1" applyFill="1" applyBorder="1" applyAlignment="1">
      <alignment horizontal="center"/>
    </xf>
    <xf numFmtId="0" fontId="3" fillId="10" borderId="3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10" borderId="30" xfId="0" applyFont="1" applyFill="1" applyBorder="1" applyAlignment="1">
      <alignment horizontal="center"/>
    </xf>
    <xf numFmtId="0" fontId="8" fillId="10" borderId="1" xfId="0" applyFont="1" applyFill="1" applyBorder="1" applyAlignment="1">
      <alignment wrapText="1"/>
    </xf>
    <xf numFmtId="0" fontId="0" fillId="10" borderId="7" xfId="0" applyFill="1" applyBorder="1" applyAlignment="1">
      <alignment horizontal="center"/>
    </xf>
    <xf numFmtId="0" fontId="9" fillId="10" borderId="2" xfId="0" applyFont="1" applyFill="1" applyBorder="1" applyAlignment="1">
      <alignment vertical="top" wrapText="1"/>
    </xf>
    <xf numFmtId="0" fontId="0" fillId="10" borderId="2" xfId="0" applyFill="1" applyBorder="1" applyAlignment="1">
      <alignment vertical="top"/>
    </xf>
    <xf numFmtId="0" fontId="7" fillId="10" borderId="2" xfId="0" applyFont="1" applyFill="1" applyBorder="1" applyAlignment="1">
      <alignment wrapText="1"/>
    </xf>
    <xf numFmtId="0" fontId="6" fillId="10" borderId="2" xfId="0" applyFont="1" applyFill="1" applyBorder="1" applyAlignment="1">
      <alignment vertical="top" wrapText="1"/>
    </xf>
    <xf numFmtId="0" fontId="6" fillId="10" borderId="2" xfId="0" applyFont="1" applyFill="1" applyBorder="1"/>
    <xf numFmtId="0" fontId="5" fillId="10" borderId="9" xfId="0" applyFont="1" applyFill="1" applyBorder="1" applyAlignment="1">
      <alignment vertical="top" wrapText="1"/>
    </xf>
    <xf numFmtId="0" fontId="0" fillId="10" borderId="19" xfId="0" applyFill="1" applyBorder="1" applyAlignment="1">
      <alignment horizontal="right"/>
    </xf>
    <xf numFmtId="0" fontId="0" fillId="10" borderId="17" xfId="0" applyFill="1" applyBorder="1"/>
    <xf numFmtId="0" fontId="5" fillId="10" borderId="24" xfId="0" applyFont="1" applyFill="1" applyBorder="1"/>
    <xf numFmtId="0" fontId="5" fillId="10" borderId="0" xfId="0" applyFont="1" applyFill="1" applyBorder="1"/>
    <xf numFmtId="0" fontId="5" fillId="10" borderId="2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per unit of time</a:t>
            </a:r>
          </a:p>
        </c:rich>
      </c:tx>
      <c:layout>
        <c:manualLayout>
          <c:xMode val="edge"/>
          <c:yMode val="edge"/>
          <c:x val="3.2868110236220473E-2"/>
          <c:y val="3.703703703703703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'Cost Models'!$C$14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'Cost Models'!$B$15:$B$89</c:f>
              <c:numCache>
                <c:formatCode>General</c:formatCode>
                <c:ptCount val="75"/>
                <c:pt idx="0">
                  <c:v>100</c:v>
                </c:pt>
                <c:pt idx="1">
                  <c:v>114</c:v>
                </c:pt>
                <c:pt idx="2">
                  <c:v>128</c:v>
                </c:pt>
                <c:pt idx="3">
                  <c:v>142</c:v>
                </c:pt>
                <c:pt idx="4">
                  <c:v>156</c:v>
                </c:pt>
                <c:pt idx="5">
                  <c:v>170</c:v>
                </c:pt>
                <c:pt idx="6">
                  <c:v>184</c:v>
                </c:pt>
                <c:pt idx="7">
                  <c:v>198</c:v>
                </c:pt>
                <c:pt idx="8">
                  <c:v>212</c:v>
                </c:pt>
                <c:pt idx="9">
                  <c:v>226</c:v>
                </c:pt>
                <c:pt idx="10">
                  <c:v>240</c:v>
                </c:pt>
                <c:pt idx="11">
                  <c:v>254</c:v>
                </c:pt>
                <c:pt idx="12">
                  <c:v>268</c:v>
                </c:pt>
                <c:pt idx="13">
                  <c:v>282</c:v>
                </c:pt>
                <c:pt idx="14">
                  <c:v>296</c:v>
                </c:pt>
                <c:pt idx="15">
                  <c:v>310</c:v>
                </c:pt>
                <c:pt idx="16">
                  <c:v>324</c:v>
                </c:pt>
                <c:pt idx="17">
                  <c:v>338</c:v>
                </c:pt>
                <c:pt idx="18">
                  <c:v>352</c:v>
                </c:pt>
                <c:pt idx="19">
                  <c:v>366</c:v>
                </c:pt>
                <c:pt idx="20">
                  <c:v>380</c:v>
                </c:pt>
                <c:pt idx="21">
                  <c:v>394</c:v>
                </c:pt>
                <c:pt idx="22">
                  <c:v>408</c:v>
                </c:pt>
                <c:pt idx="23">
                  <c:v>422</c:v>
                </c:pt>
                <c:pt idx="24">
                  <c:v>436</c:v>
                </c:pt>
                <c:pt idx="25">
                  <c:v>450</c:v>
                </c:pt>
                <c:pt idx="26">
                  <c:v>464</c:v>
                </c:pt>
                <c:pt idx="27">
                  <c:v>478</c:v>
                </c:pt>
                <c:pt idx="28">
                  <c:v>492</c:v>
                </c:pt>
                <c:pt idx="29">
                  <c:v>506</c:v>
                </c:pt>
                <c:pt idx="30">
                  <c:v>520</c:v>
                </c:pt>
                <c:pt idx="31">
                  <c:v>534</c:v>
                </c:pt>
                <c:pt idx="32">
                  <c:v>548</c:v>
                </c:pt>
                <c:pt idx="33">
                  <c:v>562</c:v>
                </c:pt>
                <c:pt idx="34">
                  <c:v>576</c:v>
                </c:pt>
                <c:pt idx="35">
                  <c:v>590</c:v>
                </c:pt>
                <c:pt idx="36">
                  <c:v>604</c:v>
                </c:pt>
                <c:pt idx="37">
                  <c:v>618</c:v>
                </c:pt>
                <c:pt idx="38">
                  <c:v>632</c:v>
                </c:pt>
                <c:pt idx="39">
                  <c:v>646</c:v>
                </c:pt>
                <c:pt idx="40">
                  <c:v>660</c:v>
                </c:pt>
                <c:pt idx="41">
                  <c:v>674</c:v>
                </c:pt>
                <c:pt idx="42">
                  <c:v>688</c:v>
                </c:pt>
                <c:pt idx="43">
                  <c:v>702</c:v>
                </c:pt>
                <c:pt idx="44">
                  <c:v>716</c:v>
                </c:pt>
                <c:pt idx="45">
                  <c:v>730</c:v>
                </c:pt>
                <c:pt idx="46">
                  <c:v>744</c:v>
                </c:pt>
                <c:pt idx="47">
                  <c:v>758</c:v>
                </c:pt>
                <c:pt idx="48">
                  <c:v>772</c:v>
                </c:pt>
                <c:pt idx="49">
                  <c:v>786</c:v>
                </c:pt>
                <c:pt idx="50">
                  <c:v>800</c:v>
                </c:pt>
                <c:pt idx="51">
                  <c:v>814</c:v>
                </c:pt>
                <c:pt idx="52">
                  <c:v>828</c:v>
                </c:pt>
                <c:pt idx="53">
                  <c:v>842</c:v>
                </c:pt>
                <c:pt idx="54">
                  <c:v>856</c:v>
                </c:pt>
                <c:pt idx="55">
                  <c:v>870</c:v>
                </c:pt>
                <c:pt idx="56">
                  <c:v>884</c:v>
                </c:pt>
                <c:pt idx="57">
                  <c:v>898</c:v>
                </c:pt>
                <c:pt idx="58">
                  <c:v>912</c:v>
                </c:pt>
                <c:pt idx="59">
                  <c:v>926</c:v>
                </c:pt>
                <c:pt idx="60">
                  <c:v>940</c:v>
                </c:pt>
                <c:pt idx="61">
                  <c:v>954</c:v>
                </c:pt>
                <c:pt idx="62">
                  <c:v>968</c:v>
                </c:pt>
                <c:pt idx="63">
                  <c:v>982</c:v>
                </c:pt>
                <c:pt idx="64">
                  <c:v>996</c:v>
                </c:pt>
                <c:pt idx="65">
                  <c:v>1010</c:v>
                </c:pt>
                <c:pt idx="66">
                  <c:v>1024</c:v>
                </c:pt>
                <c:pt idx="67">
                  <c:v>1038</c:v>
                </c:pt>
                <c:pt idx="68">
                  <c:v>1052</c:v>
                </c:pt>
                <c:pt idx="69">
                  <c:v>1066</c:v>
                </c:pt>
                <c:pt idx="70">
                  <c:v>1080</c:v>
                </c:pt>
                <c:pt idx="71">
                  <c:v>1094</c:v>
                </c:pt>
                <c:pt idx="72">
                  <c:v>1108</c:v>
                </c:pt>
                <c:pt idx="73">
                  <c:v>1122</c:v>
                </c:pt>
                <c:pt idx="74">
                  <c:v>1136</c:v>
                </c:pt>
              </c:numCache>
            </c:numRef>
          </c:xVal>
          <c:yVal>
            <c:numRef>
              <c:f>'Cost Models'!$C$15:$C$89</c:f>
              <c:numCache>
                <c:formatCode>"$"#,##0</c:formatCode>
                <c:ptCount val="75"/>
                <c:pt idx="0">
                  <c:v>211.99053585276749</c:v>
                </c:pt>
                <c:pt idx="1">
                  <c:v>186.7305158478438</c:v>
                </c:pt>
                <c:pt idx="2">
                  <c:v>167.16668752821329</c:v>
                </c:pt>
                <c:pt idx="3">
                  <c:v>151.62919677877355</c:v>
                </c:pt>
                <c:pt idx="4">
                  <c:v>139.04732879053944</c:v>
                </c:pt>
                <c:pt idx="5">
                  <c:v>128.70283563765594</c:v>
                </c:pt>
                <c:pt idx="6">
                  <c:v>120.09586934036111</c:v>
                </c:pt>
                <c:pt idx="7">
                  <c:v>112.86778781838873</c:v>
                </c:pt>
                <c:pt idx="8">
                  <c:v>106.75454434530037</c:v>
                </c:pt>
                <c:pt idx="9">
                  <c:v>101.55739923036585</c:v>
                </c:pt>
                <c:pt idx="10">
                  <c:v>97.123880892199068</c:v>
                </c:pt>
                <c:pt idx="11">
                  <c:v>93.335042118898684</c:v>
                </c:pt>
                <c:pt idx="12">
                  <c:v>90.096709747033074</c:v>
                </c:pt>
                <c:pt idx="13">
                  <c:v>87.33334012425135</c:v>
                </c:pt>
                <c:pt idx="14">
                  <c:v>84.983617740402082</c:v>
                </c:pt>
                <c:pt idx="15">
                  <c:v>82.997246044536254</c:v>
                </c:pt>
                <c:pt idx="16">
                  <c:v>81.332569912430387</c:v>
                </c:pt>
                <c:pt idx="17">
                  <c:v>79.954788684964996</c:v>
                </c:pt>
                <c:pt idx="18">
                  <c:v>78.834595396193663</c:v>
                </c:pt>
                <c:pt idx="19">
                  <c:v>77.947128105831311</c:v>
                </c:pt>
                <c:pt idx="20">
                  <c:v>77.271152871024526</c:v>
                </c:pt>
                <c:pt idx="21">
                  <c:v>76.788420761745627</c:v>
                </c:pt>
                <c:pt idx="22">
                  <c:v>76.483157131708808</c:v>
                </c:pt>
                <c:pt idx="23">
                  <c:v>76.341652445010993</c:v>
                </c:pt>
                <c:pt idx="24">
                  <c:v>76.351931842996009</c:v>
                </c:pt>
                <c:pt idx="25">
                  <c:v>76.503486312850839</c:v>
                </c:pt>
                <c:pt idx="26">
                  <c:v>76.78705245509255</c:v>
                </c:pt>
                <c:pt idx="27">
                  <c:v>77.194430892800767</c:v>
                </c:pt>
                <c:pt idx="28">
                  <c:v>77.718335631299652</c:v>
                </c:pt>
                <c:pt idx="29">
                  <c:v>78.35226837874194</c:v>
                </c:pt>
                <c:pt idx="30">
                  <c:v>79.090413127544963</c:v>
                </c:pt>
                <c:pt idx="31">
                  <c:v>79.927547281941997</c:v>
                </c:pt>
                <c:pt idx="32">
                  <c:v>80.858966375737751</c:v>
                </c:pt>
                <c:pt idx="33">
                  <c:v>81.880420013107084</c:v>
                </c:pt>
                <c:pt idx="34">
                  <c:v>82.98805712527809</c:v>
                </c:pt>
                <c:pt idx="35">
                  <c:v>84.1783789977423</c:v>
                </c:pt>
                <c:pt idx="36">
                  <c:v>85.448198808989332</c:v>
                </c:pt>
                <c:pt idx="37">
                  <c:v>86.794606649757029</c:v>
                </c:pt>
                <c:pt idx="38">
                  <c:v>88.214939174353987</c:v>
                </c:pt>
                <c:pt idx="39">
                  <c:v>89.706753182576279</c:v>
                </c:pt>
                <c:pt idx="40">
                  <c:v>91.267802549673121</c:v>
                </c:pt>
                <c:pt idx="41">
                  <c:v>92.896018018517026</c:v>
                </c:pt>
                <c:pt idx="42">
                  <c:v>94.589489447145539</c:v>
                </c:pt>
                <c:pt idx="43">
                  <c:v>96.346450169671868</c:v>
                </c:pt>
                <c:pt idx="44">
                  <c:v>98.165263181998597</c:v>
                </c:pt>
                <c:pt idx="45">
                  <c:v>100.04440890797969</c:v>
                </c:pt>
                <c:pt idx="46">
                  <c:v>101.9824743384178</c:v>
                </c:pt>
                <c:pt idx="47">
                  <c:v>103.97814336590815</c:v>
                </c:pt>
                <c:pt idx="48">
                  <c:v>106.03018816418461</c:v>
                </c:pt>
                <c:pt idx="49">
                  <c:v>108.1374614821502</c:v>
                </c:pt>
                <c:pt idx="50">
                  <c:v>110.2988897409204</c:v>
                </c:pt>
                <c:pt idx="51">
                  <c:v>112.51346683754356</c:v>
                </c:pt>
                <c:pt idx="52">
                  <c:v>114.78024857206864</c:v>
                </c:pt>
                <c:pt idx="53">
                  <c:v>117.09834762569626</c:v>
                </c:pt>
                <c:pt idx="54">
                  <c:v>119.46692902717736</c:v>
                </c:pt>
                <c:pt idx="55">
                  <c:v>121.88520605270324</c:v>
                </c:pt>
                <c:pt idx="56">
                  <c:v>124.35243651144589</c:v>
                </c:pt>
                <c:pt idx="57">
                  <c:v>126.86791937486326</c:v>
                </c:pt>
                <c:pt idx="58">
                  <c:v>129.43099171301174</c:v>
                </c:pt>
                <c:pt idx="59">
                  <c:v>132.04102590554888</c:v>
                </c:pt>
                <c:pt idx="60">
                  <c:v>134.69742709893697</c:v>
                </c:pt>
                <c:pt idx="61">
                  <c:v>137.39963088470813</c:v>
                </c:pt>
                <c:pt idx="62">
                  <c:v>140.14710117653937</c:v>
                </c:pt>
                <c:pt idx="63">
                  <c:v>142.9393282664202</c:v>
                </c:pt>
                <c:pt idx="64">
                  <c:v>145.77582704240703</c:v>
                </c:pt>
                <c:pt idx="65">
                  <c:v>148.65613535239066</c:v>
                </c:pt>
                <c:pt idx="66">
                  <c:v>151.57981249999975</c:v>
                </c:pt>
                <c:pt idx="67">
                  <c:v>154.54643786025878</c:v>
                </c:pt>
                <c:pt idx="68">
                  <c:v>157.5556096039264</c:v>
                </c:pt>
                <c:pt idx="69">
                  <c:v>160.60694352060352</c:v>
                </c:pt>
                <c:pt idx="70">
                  <c:v>163.70007193172444</c:v>
                </c:pt>
                <c:pt idx="71">
                  <c:v>166.83464268544088</c:v>
                </c:pt>
                <c:pt idx="72">
                  <c:v>170.01031822622934</c:v>
                </c:pt>
                <c:pt idx="73">
                  <c:v>173.22677473274638</c:v>
                </c:pt>
                <c:pt idx="74">
                  <c:v>176.48370131810645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AE-4819-B550-8BF5E403A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18536"/>
        <c:axId val="1"/>
      </c:scatterChart>
      <c:valAx>
        <c:axId val="29461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294618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per unit of time</a:t>
            </a:r>
          </a:p>
        </c:rich>
      </c:tx>
      <c:layout>
        <c:manualLayout>
          <c:xMode val="edge"/>
          <c:yMode val="edge"/>
          <c:x val="8.1319335083114605E-2"/>
          <c:y val="3.240740740740740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'Cost Models'!$E$14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'Cost Models'!$D$15:$D$89</c:f>
              <c:numCache>
                <c:formatCode>General</c:formatCode>
                <c:ptCount val="75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58</c:v>
                </c:pt>
                <c:pt idx="17">
                  <c:v>61</c:v>
                </c:pt>
                <c:pt idx="18">
                  <c:v>64</c:v>
                </c:pt>
                <c:pt idx="19">
                  <c:v>67</c:v>
                </c:pt>
                <c:pt idx="20">
                  <c:v>70</c:v>
                </c:pt>
                <c:pt idx="21">
                  <c:v>73</c:v>
                </c:pt>
                <c:pt idx="22">
                  <c:v>76</c:v>
                </c:pt>
                <c:pt idx="23">
                  <c:v>79</c:v>
                </c:pt>
                <c:pt idx="24">
                  <c:v>82</c:v>
                </c:pt>
                <c:pt idx="25">
                  <c:v>85</c:v>
                </c:pt>
                <c:pt idx="26">
                  <c:v>88</c:v>
                </c:pt>
                <c:pt idx="27">
                  <c:v>91</c:v>
                </c:pt>
                <c:pt idx="28">
                  <c:v>94</c:v>
                </c:pt>
                <c:pt idx="29">
                  <c:v>97</c:v>
                </c:pt>
                <c:pt idx="30">
                  <c:v>100</c:v>
                </c:pt>
                <c:pt idx="31">
                  <c:v>103</c:v>
                </c:pt>
                <c:pt idx="32">
                  <c:v>106</c:v>
                </c:pt>
                <c:pt idx="33">
                  <c:v>109</c:v>
                </c:pt>
                <c:pt idx="34">
                  <c:v>112</c:v>
                </c:pt>
                <c:pt idx="35">
                  <c:v>115</c:v>
                </c:pt>
                <c:pt idx="36">
                  <c:v>118</c:v>
                </c:pt>
                <c:pt idx="37">
                  <c:v>121</c:v>
                </c:pt>
                <c:pt idx="38">
                  <c:v>124</c:v>
                </c:pt>
                <c:pt idx="39">
                  <c:v>127</c:v>
                </c:pt>
                <c:pt idx="40">
                  <c:v>130</c:v>
                </c:pt>
                <c:pt idx="41">
                  <c:v>133</c:v>
                </c:pt>
                <c:pt idx="42">
                  <c:v>136</c:v>
                </c:pt>
                <c:pt idx="43">
                  <c:v>139</c:v>
                </c:pt>
                <c:pt idx="44">
                  <c:v>142</c:v>
                </c:pt>
                <c:pt idx="45">
                  <c:v>145</c:v>
                </c:pt>
                <c:pt idx="46">
                  <c:v>148</c:v>
                </c:pt>
                <c:pt idx="47">
                  <c:v>151</c:v>
                </c:pt>
                <c:pt idx="48">
                  <c:v>154</c:v>
                </c:pt>
                <c:pt idx="49">
                  <c:v>157</c:v>
                </c:pt>
                <c:pt idx="50">
                  <c:v>160</c:v>
                </c:pt>
                <c:pt idx="51">
                  <c:v>163</c:v>
                </c:pt>
                <c:pt idx="52">
                  <c:v>166</c:v>
                </c:pt>
                <c:pt idx="53">
                  <c:v>169</c:v>
                </c:pt>
                <c:pt idx="54">
                  <c:v>172</c:v>
                </c:pt>
                <c:pt idx="55">
                  <c:v>175</c:v>
                </c:pt>
                <c:pt idx="56">
                  <c:v>178</c:v>
                </c:pt>
                <c:pt idx="57">
                  <c:v>181</c:v>
                </c:pt>
                <c:pt idx="58">
                  <c:v>184</c:v>
                </c:pt>
                <c:pt idx="59">
                  <c:v>187</c:v>
                </c:pt>
                <c:pt idx="60">
                  <c:v>190</c:v>
                </c:pt>
                <c:pt idx="61">
                  <c:v>193</c:v>
                </c:pt>
                <c:pt idx="62">
                  <c:v>196</c:v>
                </c:pt>
                <c:pt idx="63">
                  <c:v>199</c:v>
                </c:pt>
                <c:pt idx="64">
                  <c:v>202</c:v>
                </c:pt>
                <c:pt idx="65">
                  <c:v>205</c:v>
                </c:pt>
                <c:pt idx="66">
                  <c:v>208</c:v>
                </c:pt>
                <c:pt idx="67">
                  <c:v>211</c:v>
                </c:pt>
                <c:pt idx="68">
                  <c:v>214</c:v>
                </c:pt>
                <c:pt idx="69">
                  <c:v>217</c:v>
                </c:pt>
                <c:pt idx="70">
                  <c:v>220</c:v>
                </c:pt>
                <c:pt idx="71">
                  <c:v>223</c:v>
                </c:pt>
                <c:pt idx="72">
                  <c:v>226</c:v>
                </c:pt>
                <c:pt idx="73">
                  <c:v>229</c:v>
                </c:pt>
                <c:pt idx="74">
                  <c:v>232</c:v>
                </c:pt>
              </c:numCache>
            </c:numRef>
          </c:xVal>
          <c:yVal>
            <c:numRef>
              <c:f>'Cost Models'!$E$15:$E$89</c:f>
              <c:numCache>
                <c:formatCode>"$"#,##0.00</c:formatCode>
                <c:ptCount val="75"/>
                <c:pt idx="0">
                  <c:v>20.03154786722401</c:v>
                </c:pt>
                <c:pt idx="1">
                  <c:v>15.435205775908642</c:v>
                </c:pt>
                <c:pt idx="2">
                  <c:v>12.57351669471981</c:v>
                </c:pt>
                <c:pt idx="3">
                  <c:v>10.626483209059202</c:v>
                </c:pt>
                <c:pt idx="4">
                  <c:v>9.2213250771023318</c:v>
                </c:pt>
                <c:pt idx="5">
                  <c:v>8.1641579877752353</c:v>
                </c:pt>
                <c:pt idx="6">
                  <c:v>7.3441620959266558</c:v>
                </c:pt>
                <c:pt idx="7">
                  <c:v>6.6933932817905921</c:v>
                </c:pt>
                <c:pt idx="8">
                  <c:v>6.1678699959293004</c:v>
                </c:pt>
                <c:pt idx="9">
                  <c:v>5.7378605881256073</c:v>
                </c:pt>
                <c:pt idx="10">
                  <c:v>5.3825409999160145</c:v>
                </c:pt>
                <c:pt idx="11">
                  <c:v>5.0868885389604594</c:v>
                </c:pt>
                <c:pt idx="12">
                  <c:v>4.8397909675910391</c:v>
                </c:pt>
                <c:pt idx="13">
                  <c:v>4.6328500912875246</c:v>
                </c:pt>
                <c:pt idx="14">
                  <c:v>4.4595993996693055</c:v>
                </c:pt>
                <c:pt idx="15">
                  <c:v>4.3149776838740124</c:v>
                </c:pt>
                <c:pt idx="16">
                  <c:v>4.1949659611778101</c:v>
                </c:pt>
                <c:pt idx="17">
                  <c:v>4.0963314950982266</c:v>
                </c:pt>
                <c:pt idx="18">
                  <c:v>4.0164437768152297</c:v>
                </c:pt>
                <c:pt idx="19">
                  <c:v>3.9531399178285538</c:v>
                </c:pt>
                <c:pt idx="20">
                  <c:v>3.904624634292273</c:v>
                </c:pt>
                <c:pt idx="21">
                  <c:v>3.869394874964593</c:v>
                </c:pt>
                <c:pt idx="22">
                  <c:v>3.8461822856913619</c:v>
                </c:pt>
                <c:pt idx="23">
                  <c:v>3.8339087709280002</c:v>
                </c:pt>
                <c:pt idx="24">
                  <c:v>3.831651799676953</c:v>
                </c:pt>
                <c:pt idx="25">
                  <c:v>3.8386170496106136</c:v>
                </c:pt>
                <c:pt idx="26">
                  <c:v>3.854116639214352</c:v>
                </c:pt>
                <c:pt idx="27">
                  <c:v>3.8775516592242507</c:v>
                </c:pt>
                <c:pt idx="28">
                  <c:v>3.9083980435572432</c:v>
                </c:pt>
                <c:pt idx="29">
                  <c:v>3.9461950573172686</c:v>
                </c:pt>
                <c:pt idx="30">
                  <c:v>3.990535852767485</c:v>
                </c:pt>
                <c:pt idx="31">
                  <c:v>4.041059672046547</c:v>
                </c:pt>
                <c:pt idx="32">
                  <c:v>4.0974453707288108</c:v>
                </c:pt>
                <c:pt idx="33">
                  <c:v>4.159406008045611</c:v>
                </c:pt>
                <c:pt idx="34">
                  <c:v>4.2266843040187529</c:v>
                </c:pt>
                <c:pt idx="35">
                  <c:v>4.2990488054160307</c:v>
                </c:pt>
                <c:pt idx="36">
                  <c:v>4.3762906345688641</c:v>
                </c:pt>
                <c:pt idx="37">
                  <c:v>4.458220720056131</c:v>
                </c:pt>
                <c:pt idx="38">
                  <c:v>4.5446674277888643</c:v>
                </c:pt>
                <c:pt idx="39">
                  <c:v>4.6354745264113912</c:v>
                </c:pt>
                <c:pt idx="40">
                  <c:v>4.7304994331222385</c:v>
                </c:pt>
                <c:pt idx="41">
                  <c:v>4.8296116957335302</c:v>
                </c:pt>
                <c:pt idx="42">
                  <c:v>4.9326916745750733</c:v>
                </c:pt>
                <c:pt idx="43">
                  <c:v>5.039629394125603</c:v>
                </c:pt>
                <c:pt idx="44">
                  <c:v>5.1503235393369078</c:v>
                </c:pt>
                <c:pt idx="45">
                  <c:v>5.2646805757544097</c:v>
                </c:pt>
                <c:pt idx="46">
                  <c:v>5.3826139759213607</c:v>
                </c:pt>
                <c:pt idx="47">
                  <c:v>5.5040435373325902</c:v>
                </c:pt>
                <c:pt idx="48">
                  <c:v>5.6288947794961626</c:v>
                </c:pt>
                <c:pt idx="49">
                  <c:v>5.7570984095598048</c:v>
                </c:pt>
                <c:pt idx="50">
                  <c:v>5.8885898475372409</c:v>
                </c:pt>
                <c:pt idx="51">
                  <c:v>6.0233088034868967</c:v>
                </c:pt>
                <c:pt idx="52">
                  <c:v>6.1611989000987508</c:v>
                </c:pt>
                <c:pt idx="53">
                  <c:v>6.3022073350723353</c:v>
                </c:pt>
                <c:pt idx="54">
                  <c:v>6.4462845784507543</c:v>
                </c:pt>
                <c:pt idx="55">
                  <c:v>6.5933841007368947</c:v>
                </c:pt>
                <c:pt idx="56">
                  <c:v>6.7434621281794511</c:v>
                </c:pt>
                <c:pt idx="57">
                  <c:v>6.8964774220939713</c:v>
                </c:pt>
                <c:pt idx="58">
                  <c:v>7.0523910794915263</c:v>
                </c:pt>
                <c:pt idx="59">
                  <c:v>7.2111663526370799</c:v>
                </c:pt>
                <c:pt idx="60">
                  <c:v>7.3727684854585362</c:v>
                </c:pt>
                <c:pt idx="61">
                  <c:v>7.537164564985317</c:v>
                </c:pt>
                <c:pt idx="62">
                  <c:v>7.7043233862175038</c:v>
                </c:pt>
                <c:pt idx="63">
                  <c:v>7.8742153290186172</c:v>
                </c:pt>
                <c:pt idx="64">
                  <c:v>8.0468122457916884</c:v>
                </c:pt>
                <c:pt idx="65">
                  <c:v>8.222087358842856</c:v>
                </c:pt>
                <c:pt idx="66">
                  <c:v>8.4000151664626266</c:v>
                </c:pt>
                <c:pt idx="67">
                  <c:v>8.5805713568646524</c:v>
                </c:pt>
                <c:pt idx="68">
                  <c:v>8.7637327292180629</c:v>
                </c:pt>
                <c:pt idx="69">
                  <c:v>8.9494771210934427</c:v>
                </c:pt>
                <c:pt idx="70">
                  <c:v>9.1377833417161227</c:v>
                </c:pt>
                <c:pt idx="71">
                  <c:v>9.3286311104856523</c:v>
                </c:pt>
                <c:pt idx="72">
                  <c:v>9.522001000277351</c:v>
                </c:pt>
                <c:pt idx="73">
                  <c:v>9.7178743850921503</c:v>
                </c:pt>
                <c:pt idx="74">
                  <c:v>9.9162333916657861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1E-4D99-ADE3-DE2CA9B50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15584"/>
        <c:axId val="1"/>
      </c:scatterChart>
      <c:valAx>
        <c:axId val="29461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294615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1405138577861252E-2"/>
          <c:y val="7.1361502347417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426124197003"/>
          <c:y val="0.19209092539207437"/>
          <c:w val="0.78372591006423986"/>
          <c:h val="0.584747375825873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'Exponential Avail'!$C$6</c:f>
              <c:strCache>
                <c:ptCount val="1"/>
                <c:pt idx="0">
                  <c:v>A(t)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'Exponential Avail'!$B$7:$B$106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'Exponential Avail'!$C$7:$C$106</c:f>
              <c:numCache>
                <c:formatCode>General</c:formatCode>
                <c:ptCount val="100"/>
                <c:pt idx="0">
                  <c:v>0.99525354869458404</c:v>
                </c:pt>
                <c:pt idx="1">
                  <c:v>0.99098020218905647</c:v>
                </c:pt>
                <c:pt idx="2">
                  <c:v>0.98713280353662169</c:v>
                </c:pt>
                <c:pt idx="3">
                  <c:v>0.98366889618166931</c:v>
                </c:pt>
                <c:pt idx="4">
                  <c:v>0.9805502554460388</c:v>
                </c:pt>
                <c:pt idx="5">
                  <c:v>0.97774246671461407</c:v>
                </c:pt>
                <c:pt idx="6">
                  <c:v>0.97521454566547106</c:v>
                </c:pt>
                <c:pt idx="7">
                  <c:v>0.97293859635376567</c:v>
                </c:pt>
                <c:pt idx="8">
                  <c:v>0.97088950337627389</c:v>
                </c:pt>
                <c:pt idx="9">
                  <c:v>0.96904465471957879</c:v>
                </c:pt>
                <c:pt idx="10">
                  <c:v>0.96738369223349585</c:v>
                </c:pt>
                <c:pt idx="11">
                  <c:v>0.96588828697617946</c:v>
                </c:pt>
                <c:pt idx="12">
                  <c:v>0.96454193695181312</c:v>
                </c:pt>
                <c:pt idx="13">
                  <c:v>0.96332978500889155</c:v>
                </c:pt>
                <c:pt idx="14">
                  <c:v>0.9622384548895786</c:v>
                </c:pt>
                <c:pt idx="15">
                  <c:v>0.96125590362092428</c:v>
                </c:pt>
                <c:pt idx="16">
                  <c:v>0.96037128861905641</c:v>
                </c:pt>
                <c:pt idx="17">
                  <c:v>0.95957484803982718</c:v>
                </c:pt>
                <c:pt idx="18">
                  <c:v>0.95885779305556418</c:v>
                </c:pt>
                <c:pt idx="19">
                  <c:v>0.95821221086918951</c:v>
                </c:pt>
                <c:pt idx="20">
                  <c:v>0.95763097739545167</c:v>
                </c:pt>
                <c:pt idx="21">
                  <c:v>0.95710767864569735</c:v>
                </c:pt>
                <c:pt idx="22">
                  <c:v>0.95663653994865483</c:v>
                </c:pt>
                <c:pt idx="23">
                  <c:v>0.95621236222616812</c:v>
                </c:pt>
                <c:pt idx="24">
                  <c:v>0.95583046462067855</c:v>
                </c:pt>
                <c:pt idx="25">
                  <c:v>0.95548663284133939</c:v>
                </c:pt>
                <c:pt idx="26">
                  <c:v>0.95517707265875573</c:v>
                </c:pt>
                <c:pt idx="27">
                  <c:v>0.95489836803515948</c:v>
                </c:pt>
                <c:pt idx="28">
                  <c:v>0.95464744342797758</c:v>
                </c:pt>
                <c:pt idx="29">
                  <c:v>0.95442152985081141</c:v>
                </c:pt>
                <c:pt idx="30">
                  <c:v>0.95421813431730351</c:v>
                </c:pt>
                <c:pt idx="31">
                  <c:v>0.95403501233070176</c:v>
                </c:pt>
                <c:pt idx="32">
                  <c:v>0.95387014311553953</c:v>
                </c:pt>
                <c:pt idx="33">
                  <c:v>0.95372170731810946</c:v>
                </c:pt>
                <c:pt idx="34">
                  <c:v>0.95358806692965348</c:v>
                </c:pt>
                <c:pt idx="35">
                  <c:v>0.9534677472107187</c:v>
                </c:pt>
                <c:pt idx="36">
                  <c:v>0.95335942041721089</c:v>
                </c:pt>
                <c:pt idx="37">
                  <c:v>0.95326189114856275</c:v>
                </c:pt>
                <c:pt idx="38">
                  <c:v>0.9531740831563289</c:v>
                </c:pt>
                <c:pt idx="39">
                  <c:v>0.95309502746764174</c:v>
                </c:pt>
                <c:pt idx="40">
                  <c:v>0.95302385169246673</c:v>
                </c:pt>
                <c:pt idx="41">
                  <c:v>0.95295977039666258</c:v>
                </c:pt>
                <c:pt idx="42">
                  <c:v>0.952902076434611</c:v>
                </c:pt>
                <c:pt idx="43">
                  <c:v>0.95285013314577072</c:v>
                </c:pt>
                <c:pt idx="44">
                  <c:v>0.95280336732904414</c:v>
                </c:pt>
                <c:pt idx="45">
                  <c:v>0.95276126291742635</c:v>
                </c:pt>
                <c:pt idx="46">
                  <c:v>0.9527233552831379</c:v>
                </c:pt>
                <c:pt idx="47">
                  <c:v>0.95268922611039464</c:v>
                </c:pt>
                <c:pt idx="48">
                  <c:v>0.95265849877923836</c:v>
                </c:pt>
                <c:pt idx="49">
                  <c:v>0.9526308342094848</c:v>
                </c:pt>
                <c:pt idx="50">
                  <c:v>0.95260592711892877</c:v>
                </c:pt>
                <c:pt idx="51">
                  <c:v>0.95258350265451497</c:v>
                </c:pt>
                <c:pt idx="52">
                  <c:v>0.95256331335929734</c:v>
                </c:pt>
                <c:pt idx="53">
                  <c:v>0.95254513644171912</c:v>
                </c:pt>
                <c:pt idx="54">
                  <c:v>0.95252877131707847</c:v>
                </c:pt>
                <c:pt idx="55">
                  <c:v>0.95251403739404927</c:v>
                </c:pt>
                <c:pt idx="56">
                  <c:v>0.95250077208183226</c:v>
                </c:pt>
                <c:pt idx="57">
                  <c:v>0.95248882899594345</c:v>
                </c:pt>
                <c:pt idx="58">
                  <c:v>0.95247807634284243</c:v>
                </c:pt>
                <c:pt idx="59">
                  <c:v>0.95246839546557271</c:v>
                </c:pt>
                <c:pt idx="60">
                  <c:v>0.95245967953436672</c:v>
                </c:pt>
                <c:pt idx="61">
                  <c:v>0.95245183236776465</c:v>
                </c:pt>
                <c:pt idx="62">
                  <c:v>0.95244476737124006</c:v>
                </c:pt>
                <c:pt idx="63">
                  <c:v>0.95243840658161705</c:v>
                </c:pt>
                <c:pt idx="64">
                  <c:v>0.95243267980673629</c:v>
                </c:pt>
                <c:pt idx="65">
                  <c:v>0.95242752385087592</c:v>
                </c:pt>
                <c:pt idx="66">
                  <c:v>0.95242288181737744</c:v>
                </c:pt>
                <c:pt idx="67">
                  <c:v>0.95241870248078409</c:v>
                </c:pt>
                <c:pt idx="68">
                  <c:v>0.95241493972156088</c:v>
                </c:pt>
                <c:pt idx="69">
                  <c:v>0.95241155201715977</c:v>
                </c:pt>
                <c:pt idx="70">
                  <c:v>0.95240850198381211</c:v>
                </c:pt>
                <c:pt idx="71">
                  <c:v>0.95240575596399446</c:v>
                </c:pt>
                <c:pt idx="72">
                  <c:v>0.95240328365501314</c:v>
                </c:pt>
                <c:pt idx="73">
                  <c:v>0.95240105777460993</c:v>
                </c:pt>
                <c:pt idx="74">
                  <c:v>0.95239905375989853</c:v>
                </c:pt>
                <c:pt idx="75">
                  <c:v>0.95239724949631022</c:v>
                </c:pt>
                <c:pt idx="76">
                  <c:v>0.95239562507355646</c:v>
                </c:pt>
                <c:pt idx="77">
                  <c:v>0.95239416256591614</c:v>
                </c:pt>
                <c:pt idx="78">
                  <c:v>0.95239284583442319</c:v>
                </c:pt>
                <c:pt idx="79">
                  <c:v>0.95239166034877032</c:v>
                </c:pt>
                <c:pt idx="80">
                  <c:v>0.95239059302696594</c:v>
                </c:pt>
                <c:pt idx="81">
                  <c:v>0.95238963209097194</c:v>
                </c:pt>
                <c:pt idx="82">
                  <c:v>0.95238876693673191</c:v>
                </c:pt>
                <c:pt idx="83">
                  <c:v>0.95238798801715385</c:v>
                </c:pt>
                <c:pt idx="84">
                  <c:v>0.95238728673675654</c:v>
                </c:pt>
                <c:pt idx="85">
                  <c:v>0.95238665535681766</c:v>
                </c:pt>
                <c:pt idx="86">
                  <c:v>0.95238608690997562</c:v>
                </c:pt>
                <c:pt idx="87">
                  <c:v>0.95238557512334387</c:v>
                </c:pt>
                <c:pt idx="88">
                  <c:v>0.95238511434928907</c:v>
                </c:pt>
                <c:pt idx="89">
                  <c:v>0.95238469950310811</c:v>
                </c:pt>
                <c:pt idx="90">
                  <c:v>0.95238432600691836</c:v>
                </c:pt>
                <c:pt idx="91">
                  <c:v>0.95238398973913951</c:v>
                </c:pt>
                <c:pt idx="92">
                  <c:v>0.95238368698901221</c:v>
                </c:pt>
                <c:pt idx="93">
                  <c:v>0.95238341441564822</c:v>
                </c:pt>
                <c:pt idx="94">
                  <c:v>0.95238316901116449</c:v>
                </c:pt>
                <c:pt idx="95">
                  <c:v>0.95238294806748991</c:v>
                </c:pt>
                <c:pt idx="96">
                  <c:v>0.95238274914648147</c:v>
                </c:pt>
                <c:pt idx="97">
                  <c:v>0.95238257005301952</c:v>
                </c:pt>
                <c:pt idx="98">
                  <c:v>0.95238240881078395</c:v>
                </c:pt>
                <c:pt idx="99">
                  <c:v>0.9523822636404452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B-4FFD-8BAD-2727AB07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299288"/>
        <c:axId val="1"/>
      </c:scatterChart>
      <c:valAx>
        <c:axId val="29529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749461821859421"/>
              <c:y val="0.87853343684152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52992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8599792672974695E-2"/>
          <c:y val="7.80141843971631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075703351253407E-2"/>
          <c:y val="0.18351087660883036"/>
          <c:w val="0.85210153960538637"/>
          <c:h val="0.68351152591984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'Inspect &amp; Repair'!$C$7</c:f>
              <c:strCache>
                <c:ptCount val="1"/>
                <c:pt idx="0">
                  <c:v>A(T)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'Inspect &amp; Repair'!$B$8:$B$107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'Inspect &amp; Repair'!$C$8:$C$107</c:f>
              <c:numCache>
                <c:formatCode>General</c:formatCode>
                <c:ptCount val="100"/>
                <c:pt idx="0">
                  <c:v>0.38281895269259258</c:v>
                </c:pt>
                <c:pt idx="1">
                  <c:v>0.55151041053130634</c:v>
                </c:pt>
                <c:pt idx="2">
                  <c:v>0.64618771434430844</c:v>
                </c:pt>
                <c:pt idx="3">
                  <c:v>0.70661017805466464</c:v>
                </c:pt>
                <c:pt idx="4">
                  <c:v>0.74838479851888284</c:v>
                </c:pt>
                <c:pt idx="5">
                  <c:v>0.77888786031748258</c:v>
                </c:pt>
                <c:pt idx="6">
                  <c:v>0.80205872743911377</c:v>
                </c:pt>
                <c:pt idx="7">
                  <c:v>0.82019275193170549</c:v>
                </c:pt>
                <c:pt idx="8">
                  <c:v>0.83471786761359823</c:v>
                </c:pt>
                <c:pt idx="9">
                  <c:v>0.84656896902987733</c:v>
                </c:pt>
                <c:pt idx="10">
                  <c:v>0.85638379885583427</c:v>
                </c:pt>
                <c:pt idx="11">
                  <c:v>0.86461231744996014</c:v>
                </c:pt>
                <c:pt idx="12">
                  <c:v>0.87158107905619298</c:v>
                </c:pt>
                <c:pt idx="13">
                  <c:v>0.8775328237195007</c:v>
                </c:pt>
                <c:pt idx="14">
                  <c:v>0.88265174572234184</c:v>
                </c:pt>
                <c:pt idx="15">
                  <c:v>0.88708014031691051</c:v>
                </c:pt>
                <c:pt idx="16">
                  <c:v>0.89092967614087126</c:v>
                </c:pt>
                <c:pt idx="17">
                  <c:v>0.89428921420874685</c:v>
                </c:pt>
                <c:pt idx="18">
                  <c:v>0.89723034784136979</c:v>
                </c:pt>
                <c:pt idx="19">
                  <c:v>0.8998114026396371</c:v>
                </c:pt>
                <c:pt idx="20">
                  <c:v>0.90208037380186989</c:v>
                </c:pt>
                <c:pt idx="21">
                  <c:v>0.90407711618307296</c:v>
                </c:pt>
                <c:pt idx="22">
                  <c:v>0.90583499986232885</c:v>
                </c:pt>
                <c:pt idx="23">
                  <c:v>0.90738217745547822</c:v>
                </c:pt>
                <c:pt idx="24">
                  <c:v>0.90874256540394149</c:v>
                </c:pt>
                <c:pt idx="25">
                  <c:v>0.90993661182205932</c:v>
                </c:pt>
                <c:pt idx="26">
                  <c:v>0.91098190317168493</c:v>
                </c:pt>
                <c:pt idx="27">
                  <c:v>0.91189364789887906</c:v>
                </c:pt>
                <c:pt idx="28">
                  <c:v>0.91268506519261183</c:v>
                </c:pt>
                <c:pt idx="29">
                  <c:v>0.91336769989292343</c:v>
                </c:pt>
                <c:pt idx="30">
                  <c:v>0.91395167941341893</c:v>
                </c:pt>
                <c:pt idx="31">
                  <c:v>0.91444592476392639</c:v>
                </c:pt>
                <c:pt idx="32">
                  <c:v>0.91485832496351438</c:v>
                </c:pt>
                <c:pt idx="33">
                  <c:v>0.9151958820454611</c:v>
                </c:pt>
                <c:pt idx="34">
                  <c:v>0.9154648322810176</c:v>
                </c:pt>
                <c:pt idx="35">
                  <c:v>0.91567074805111581</c:v>
                </c:pt>
                <c:pt idx="36">
                  <c:v>0.91581862387683011</c:v>
                </c:pt>
                <c:pt idx="37">
                  <c:v>0.91591294940991685</c:v>
                </c:pt>
                <c:pt idx="38">
                  <c:v>0.91595777163250969</c:v>
                </c:pt>
                <c:pt idx="39">
                  <c:v>0.91595674808242866</c:v>
                </c:pt>
                <c:pt idx="40">
                  <c:v>0.9159131925792755</c:v>
                </c:pt>
                <c:pt idx="41">
                  <c:v>0.91583011465575503</c:v>
                </c:pt>
                <c:pt idx="42">
                  <c:v>0.91571025368250891</c:v>
                </c:pt>
                <c:pt idx="43">
                  <c:v>0.91555610850134983</c:v>
                </c:pt>
                <c:pt idx="44">
                  <c:v>0.91536996324180486</c:v>
                </c:pt>
                <c:pt idx="45">
                  <c:v>0.91515390988242795</c:v>
                </c:pt>
                <c:pt idx="46">
                  <c:v>0.91490986802589214</c:v>
                </c:pt>
                <c:pt idx="47">
                  <c:v>0.91463960228120322</c:v>
                </c:pt>
                <c:pt idx="48">
                  <c:v>0.91434473758415069</c:v>
                </c:pt>
                <c:pt idx="49">
                  <c:v>0.91402677273579103</c:v>
                </c:pt>
                <c:pt idx="50">
                  <c:v>0.91368709239616608</c:v>
                </c:pt>
                <c:pt idx="51">
                  <c:v>0.91332697773506288</c:v>
                </c:pt>
                <c:pt idx="52">
                  <c:v>0.91294761591202767</c:v>
                </c:pt>
                <c:pt idx="53">
                  <c:v>0.91255010853307905</c:v>
                </c:pt>
                <c:pt idx="54">
                  <c:v>0.91213547921070903</c:v>
                </c:pt>
                <c:pt idx="55">
                  <c:v>0.91170468033616991</c:v>
                </c:pt>
                <c:pt idx="56">
                  <c:v>0.91125859915817875</c:v>
                </c:pt>
                <c:pt idx="57">
                  <c:v>0.91079806324951151</c:v>
                </c:pt>
                <c:pt idx="58">
                  <c:v>0.91032384543221467</c:v>
                </c:pt>
                <c:pt idx="59">
                  <c:v>0.90983666822296572</c:v>
                </c:pt>
                <c:pt idx="60">
                  <c:v>0.90933720785226135</c:v>
                </c:pt>
                <c:pt idx="61">
                  <c:v>0.9088260979043471</c:v>
                </c:pt>
                <c:pt idx="62">
                  <c:v>0.90830393261898457</c:v>
                </c:pt>
                <c:pt idx="63">
                  <c:v>0.90777126989116641</c:v>
                </c:pt>
                <c:pt idx="64">
                  <c:v>0.90722863400051679</c:v>
                </c:pt>
                <c:pt idx="65">
                  <c:v>0.90667651809839112</c:v>
                </c:pt>
                <c:pt idx="66">
                  <c:v>0.90611538647738687</c:v>
                </c:pt>
                <c:pt idx="67">
                  <c:v>0.90554567664517138</c:v>
                </c:pt>
                <c:pt idx="68">
                  <c:v>0.90496780122202092</c:v>
                </c:pt>
                <c:pt idx="69">
                  <c:v>0.90438214967931596</c:v>
                </c:pt>
                <c:pt idx="70">
                  <c:v>0.90378908993432772</c:v>
                </c:pt>
                <c:pt idx="71">
                  <c:v>0.90318896981496799</c:v>
                </c:pt>
                <c:pt idx="72">
                  <c:v>0.90258211840670544</c:v>
                </c:pt>
                <c:pt idx="73">
                  <c:v>0.90196884729256455</c:v>
                </c:pt>
                <c:pt idx="74">
                  <c:v>0.90134945169597369</c:v>
                </c:pt>
                <c:pt idx="75">
                  <c:v>0.90072421153523474</c:v>
                </c:pt>
                <c:pt idx="76">
                  <c:v>0.90009339239747654</c:v>
                </c:pt>
                <c:pt idx="77">
                  <c:v>0.89945724643919067</c:v>
                </c:pt>
                <c:pt idx="78">
                  <c:v>0.89881601321970461</c:v>
                </c:pt>
                <c:pt idx="79">
                  <c:v>0.89816992047336897</c:v>
                </c:pt>
                <c:pt idx="80">
                  <c:v>0.89751918482563731</c:v>
                </c:pt>
                <c:pt idx="81">
                  <c:v>0.89686401245774339</c:v>
                </c:pt>
                <c:pt idx="82">
                  <c:v>0.89620459972423272</c:v>
                </c:pt>
                <c:pt idx="83">
                  <c:v>0.89554113372719535</c:v>
                </c:pt>
                <c:pt idx="84">
                  <c:v>0.89487379285071356</c:v>
                </c:pt>
                <c:pt idx="85">
                  <c:v>0.89420274725869087</c:v>
                </c:pt>
                <c:pt idx="86">
                  <c:v>0.89352815935896435</c:v>
                </c:pt>
                <c:pt idx="87">
                  <c:v>0.89285018423633244</c:v>
                </c:pt>
                <c:pt idx="88">
                  <c:v>0.89216897005690055</c:v>
                </c:pt>
                <c:pt idx="89">
                  <c:v>0.89148465844593572</c:v>
                </c:pt>
                <c:pt idx="90">
                  <c:v>0.89079738484123483</c:v>
                </c:pt>
                <c:pt idx="91">
                  <c:v>0.890107278823836</c:v>
                </c:pt>
                <c:pt idx="92">
                  <c:v>0.8894144644277524</c:v>
                </c:pt>
                <c:pt idx="93">
                  <c:v>0.88871906043026105</c:v>
                </c:pt>
                <c:pt idx="94">
                  <c:v>0.88802118062416158</c:v>
                </c:pt>
                <c:pt idx="95">
                  <c:v>0.88732093407329216</c:v>
                </c:pt>
                <c:pt idx="96">
                  <c:v>0.88661842535249435</c:v>
                </c:pt>
                <c:pt idx="97">
                  <c:v>0.8859137547731234</c:v>
                </c:pt>
                <c:pt idx="98">
                  <c:v>0.88520701859509832</c:v>
                </c:pt>
                <c:pt idx="99">
                  <c:v>0.88449830922643857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1-4797-8169-9EBE4489B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01912"/>
        <c:axId val="1"/>
      </c:scatterChart>
      <c:valAx>
        <c:axId val="29530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5301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182880</xdr:colOff>
          <xdr:row>23</xdr:row>
          <xdr:rowOff>68580</xdr:rowOff>
        </xdr:from>
        <xdr:to>
          <xdr:col>7</xdr:col>
          <xdr:colOff>137160</xdr:colOff>
          <xdr:row>27</xdr:row>
          <xdr:rowOff>76200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B6990FC9-6DC5-4189-B567-66DC2B1FB2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91440</xdr:colOff>
          <xdr:row>14</xdr:row>
          <xdr:rowOff>22860</xdr:rowOff>
        </xdr:from>
        <xdr:to>
          <xdr:col>12</xdr:col>
          <xdr:colOff>30480</xdr:colOff>
          <xdr:row>17</xdr:row>
          <xdr:rowOff>137160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CBBD0662-E227-403F-AE9F-4F31FAB004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137160</xdr:colOff>
          <xdr:row>18</xdr:row>
          <xdr:rowOff>30480</xdr:rowOff>
        </xdr:from>
        <xdr:to>
          <xdr:col>11</xdr:col>
          <xdr:colOff>22860</xdr:colOff>
          <xdr:row>21</xdr:row>
          <xdr:rowOff>38100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B0A4695A-8088-4685-B87E-04432683B4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137160</xdr:colOff>
          <xdr:row>10</xdr:row>
          <xdr:rowOff>60960</xdr:rowOff>
        </xdr:from>
        <xdr:to>
          <xdr:col>11</xdr:col>
          <xdr:colOff>411480</xdr:colOff>
          <xdr:row>14</xdr:row>
          <xdr:rowOff>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DBF9F85B-FC1D-4677-A33E-38B0F62C17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1</xdr:row>
      <xdr:rowOff>129540</xdr:rowOff>
    </xdr:from>
    <xdr:to>
      <xdr:col>12</xdr:col>
      <xdr:colOff>449580</xdr:colOff>
      <xdr:row>18</xdr:row>
      <xdr:rowOff>106680</xdr:rowOff>
    </xdr:to>
    <xdr:graphicFrame macro="">
      <xdr:nvGraphicFramePr>
        <xdr:cNvPr id="18459" name="Chart 1">
          <a:extLst>
            <a:ext uri="{FF2B5EF4-FFF2-40B4-BE49-F238E27FC236}">
              <a16:creationId xmlns:a16="http://schemas.microsoft.com/office/drawing/2014/main" id="{838F7680-0D1C-4F13-B6CC-78B2FCFBE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144780</xdr:colOff>
      <xdr:row>18</xdr:row>
      <xdr:rowOff>106680</xdr:rowOff>
    </xdr:from>
    <xdr:to>
      <xdr:col>12</xdr:col>
      <xdr:colOff>449580</xdr:colOff>
      <xdr:row>35</xdr:row>
      <xdr:rowOff>99060</xdr:rowOff>
    </xdr:to>
    <xdr:graphicFrame macro="">
      <xdr:nvGraphicFramePr>
        <xdr:cNvPr id="18460" name="Chart 2">
          <a:extLst>
            <a:ext uri="{FF2B5EF4-FFF2-40B4-BE49-F238E27FC236}">
              <a16:creationId xmlns:a16="http://schemas.microsoft.com/office/drawing/2014/main" id="{63A529F4-E233-42FA-89F7-7A30C9482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0.65208</cdr:x>
      <cdr:y>0.57465</cdr:y>
    </cdr:from>
    <cdr:to>
      <cdr:x>0.8511</cdr:x>
      <cdr:y>0.89545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81325" y="15525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/>
            <a:t>replacement time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0.66569</cdr:x>
      <cdr:y>0.60195</cdr:y>
    </cdr:from>
    <cdr:to>
      <cdr:x>0.86423</cdr:x>
      <cdr:y>0.92467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48000" y="1628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/>
            <a:t>PM Interval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5</xdr:row>
      <xdr:rowOff>22860</xdr:rowOff>
    </xdr:from>
    <xdr:to>
      <xdr:col>11</xdr:col>
      <xdr:colOff>7620</xdr:colOff>
      <xdr:row>25</xdr:row>
      <xdr:rowOff>137160</xdr:rowOff>
    </xdr:to>
    <xdr:graphicFrame macro="">
      <xdr:nvGraphicFramePr>
        <xdr:cNvPr id="1048" name="Chart 1">
          <a:extLst>
            <a:ext uri="{FF2B5EF4-FFF2-40B4-BE49-F238E27FC236}">
              <a16:creationId xmlns:a16="http://schemas.microsoft.com/office/drawing/2014/main" id="{7F25C898-06F8-4342-9633-40CCF7F4E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6</xdr:row>
      <xdr:rowOff>60960</xdr:rowOff>
    </xdr:from>
    <xdr:to>
      <xdr:col>13</xdr:col>
      <xdr:colOff>198120</xdr:colOff>
      <xdr:row>28</xdr:row>
      <xdr:rowOff>76200</xdr:rowOff>
    </xdr:to>
    <xdr:graphicFrame macro="">
      <xdr:nvGraphicFramePr>
        <xdr:cNvPr id="2074" name="Chart 2">
          <a:extLst>
            <a:ext uri="{FF2B5EF4-FFF2-40B4-BE49-F238E27FC236}">
              <a16:creationId xmlns:a16="http://schemas.microsoft.com/office/drawing/2014/main" id="{D2C61ACC-A2AC-4BC0-8003-0B9E0A0FC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556260</xdr:colOff>
          <xdr:row>6</xdr:row>
          <xdr:rowOff>121920</xdr:rowOff>
        </xdr:from>
        <xdr:to>
          <xdr:col>11</xdr:col>
          <xdr:colOff>502920</xdr:colOff>
          <xdr:row>10</xdr:row>
          <xdr:rowOff>60960</xdr:rowOff>
        </xdr:to>
        <xdr:sp macro="" textlink="">
          <xdr:nvSpPr>
            <xdr:cNvPr id="2067" name="Object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8E28A381-2797-4ADF-9091-74247F0FAF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0.62042</cdr:x>
      <cdr:y>0.72198</cdr:y>
    </cdr:from>
    <cdr:to>
      <cdr:x>0.78249</cdr:x>
      <cdr:y>0.97364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14725" y="2571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 b="1"/>
            <a:t>inspection interval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workbookViewId="0">
      <selection activeCell="L6" sqref="L6"/>
    </sheetView>
  </sheetViews>
  <sheetFormatPr defaultRowHeight="13.2" x14ac:dyDescent="0.25"/>
  <cols>
    <col min="1" max="1" width="20.44140625" customWidth="1"/>
    <col min="3" max="3" width="6.109375" customWidth="1"/>
    <col min="5" max="5" width="7" customWidth="1"/>
    <col min="6" max="6" width="11.109375" customWidth="1"/>
    <col min="7" max="7" width="6.88671875" customWidth="1"/>
    <col min="9" max="9" width="8.33203125" customWidth="1"/>
    <col min="10" max="10" width="13" customWidth="1"/>
    <col min="11" max="11" width="10.5546875" customWidth="1"/>
    <col min="12" max="12" width="8" customWidth="1"/>
  </cols>
  <sheetData>
    <row r="1" spans="1:12" ht="15" x14ac:dyDescent="0.25">
      <c r="A1" s="131"/>
      <c r="B1" s="132" t="s">
        <v>51</v>
      </c>
      <c r="C1" s="132"/>
      <c r="D1" s="132"/>
      <c r="E1" s="132"/>
      <c r="F1" s="132"/>
      <c r="G1" s="132"/>
      <c r="H1" s="132"/>
      <c r="I1" s="132"/>
      <c r="J1" s="132"/>
      <c r="K1" s="132"/>
      <c r="L1" s="133"/>
    </row>
    <row r="2" spans="1:12" ht="34.200000000000003" thickBot="1" x14ac:dyDescent="0.3">
      <c r="A2" s="172" t="s">
        <v>10</v>
      </c>
      <c r="B2" s="171" t="s">
        <v>11</v>
      </c>
      <c r="C2" s="31">
        <v>10</v>
      </c>
      <c r="D2" s="171" t="s">
        <v>12</v>
      </c>
      <c r="E2" s="31">
        <v>200</v>
      </c>
      <c r="F2" s="170" t="s">
        <v>25</v>
      </c>
      <c r="G2" s="31">
        <v>1</v>
      </c>
      <c r="H2" s="169" t="s">
        <v>81</v>
      </c>
      <c r="I2" s="32">
        <v>5000</v>
      </c>
      <c r="J2" s="167" t="s">
        <v>18</v>
      </c>
      <c r="K2" s="168" t="s">
        <v>23</v>
      </c>
      <c r="L2" s="33">
        <v>2</v>
      </c>
    </row>
    <row r="3" spans="1:12" ht="24.6" thickBot="1" x14ac:dyDescent="0.35">
      <c r="A3" s="157" t="s">
        <v>9</v>
      </c>
      <c r="B3" s="158" t="s">
        <v>0</v>
      </c>
      <c r="C3" s="159"/>
      <c r="D3" s="158" t="s">
        <v>2</v>
      </c>
      <c r="E3" s="154"/>
      <c r="F3" s="158" t="s">
        <v>5</v>
      </c>
      <c r="G3" s="154"/>
      <c r="H3" s="158" t="s">
        <v>7</v>
      </c>
      <c r="I3" s="154"/>
      <c r="J3" s="165" t="s">
        <v>19</v>
      </c>
      <c r="K3" s="165" t="s">
        <v>24</v>
      </c>
      <c r="L3" s="166" t="s">
        <v>3</v>
      </c>
    </row>
    <row r="4" spans="1:12" ht="18" thickBot="1" x14ac:dyDescent="0.35">
      <c r="A4" s="150"/>
      <c r="B4" s="160" t="s">
        <v>1</v>
      </c>
      <c r="C4" s="154"/>
      <c r="D4" s="161" t="s">
        <v>3</v>
      </c>
      <c r="E4" s="162" t="s">
        <v>4</v>
      </c>
      <c r="F4" s="160" t="s">
        <v>1</v>
      </c>
      <c r="G4" s="163" t="s">
        <v>6</v>
      </c>
      <c r="H4" s="164" t="s">
        <v>1</v>
      </c>
      <c r="I4" s="163" t="s">
        <v>8</v>
      </c>
      <c r="J4" s="15">
        <v>200</v>
      </c>
      <c r="K4" s="16">
        <v>1.0000000000000001E-5</v>
      </c>
      <c r="L4" s="17">
        <v>1.7</v>
      </c>
    </row>
    <row r="5" spans="1:12" ht="14.4" thickBot="1" x14ac:dyDescent="0.3">
      <c r="A5" s="154" t="s">
        <v>27</v>
      </c>
      <c r="B5" s="44">
        <v>5</v>
      </c>
      <c r="C5" s="155"/>
      <c r="D5" s="45">
        <v>2</v>
      </c>
      <c r="E5" s="43">
        <v>5</v>
      </c>
      <c r="F5" s="45">
        <v>5</v>
      </c>
      <c r="G5" s="43">
        <v>5</v>
      </c>
      <c r="H5" s="45">
        <v>5</v>
      </c>
      <c r="I5" s="46">
        <v>0.8</v>
      </c>
      <c r="J5" s="53">
        <f>I2/J4</f>
        <v>25</v>
      </c>
      <c r="K5" s="156" t="s">
        <v>52</v>
      </c>
      <c r="L5" s="54">
        <f>K4*I2^L4</f>
        <v>19.419990242893377</v>
      </c>
    </row>
    <row r="6" spans="1:12" x14ac:dyDescent="0.25">
      <c r="A6" s="34" t="s">
        <v>13</v>
      </c>
      <c r="B6" s="37">
        <f>B5</f>
        <v>5</v>
      </c>
      <c r="C6" s="38"/>
      <c r="D6" s="41">
        <f>E5*EXP(GAMMALN(1+1/D5))</f>
        <v>4.4311346272637904</v>
      </c>
      <c r="E6" s="38"/>
      <c r="F6" s="37">
        <f>F5</f>
        <v>5</v>
      </c>
      <c r="G6" s="38"/>
      <c r="H6" s="41">
        <f>H5*EXP(I5^2/2)</f>
        <v>6.8856388216797857</v>
      </c>
      <c r="I6" s="42"/>
      <c r="J6" s="51"/>
      <c r="K6" s="51"/>
      <c r="L6" s="52"/>
    </row>
    <row r="7" spans="1:12" x14ac:dyDescent="0.25">
      <c r="A7" s="35" t="s">
        <v>14</v>
      </c>
      <c r="B7" s="39">
        <f>-$B$5*LN(0.75)</f>
        <v>1.4384103622589044</v>
      </c>
      <c r="C7" s="47"/>
      <c r="D7" s="39">
        <f>$E$5*(-LN(0.75)^(1/$D$5))</f>
        <v>2.6818001065132577</v>
      </c>
      <c r="E7" s="47"/>
      <c r="F7" s="39">
        <f>NORMINV(0.25,$F$5,$G$5)</f>
        <v>1.6275512490195903</v>
      </c>
      <c r="G7" s="47"/>
      <c r="H7" s="39">
        <f>LOGINV(0.25,LN($H$5),$I$5)</f>
        <v>2.9149308933831573</v>
      </c>
      <c r="I7" s="47"/>
      <c r="J7" s="25"/>
    </row>
    <row r="8" spans="1:12" x14ac:dyDescent="0.25">
      <c r="A8" s="35" t="s">
        <v>15</v>
      </c>
      <c r="B8" s="39">
        <f>-$B$5*LN(0.5)</f>
        <v>3.4657359027997265</v>
      </c>
      <c r="C8" s="47"/>
      <c r="D8" s="39">
        <f>$E$5*(-LN(0.5)^(1/$D$5))</f>
        <v>4.1627730557884881</v>
      </c>
      <c r="E8" s="47"/>
      <c r="F8" s="39">
        <f>NORMINV(0.5,$F$5,$G$5)</f>
        <v>5</v>
      </c>
      <c r="G8" s="47"/>
      <c r="H8" s="39">
        <f>LOGINV(0.5,LN($H$5),$I$5)</f>
        <v>4.9999999999999991</v>
      </c>
      <c r="I8" s="47"/>
      <c r="J8" s="25"/>
    </row>
    <row r="9" spans="1:12" x14ac:dyDescent="0.25">
      <c r="A9" s="35" t="s">
        <v>16</v>
      </c>
      <c r="B9" s="39">
        <f>-$B$5*LN(0.25)</f>
        <v>6.9314718055994531</v>
      </c>
      <c r="C9" s="47"/>
      <c r="D9" s="39">
        <f>$E$5*(-LN(0.25)^(1/$D$5))</f>
        <v>5.8870501125773735</v>
      </c>
      <c r="E9" s="47"/>
      <c r="F9" s="39">
        <f>NORMINV(0.75,$F$5,$G$5)</f>
        <v>8.3724487509804106</v>
      </c>
      <c r="G9" s="47"/>
      <c r="H9" s="39">
        <f>LOGINV(0.75,LN($H$5),$I$5)</f>
        <v>8.5765326570003975</v>
      </c>
      <c r="I9" s="47"/>
      <c r="J9" s="25"/>
    </row>
    <row r="10" spans="1:12" x14ac:dyDescent="0.25">
      <c r="A10" s="36" t="s">
        <v>17</v>
      </c>
      <c r="B10" s="48">
        <f>-$B$5*LN(0.1)</f>
        <v>11.512925464970227</v>
      </c>
      <c r="C10" s="49"/>
      <c r="D10" s="48">
        <f>$E$5*(-LN(0.1)^(1/$D$5))</f>
        <v>7.5871356469257307</v>
      </c>
      <c r="E10" s="49"/>
      <c r="F10" s="48">
        <f>NORMINV(0.9,$F$5,$G$5)</f>
        <v>11.407757827723003</v>
      </c>
      <c r="G10" s="49"/>
      <c r="H10" s="48">
        <f>LOGINV(0.9,LN($H$5),$I$5)</f>
        <v>13.93883967624501</v>
      </c>
      <c r="I10" s="49"/>
      <c r="J10" s="25"/>
    </row>
    <row r="11" spans="1:12" x14ac:dyDescent="0.25">
      <c r="A11" s="149" t="s">
        <v>20</v>
      </c>
      <c r="B11" s="150"/>
      <c r="C11" s="151"/>
      <c r="D11" s="150"/>
      <c r="E11" s="151"/>
      <c r="F11" s="150"/>
      <c r="G11" s="151"/>
      <c r="H11" s="152"/>
      <c r="I11" s="151"/>
      <c r="J11" s="3"/>
    </row>
    <row r="12" spans="1:12" x14ac:dyDescent="0.25">
      <c r="A12" s="34" t="s">
        <v>21</v>
      </c>
      <c r="B12" s="39">
        <f>($J$5*B6+($I$2/$E$2)*$C$2)/($J$5+($I$2/$E$2))</f>
        <v>7.5</v>
      </c>
      <c r="C12" s="27"/>
      <c r="D12" s="39">
        <f>($J$5*D6+($I$2/$E$2)*$C$2)/($J$5+($I$2/$E$2))</f>
        <v>7.2155673136318956</v>
      </c>
      <c r="E12" s="27"/>
      <c r="F12" s="39">
        <f>($J$5*F6+($I$2/$E$2)*$C$2)/($J$5+($I$2/$E$2))</f>
        <v>7.5</v>
      </c>
      <c r="G12" s="27"/>
      <c r="H12" s="2">
        <f>($J$5*H6+($I$2/$E$2)*$C$2)/($J$5+($I$2/$E$2))</f>
        <v>8.4428194108398937</v>
      </c>
    </row>
    <row r="13" spans="1:12" x14ac:dyDescent="0.25">
      <c r="A13" s="36" t="s">
        <v>22</v>
      </c>
      <c r="B13" s="40">
        <f>($J$5*B6*$L$2+($I$2/$E$2)*$C$2*$G$2)/$I$2</f>
        <v>0.1</v>
      </c>
      <c r="C13" s="27"/>
      <c r="D13" s="39">
        <f>($J$5*D6*$L$2+($I$2/$E$2)*$C$2*$G$2)/$I$2</f>
        <v>9.4311346272637916E-2</v>
      </c>
      <c r="E13" s="27"/>
      <c r="F13" s="40">
        <f>($J$5*F6*$L$2+($I$2/$E$2)*$C$2*$G$2)/$I$2</f>
        <v>0.1</v>
      </c>
      <c r="G13" s="27"/>
      <c r="H13" s="2">
        <f>($J$5*H6*$L$2+($I$2/$E$2)*$C$2*$G$2)/$I$2</f>
        <v>0.11885638821679786</v>
      </c>
      <c r="J13" s="3"/>
    </row>
    <row r="14" spans="1:12" x14ac:dyDescent="0.25">
      <c r="A14" s="149" t="s">
        <v>26</v>
      </c>
      <c r="B14" s="149"/>
      <c r="C14" s="136"/>
      <c r="D14" s="149"/>
      <c r="E14" s="136"/>
      <c r="F14" s="149"/>
      <c r="G14" s="136"/>
      <c r="H14" s="135"/>
      <c r="I14" s="136"/>
      <c r="J14" s="3"/>
    </row>
    <row r="15" spans="1:12" x14ac:dyDescent="0.25">
      <c r="A15" s="34" t="s">
        <v>21</v>
      </c>
      <c r="B15" s="39">
        <f>($L$5*B6+($I$2/$E$2)*$C$2)/($L$5+($I$2/$E$2))</f>
        <v>7.8140483443712236</v>
      </c>
      <c r="C15" s="27"/>
      <c r="D15" s="39">
        <f>($L$5*D6+($I$2/$E$2)*$C$2)/($L$5+($I$2/$E$2))</f>
        <v>7.5653459036987032</v>
      </c>
      <c r="E15" s="27"/>
      <c r="F15" s="39">
        <f>($L$5*F6+($I$2/$E$2)*$C$2)/($L$5+($I$2/$E$2))</f>
        <v>7.8140483443712236</v>
      </c>
      <c r="G15" s="27"/>
      <c r="H15" s="2">
        <f>($L$5*H6+($I$2/$E$2)*$C$2)/($L$5+($I$2/$E$2))</f>
        <v>8.6384314052049884</v>
      </c>
      <c r="J15" s="3"/>
    </row>
    <row r="16" spans="1:12" x14ac:dyDescent="0.25">
      <c r="A16" s="36" t="s">
        <v>22</v>
      </c>
      <c r="B16" s="39">
        <f>($L$5*B6*$L$2+($I$2/$E$2)*$C$2*$G$2)/$I$2</f>
        <v>8.8839980485786757E-2</v>
      </c>
      <c r="C16" s="27"/>
      <c r="D16" s="39">
        <f>($L$5*D6*$L$2+($I$2/$E$2)*$C$2*$G$2)/$I$2</f>
        <v>8.4421036490563914E-2</v>
      </c>
      <c r="E16" s="27"/>
      <c r="F16" s="39">
        <f>($L$5*F6*$L$2+($I$2/$E$2)*$C$2*$G$2)/$I$2</f>
        <v>8.8839980485786757E-2</v>
      </c>
      <c r="G16" s="27"/>
      <c r="H16" s="2">
        <f>($L$5*H6*$L$2+($I$2/$E$2)*$C$2*$G$2)/$I$2</f>
        <v>0.10348761549324371</v>
      </c>
      <c r="J16" s="3"/>
    </row>
    <row r="17" spans="1:10" x14ac:dyDescent="0.25">
      <c r="A17" s="149" t="s">
        <v>38</v>
      </c>
      <c r="B17" s="149"/>
      <c r="C17" s="136"/>
      <c r="D17" s="149"/>
      <c r="E17" s="136"/>
      <c r="F17" s="149"/>
      <c r="G17" s="136"/>
      <c r="H17" s="135"/>
      <c r="I17" s="136"/>
      <c r="J17" s="3"/>
    </row>
    <row r="18" spans="1:10" x14ac:dyDescent="0.25">
      <c r="A18" s="34" t="s">
        <v>28</v>
      </c>
      <c r="B18" s="21">
        <f>$J$4/(B6+$J$4)</f>
        <v>0.97560975609756095</v>
      </c>
      <c r="C18" s="23"/>
      <c r="D18" s="21">
        <f>$J$4/(D6+$J$4)</f>
        <v>0.9783245608094725</v>
      </c>
      <c r="E18" s="23"/>
      <c r="F18" s="21">
        <f>$J$4/(F6+$J$4)</f>
        <v>0.97560975609756095</v>
      </c>
      <c r="G18" s="23"/>
      <c r="H18" s="22">
        <f>$J$4/(H6+$J$4)</f>
        <v>0.96671765686155386</v>
      </c>
      <c r="I18" s="23"/>
      <c r="J18" s="3"/>
    </row>
    <row r="19" spans="1:10" x14ac:dyDescent="0.25">
      <c r="A19" s="35" t="s">
        <v>30</v>
      </c>
      <c r="B19" s="24">
        <f>$I$2/($J$5+$I$2/$E$2)</f>
        <v>100</v>
      </c>
      <c r="C19" s="27"/>
      <c r="D19" s="24">
        <f>$I$2/($J$5+$I$2/$E$2)</f>
        <v>100</v>
      </c>
      <c r="E19" s="27"/>
      <c r="F19" s="24">
        <f>$I$2/($J$5+$I$2/$E$2)</f>
        <v>100</v>
      </c>
      <c r="G19" s="27"/>
      <c r="H19" s="26">
        <f>$I$2/($J$5+$I$2/$E$2)</f>
        <v>100</v>
      </c>
      <c r="I19" s="27"/>
    </row>
    <row r="20" spans="1:10" x14ac:dyDescent="0.25">
      <c r="A20" s="36" t="s">
        <v>29</v>
      </c>
      <c r="B20" s="28">
        <f>B19/(B19+B12)</f>
        <v>0.93023255813953487</v>
      </c>
      <c r="C20" s="30"/>
      <c r="D20" s="28">
        <f>D19/(D19+D12)</f>
        <v>0.93270037649920201</v>
      </c>
      <c r="E20" s="30"/>
      <c r="F20" s="28">
        <f>F19/(F19+F12)</f>
        <v>0.93023255813953487</v>
      </c>
      <c r="G20" s="30"/>
      <c r="H20" s="29">
        <f>H19/(H19+H12)</f>
        <v>0.92214496582891359</v>
      </c>
      <c r="I20" s="30"/>
      <c r="J20" s="3"/>
    </row>
    <row r="21" spans="1:10" x14ac:dyDescent="0.25">
      <c r="A21" s="153" t="s">
        <v>82</v>
      </c>
      <c r="B21" s="149"/>
      <c r="C21" s="136"/>
      <c r="D21" s="149"/>
      <c r="E21" s="136"/>
      <c r="F21" s="149"/>
      <c r="G21" s="136"/>
      <c r="H21" s="135"/>
      <c r="I21" s="136"/>
    </row>
    <row r="22" spans="1:10" x14ac:dyDescent="0.25">
      <c r="A22" s="124" t="s">
        <v>79</v>
      </c>
      <c r="B22" s="22">
        <f>$I$2/($I$2+$L$5*B6)</f>
        <v>0.98094996132235324</v>
      </c>
      <c r="C22" s="125"/>
      <c r="D22" s="22">
        <f>$I$2/($I$2+$L$5*D6)</f>
        <v>0.98308067215528727</v>
      </c>
      <c r="E22" s="22"/>
      <c r="F22" s="22">
        <f>$I$2/($I$2+$L$5*F6)</f>
        <v>0.98094996132235324</v>
      </c>
      <c r="G22" s="22"/>
      <c r="H22" s="22">
        <f>$I$2/($I$2+$L$5*H6)</f>
        <v>0.97395279373019439</v>
      </c>
      <c r="I22" s="23"/>
    </row>
    <row r="23" spans="1:10" x14ac:dyDescent="0.25">
      <c r="A23" s="126" t="s">
        <v>80</v>
      </c>
      <c r="B23" s="29">
        <f>$I$2/($I$2+$L$5*B6+($I$2/$E$2)*$C$2)</f>
        <v>0.9350863169977528</v>
      </c>
      <c r="C23" s="5"/>
      <c r="D23" s="29">
        <f>$I$2/($I$2+$L$5*D6+($I$2/$E$2)*$C$2)</f>
        <v>0.93702224903499809</v>
      </c>
      <c r="E23" s="5"/>
      <c r="F23" s="29">
        <f>$I$2/($I$2+$L$5*F6+($I$2/$E$2)*$C$2)</f>
        <v>0.9350863169977528</v>
      </c>
      <c r="G23" s="5"/>
      <c r="H23" s="29">
        <f>$I$2/($I$2+$L$5*H6+($I$2/$E$2)*$C$2)</f>
        <v>0.92872602823950379</v>
      </c>
      <c r="I23" s="30"/>
    </row>
  </sheetData>
  <sheetProtection password="DC2F" sheet="1" formatCells="0"/>
  <protectedRanges>
    <protectedRange sqref="C2:L2" name="Range3"/>
    <protectedRange sqref="J4:L4" name="Range2"/>
    <protectedRange sqref="B5:I5" name="Range1"/>
  </protectedRanges>
  <phoneticPr fontId="0" type="noConversion"/>
  <pageMargins left="0.75" right="0.75" top="1" bottom="1" header="0.5" footer="0.5"/>
  <pageSetup orientation="portrait" horizontalDpi="1200" verticalDpi="1200" r:id="rId1"/>
  <headerFooter alignWithMargins="0"/>
  <ignoredErrors>
    <ignoredError sqref="D6:D11 F6:F10 H6:H10" formula="1"/>
  </ignoredErrors>
  <drawing r:id="rId2"/>
  <legacyDrawing r:id="rId3"/>
  <oleObjects>
    <mc:AlternateContent xmlns:mc="http://schemas.openxmlformats.org/markup-compatibility/2006">
      <mc:Choice Requires="x14">
        <oleObject progId="Equation.DSMT4" shapeId="5121" r:id="rId4">
          <objectPr defaultSize="0" autoPict="0" r:id="rId5">
            <anchor moveWithCells="1" sizeWithCells="1">
              <from>
                <xdr:col>0</xdr:col>
                <xdr:colOff>182880</xdr:colOff>
                <xdr:row>23</xdr:row>
                <xdr:rowOff>68580</xdr:rowOff>
              </from>
              <to>
                <xdr:col>7</xdr:col>
                <xdr:colOff>137160</xdr:colOff>
                <xdr:row>27</xdr:row>
                <xdr:rowOff>76200</xdr:rowOff>
              </to>
            </anchor>
          </objectPr>
        </oleObject>
      </mc:Choice>
      <mc:Fallback>
        <oleObject progId="Equation.DSMT4" shapeId="5121" r:id="rId4"/>
      </mc:Fallback>
    </mc:AlternateContent>
    <mc:AlternateContent xmlns:mc="http://schemas.openxmlformats.org/markup-compatibility/2006">
      <mc:Choice Requires="x14">
        <oleObject progId="Equation.DSMT4" shapeId="5123" r:id="rId6">
          <objectPr defaultSize="0" autoPict="0" r:id="rId7">
            <anchor moveWithCells="1" sizeWithCells="1">
              <from>
                <xdr:col>9</xdr:col>
                <xdr:colOff>91440</xdr:colOff>
                <xdr:row>14</xdr:row>
                <xdr:rowOff>22860</xdr:rowOff>
              </from>
              <to>
                <xdr:col>12</xdr:col>
                <xdr:colOff>30480</xdr:colOff>
                <xdr:row>17</xdr:row>
                <xdr:rowOff>137160</xdr:rowOff>
              </to>
            </anchor>
          </objectPr>
        </oleObject>
      </mc:Choice>
      <mc:Fallback>
        <oleObject progId="Equation.DSMT4" shapeId="5123" r:id="rId6"/>
      </mc:Fallback>
    </mc:AlternateContent>
    <mc:AlternateContent xmlns:mc="http://schemas.openxmlformats.org/markup-compatibility/2006">
      <mc:Choice Requires="x14">
        <oleObject progId="Equation.DSMT4" shapeId="5124" r:id="rId8">
          <objectPr defaultSize="0" autoPict="0" r:id="rId9">
            <anchor moveWithCells="1" sizeWithCells="1">
              <from>
                <xdr:col>9</xdr:col>
                <xdr:colOff>137160</xdr:colOff>
                <xdr:row>18</xdr:row>
                <xdr:rowOff>30480</xdr:rowOff>
              </from>
              <to>
                <xdr:col>11</xdr:col>
                <xdr:colOff>22860</xdr:colOff>
                <xdr:row>21</xdr:row>
                <xdr:rowOff>38100</xdr:rowOff>
              </to>
            </anchor>
          </objectPr>
        </oleObject>
      </mc:Choice>
      <mc:Fallback>
        <oleObject progId="Equation.DSMT4" shapeId="5124" r:id="rId8"/>
      </mc:Fallback>
    </mc:AlternateContent>
    <mc:AlternateContent xmlns:mc="http://schemas.openxmlformats.org/markup-compatibility/2006">
      <mc:Choice Requires="x14">
        <oleObject progId="Equation.DSMT4" shapeId="5125" r:id="rId10">
          <objectPr defaultSize="0" autoPict="0" r:id="rId11">
            <anchor moveWithCells="1" sizeWithCells="1">
              <from>
                <xdr:col>9</xdr:col>
                <xdr:colOff>137160</xdr:colOff>
                <xdr:row>10</xdr:row>
                <xdr:rowOff>60960</xdr:rowOff>
              </from>
              <to>
                <xdr:col>11</xdr:col>
                <xdr:colOff>411480</xdr:colOff>
                <xdr:row>14</xdr:row>
                <xdr:rowOff>0</xdr:rowOff>
              </to>
            </anchor>
          </objectPr>
        </oleObject>
      </mc:Choice>
      <mc:Fallback>
        <oleObject progId="Equation.DSMT4" shapeId="5125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>
      <selection sqref="A1:L1"/>
    </sheetView>
  </sheetViews>
  <sheetFormatPr defaultRowHeight="13.2" x14ac:dyDescent="0.25"/>
  <cols>
    <col min="1" max="1" width="17" customWidth="1"/>
    <col min="2" max="2" width="10.33203125" customWidth="1"/>
    <col min="3" max="3" width="10.88671875" customWidth="1"/>
  </cols>
  <sheetData>
    <row r="1" spans="1:12" ht="17.399999999999999" x14ac:dyDescent="0.3">
      <c r="A1" s="134" t="s">
        <v>58</v>
      </c>
      <c r="B1" s="135"/>
      <c r="C1" s="135"/>
      <c r="D1" s="135"/>
      <c r="E1" s="135"/>
      <c r="F1" s="135"/>
      <c r="G1" s="136"/>
      <c r="H1" s="135"/>
      <c r="I1" s="135"/>
      <c r="J1" s="135"/>
      <c r="K1" s="135"/>
      <c r="L1" s="136"/>
    </row>
    <row r="2" spans="1:12" ht="13.8" x14ac:dyDescent="0.25">
      <c r="A2" s="103"/>
      <c r="B2" s="104" t="s">
        <v>59</v>
      </c>
      <c r="C2" s="105"/>
    </row>
    <row r="3" spans="1:12" x14ac:dyDescent="0.25">
      <c r="A3" s="13"/>
      <c r="B3" s="92" t="s">
        <v>67</v>
      </c>
      <c r="C3" s="102" t="s">
        <v>68</v>
      </c>
    </row>
    <row r="4" spans="1:12" x14ac:dyDescent="0.25">
      <c r="A4" s="50"/>
      <c r="B4" s="90" t="s">
        <v>61</v>
      </c>
      <c r="C4" s="101">
        <v>9.9999999999999995E-7</v>
      </c>
    </row>
    <row r="5" spans="1:12" x14ac:dyDescent="0.25">
      <c r="A5" s="50"/>
      <c r="B5" s="91" t="s">
        <v>60</v>
      </c>
      <c r="C5" s="101">
        <v>2.8</v>
      </c>
    </row>
    <row r="6" spans="1:12" x14ac:dyDescent="0.25">
      <c r="A6" s="50"/>
      <c r="B6" s="91" t="s">
        <v>64</v>
      </c>
      <c r="C6" s="106">
        <v>21000</v>
      </c>
    </row>
    <row r="7" spans="1:12" x14ac:dyDescent="0.25">
      <c r="A7" s="50"/>
      <c r="B7" s="91" t="s">
        <v>62</v>
      </c>
      <c r="C7" s="106">
        <v>500</v>
      </c>
    </row>
    <row r="8" spans="1:12" x14ac:dyDescent="0.25">
      <c r="A8" s="50"/>
      <c r="B8" s="91" t="s">
        <v>63</v>
      </c>
      <c r="C8" s="107">
        <v>200</v>
      </c>
    </row>
    <row r="9" spans="1:12" x14ac:dyDescent="0.25">
      <c r="A9" s="97"/>
      <c r="B9" s="98" t="s">
        <v>66</v>
      </c>
      <c r="C9" s="94">
        <f>(C6/(C7*C4*(C5-1)))^(1/C5)</f>
        <v>427.97685250834292</v>
      </c>
      <c r="D9" s="95" t="str">
        <f>C3</f>
        <v>oper hr</v>
      </c>
    </row>
    <row r="10" spans="1:12" x14ac:dyDescent="0.25">
      <c r="A10" s="99" t="s">
        <v>69</v>
      </c>
      <c r="B10" s="100" t="str">
        <f>C3</f>
        <v>oper hr</v>
      </c>
      <c r="C10" s="108">
        <f>C6/C9+C7*C4*C9^(C5-1)</f>
        <v>76.328115586648138</v>
      </c>
      <c r="D10" s="96"/>
    </row>
    <row r="11" spans="1:12" x14ac:dyDescent="0.25">
      <c r="A11" s="97"/>
      <c r="B11" s="98" t="s">
        <v>65</v>
      </c>
      <c r="C11" s="94">
        <f>(C8/(C7*C4*(C5-1)))^(1/C5)</f>
        <v>81.202043630156766</v>
      </c>
      <c r="D11" s="95" t="str">
        <f>C3</f>
        <v>oper hr</v>
      </c>
    </row>
    <row r="12" spans="1:12" x14ac:dyDescent="0.25">
      <c r="A12" s="110" t="s">
        <v>69</v>
      </c>
      <c r="B12" s="111" t="str">
        <f>C3</f>
        <v>oper hr</v>
      </c>
      <c r="C12" s="112">
        <f>C7*C4*C11^(C5-1)+C8/C11</f>
        <v>3.8313211983690882</v>
      </c>
      <c r="D12" s="113"/>
    </row>
    <row r="13" spans="1:12" x14ac:dyDescent="0.25">
      <c r="A13" s="114" t="s">
        <v>72</v>
      </c>
      <c r="B13" s="119">
        <f>ROUND(C9/30,0)</f>
        <v>14</v>
      </c>
      <c r="C13" s="118" t="s">
        <v>73</v>
      </c>
      <c r="D13" s="119">
        <f>ROUND(C11/30,0)</f>
        <v>3</v>
      </c>
      <c r="E13" s="117" t="s">
        <v>74</v>
      </c>
    </row>
    <row r="14" spans="1:12" x14ac:dyDescent="0.25">
      <c r="A14" s="14"/>
      <c r="B14" s="115" t="s">
        <v>70</v>
      </c>
      <c r="C14" s="115" t="s">
        <v>71</v>
      </c>
      <c r="D14" s="115" t="s">
        <v>70</v>
      </c>
      <c r="E14" s="116" t="s">
        <v>71</v>
      </c>
    </row>
    <row r="15" spans="1:12" x14ac:dyDescent="0.25">
      <c r="A15" s="120" t="s">
        <v>75</v>
      </c>
      <c r="B15" s="81">
        <v>100</v>
      </c>
      <c r="C15" s="109">
        <f>$C$6/B15+$C$7*$C$4*B15^($C$5-1)</f>
        <v>211.99053585276749</v>
      </c>
      <c r="D15" s="81">
        <v>10</v>
      </c>
      <c r="E15" s="93">
        <f>$C$7*$C$4*D15^($C$5-1)+$C$8/D15</f>
        <v>20.03154786722401</v>
      </c>
    </row>
    <row r="16" spans="1:12" x14ac:dyDescent="0.25">
      <c r="A16">
        <v>2</v>
      </c>
      <c r="B16">
        <f>B15+$B$13</f>
        <v>114</v>
      </c>
      <c r="C16" s="109">
        <f t="shared" ref="C16:C79" si="0">$C$6/B16+$C$7*$C$4*B16^($C$5-1)</f>
        <v>186.7305158478438</v>
      </c>
      <c r="D16">
        <f>D15+$D$13</f>
        <v>13</v>
      </c>
      <c r="E16" s="93">
        <f t="shared" ref="E16:E79" si="1">$C$7*$C$4*D16^($C$5-1)+$C$8/D16</f>
        <v>15.435205775908642</v>
      </c>
    </row>
    <row r="17" spans="1:5" x14ac:dyDescent="0.25">
      <c r="A17">
        <v>3</v>
      </c>
      <c r="B17">
        <f t="shared" ref="B17:B64" si="2">B16+$B$13</f>
        <v>128</v>
      </c>
      <c r="C17" s="109">
        <f t="shared" si="0"/>
        <v>167.16668752821329</v>
      </c>
      <c r="D17">
        <f>D16+$D$13</f>
        <v>16</v>
      </c>
      <c r="E17" s="93">
        <f t="shared" si="1"/>
        <v>12.57351669471981</v>
      </c>
    </row>
    <row r="18" spans="1:5" x14ac:dyDescent="0.25">
      <c r="A18">
        <v>4</v>
      </c>
      <c r="B18">
        <f t="shared" si="2"/>
        <v>142</v>
      </c>
      <c r="C18" s="109">
        <f t="shared" si="0"/>
        <v>151.62919677877355</v>
      </c>
      <c r="D18">
        <f t="shared" ref="D18:D81" si="3">D17+$D$13</f>
        <v>19</v>
      </c>
      <c r="E18" s="93">
        <f t="shared" si="1"/>
        <v>10.626483209059202</v>
      </c>
    </row>
    <row r="19" spans="1:5" x14ac:dyDescent="0.25">
      <c r="A19">
        <v>5</v>
      </c>
      <c r="B19">
        <f t="shared" si="2"/>
        <v>156</v>
      </c>
      <c r="C19" s="109">
        <f t="shared" si="0"/>
        <v>139.04732879053944</v>
      </c>
      <c r="D19">
        <f t="shared" si="3"/>
        <v>22</v>
      </c>
      <c r="E19" s="93">
        <f t="shared" si="1"/>
        <v>9.2213250771023318</v>
      </c>
    </row>
    <row r="20" spans="1:5" x14ac:dyDescent="0.25">
      <c r="A20">
        <v>6</v>
      </c>
      <c r="B20">
        <f t="shared" si="2"/>
        <v>170</v>
      </c>
      <c r="C20" s="109">
        <f t="shared" si="0"/>
        <v>128.70283563765594</v>
      </c>
      <c r="D20">
        <f t="shared" si="3"/>
        <v>25</v>
      </c>
      <c r="E20" s="93">
        <f t="shared" si="1"/>
        <v>8.1641579877752353</v>
      </c>
    </row>
    <row r="21" spans="1:5" x14ac:dyDescent="0.25">
      <c r="A21">
        <v>7</v>
      </c>
      <c r="B21">
        <f t="shared" si="2"/>
        <v>184</v>
      </c>
      <c r="C21" s="109">
        <f t="shared" si="0"/>
        <v>120.09586934036111</v>
      </c>
      <c r="D21">
        <f t="shared" si="3"/>
        <v>28</v>
      </c>
      <c r="E21" s="93">
        <f t="shared" si="1"/>
        <v>7.3441620959266558</v>
      </c>
    </row>
    <row r="22" spans="1:5" x14ac:dyDescent="0.25">
      <c r="A22">
        <v>8</v>
      </c>
      <c r="B22">
        <f t="shared" si="2"/>
        <v>198</v>
      </c>
      <c r="C22" s="109">
        <f t="shared" si="0"/>
        <v>112.86778781838873</v>
      </c>
      <c r="D22">
        <f t="shared" si="3"/>
        <v>31</v>
      </c>
      <c r="E22" s="93">
        <f t="shared" si="1"/>
        <v>6.6933932817905921</v>
      </c>
    </row>
    <row r="23" spans="1:5" x14ac:dyDescent="0.25">
      <c r="A23">
        <v>9</v>
      </c>
      <c r="B23">
        <f t="shared" si="2"/>
        <v>212</v>
      </c>
      <c r="C23" s="109">
        <f t="shared" si="0"/>
        <v>106.75454434530037</v>
      </c>
      <c r="D23">
        <f t="shared" si="3"/>
        <v>34</v>
      </c>
      <c r="E23" s="93">
        <f t="shared" si="1"/>
        <v>6.1678699959293004</v>
      </c>
    </row>
    <row r="24" spans="1:5" x14ac:dyDescent="0.25">
      <c r="A24">
        <v>10</v>
      </c>
      <c r="B24">
        <f t="shared" si="2"/>
        <v>226</v>
      </c>
      <c r="C24" s="109">
        <f t="shared" si="0"/>
        <v>101.55739923036585</v>
      </c>
      <c r="D24">
        <f t="shared" si="3"/>
        <v>37</v>
      </c>
      <c r="E24" s="93">
        <f t="shared" si="1"/>
        <v>5.7378605881256073</v>
      </c>
    </row>
    <row r="25" spans="1:5" x14ac:dyDescent="0.25">
      <c r="A25">
        <v>11</v>
      </c>
      <c r="B25">
        <f t="shared" si="2"/>
        <v>240</v>
      </c>
      <c r="C25" s="109">
        <f t="shared" si="0"/>
        <v>97.123880892199068</v>
      </c>
      <c r="D25">
        <f t="shared" si="3"/>
        <v>40</v>
      </c>
      <c r="E25" s="93">
        <f t="shared" si="1"/>
        <v>5.3825409999160145</v>
      </c>
    </row>
    <row r="26" spans="1:5" x14ac:dyDescent="0.25">
      <c r="A26">
        <v>12</v>
      </c>
      <c r="B26">
        <f t="shared" si="2"/>
        <v>254</v>
      </c>
      <c r="C26" s="109">
        <f t="shared" si="0"/>
        <v>93.335042118898684</v>
      </c>
      <c r="D26">
        <f t="shared" si="3"/>
        <v>43</v>
      </c>
      <c r="E26" s="93">
        <f t="shared" si="1"/>
        <v>5.0868885389604594</v>
      </c>
    </row>
    <row r="27" spans="1:5" x14ac:dyDescent="0.25">
      <c r="A27">
        <v>13</v>
      </c>
      <c r="B27">
        <f t="shared" si="2"/>
        <v>268</v>
      </c>
      <c r="C27" s="109">
        <f t="shared" si="0"/>
        <v>90.096709747033074</v>
      </c>
      <c r="D27">
        <f t="shared" si="3"/>
        <v>46</v>
      </c>
      <c r="E27" s="93">
        <f t="shared" si="1"/>
        <v>4.8397909675910391</v>
      </c>
    </row>
    <row r="28" spans="1:5" x14ac:dyDescent="0.25">
      <c r="A28">
        <v>14</v>
      </c>
      <c r="B28">
        <f t="shared" si="2"/>
        <v>282</v>
      </c>
      <c r="C28" s="109">
        <f t="shared" si="0"/>
        <v>87.33334012425135</v>
      </c>
      <c r="D28">
        <f t="shared" si="3"/>
        <v>49</v>
      </c>
      <c r="E28" s="93">
        <f t="shared" si="1"/>
        <v>4.6328500912875246</v>
      </c>
    </row>
    <row r="29" spans="1:5" x14ac:dyDescent="0.25">
      <c r="A29">
        <v>15</v>
      </c>
      <c r="B29">
        <f t="shared" si="2"/>
        <v>296</v>
      </c>
      <c r="C29" s="109">
        <f t="shared" si="0"/>
        <v>84.983617740402082</v>
      </c>
      <c r="D29">
        <f t="shared" si="3"/>
        <v>52</v>
      </c>
      <c r="E29" s="93">
        <f t="shared" si="1"/>
        <v>4.4595993996693055</v>
      </c>
    </row>
    <row r="30" spans="1:5" x14ac:dyDescent="0.25">
      <c r="A30">
        <v>16</v>
      </c>
      <c r="B30">
        <f t="shared" si="2"/>
        <v>310</v>
      </c>
      <c r="C30" s="109">
        <f t="shared" si="0"/>
        <v>82.997246044536254</v>
      </c>
      <c r="D30">
        <f t="shared" si="3"/>
        <v>55</v>
      </c>
      <c r="E30" s="93">
        <f t="shared" si="1"/>
        <v>4.3149776838740124</v>
      </c>
    </row>
    <row r="31" spans="1:5" x14ac:dyDescent="0.25">
      <c r="A31">
        <v>17</v>
      </c>
      <c r="B31">
        <f t="shared" si="2"/>
        <v>324</v>
      </c>
      <c r="C31" s="109">
        <f t="shared" si="0"/>
        <v>81.332569912430387</v>
      </c>
      <c r="D31">
        <f t="shared" si="3"/>
        <v>58</v>
      </c>
      <c r="E31" s="93">
        <f t="shared" si="1"/>
        <v>4.1949659611778101</v>
      </c>
    </row>
    <row r="32" spans="1:5" x14ac:dyDescent="0.25">
      <c r="A32">
        <v>18</v>
      </c>
      <c r="B32">
        <f t="shared" si="2"/>
        <v>338</v>
      </c>
      <c r="C32" s="109">
        <f t="shared" si="0"/>
        <v>79.954788684964996</v>
      </c>
      <c r="D32">
        <f t="shared" si="3"/>
        <v>61</v>
      </c>
      <c r="E32" s="93">
        <f t="shared" si="1"/>
        <v>4.0963314950982266</v>
      </c>
    </row>
    <row r="33" spans="1:5" x14ac:dyDescent="0.25">
      <c r="A33">
        <v>19</v>
      </c>
      <c r="B33">
        <f t="shared" si="2"/>
        <v>352</v>
      </c>
      <c r="C33" s="109">
        <f t="shared" si="0"/>
        <v>78.834595396193663</v>
      </c>
      <c r="D33">
        <f t="shared" si="3"/>
        <v>64</v>
      </c>
      <c r="E33" s="93">
        <f t="shared" si="1"/>
        <v>4.0164437768152297</v>
      </c>
    </row>
    <row r="34" spans="1:5" x14ac:dyDescent="0.25">
      <c r="A34">
        <v>20</v>
      </c>
      <c r="B34">
        <f t="shared" si="2"/>
        <v>366</v>
      </c>
      <c r="C34" s="109">
        <f t="shared" si="0"/>
        <v>77.947128105831311</v>
      </c>
      <c r="D34">
        <f t="shared" si="3"/>
        <v>67</v>
      </c>
      <c r="E34" s="93">
        <f t="shared" si="1"/>
        <v>3.9531399178285538</v>
      </c>
    </row>
    <row r="35" spans="1:5" x14ac:dyDescent="0.25">
      <c r="A35">
        <v>21</v>
      </c>
      <c r="B35">
        <f t="shared" si="2"/>
        <v>380</v>
      </c>
      <c r="C35" s="109">
        <f t="shared" si="0"/>
        <v>77.271152871024526</v>
      </c>
      <c r="D35">
        <f t="shared" si="3"/>
        <v>70</v>
      </c>
      <c r="E35" s="93">
        <f t="shared" si="1"/>
        <v>3.904624634292273</v>
      </c>
    </row>
    <row r="36" spans="1:5" x14ac:dyDescent="0.25">
      <c r="A36">
        <v>22</v>
      </c>
      <c r="B36">
        <f t="shared" si="2"/>
        <v>394</v>
      </c>
      <c r="C36" s="109">
        <f t="shared" si="0"/>
        <v>76.788420761745627</v>
      </c>
      <c r="D36">
        <f t="shared" si="3"/>
        <v>73</v>
      </c>
      <c r="E36" s="93">
        <f t="shared" si="1"/>
        <v>3.869394874964593</v>
      </c>
    </row>
    <row r="37" spans="1:5" x14ac:dyDescent="0.25">
      <c r="A37">
        <v>23</v>
      </c>
      <c r="B37">
        <f t="shared" si="2"/>
        <v>408</v>
      </c>
      <c r="C37" s="109">
        <f t="shared" si="0"/>
        <v>76.483157131708808</v>
      </c>
      <c r="D37">
        <f t="shared" si="3"/>
        <v>76</v>
      </c>
      <c r="E37" s="93">
        <f t="shared" si="1"/>
        <v>3.8461822856913619</v>
      </c>
    </row>
    <row r="38" spans="1:5" x14ac:dyDescent="0.25">
      <c r="A38">
        <v>24</v>
      </c>
      <c r="B38">
        <f t="shared" si="2"/>
        <v>422</v>
      </c>
      <c r="C38" s="109">
        <f t="shared" si="0"/>
        <v>76.341652445010993</v>
      </c>
      <c r="D38">
        <f t="shared" si="3"/>
        <v>79</v>
      </c>
      <c r="E38" s="93">
        <f t="shared" si="1"/>
        <v>3.8339087709280002</v>
      </c>
    </row>
    <row r="39" spans="1:5" x14ac:dyDescent="0.25">
      <c r="A39">
        <v>25</v>
      </c>
      <c r="B39">
        <f t="shared" si="2"/>
        <v>436</v>
      </c>
      <c r="C39" s="109">
        <f t="shared" si="0"/>
        <v>76.351931842996009</v>
      </c>
      <c r="D39">
        <f t="shared" si="3"/>
        <v>82</v>
      </c>
      <c r="E39" s="93">
        <f t="shared" si="1"/>
        <v>3.831651799676953</v>
      </c>
    </row>
    <row r="40" spans="1:5" x14ac:dyDescent="0.25">
      <c r="A40">
        <v>26</v>
      </c>
      <c r="B40">
        <f t="shared" si="2"/>
        <v>450</v>
      </c>
      <c r="C40" s="109">
        <f t="shared" si="0"/>
        <v>76.503486312850839</v>
      </c>
      <c r="D40">
        <f t="shared" si="3"/>
        <v>85</v>
      </c>
      <c r="E40" s="93">
        <f t="shared" si="1"/>
        <v>3.8386170496106136</v>
      </c>
    </row>
    <row r="41" spans="1:5" x14ac:dyDescent="0.25">
      <c r="A41">
        <v>27</v>
      </c>
      <c r="B41">
        <f t="shared" si="2"/>
        <v>464</v>
      </c>
      <c r="C41" s="109">
        <f t="shared" si="0"/>
        <v>76.78705245509255</v>
      </c>
      <c r="D41">
        <f t="shared" si="3"/>
        <v>88</v>
      </c>
      <c r="E41" s="93">
        <f t="shared" si="1"/>
        <v>3.854116639214352</v>
      </c>
    </row>
    <row r="42" spans="1:5" x14ac:dyDescent="0.25">
      <c r="A42">
        <v>28</v>
      </c>
      <c r="B42">
        <f t="shared" si="2"/>
        <v>478</v>
      </c>
      <c r="C42" s="109">
        <f t="shared" si="0"/>
        <v>77.194430892800767</v>
      </c>
      <c r="D42">
        <f t="shared" si="3"/>
        <v>91</v>
      </c>
      <c r="E42" s="93">
        <f t="shared" si="1"/>
        <v>3.8775516592242507</v>
      </c>
    </row>
    <row r="43" spans="1:5" x14ac:dyDescent="0.25">
      <c r="A43">
        <v>29</v>
      </c>
      <c r="B43">
        <f t="shared" si="2"/>
        <v>492</v>
      </c>
      <c r="C43" s="109">
        <f t="shared" si="0"/>
        <v>77.718335631299652</v>
      </c>
      <c r="D43">
        <f t="shared" si="3"/>
        <v>94</v>
      </c>
      <c r="E43" s="93">
        <f t="shared" si="1"/>
        <v>3.9083980435572432</v>
      </c>
    </row>
    <row r="44" spans="1:5" x14ac:dyDescent="0.25">
      <c r="A44">
        <v>30</v>
      </c>
      <c r="B44">
        <f t="shared" si="2"/>
        <v>506</v>
      </c>
      <c r="C44" s="109">
        <f t="shared" si="0"/>
        <v>78.35226837874194</v>
      </c>
      <c r="D44">
        <f t="shared" si="3"/>
        <v>97</v>
      </c>
      <c r="E44" s="93">
        <f t="shared" si="1"/>
        <v>3.9461950573172686</v>
      </c>
    </row>
    <row r="45" spans="1:5" x14ac:dyDescent="0.25">
      <c r="A45">
        <v>31</v>
      </c>
      <c r="B45">
        <f t="shared" si="2"/>
        <v>520</v>
      </c>
      <c r="C45" s="109">
        <f t="shared" si="0"/>
        <v>79.090413127544963</v>
      </c>
      <c r="D45">
        <f t="shared" si="3"/>
        <v>100</v>
      </c>
      <c r="E45" s="93">
        <f t="shared" si="1"/>
        <v>3.990535852767485</v>
      </c>
    </row>
    <row r="46" spans="1:5" x14ac:dyDescent="0.25">
      <c r="A46">
        <v>32</v>
      </c>
      <c r="B46">
        <f t="shared" si="2"/>
        <v>534</v>
      </c>
      <c r="C46" s="109">
        <f t="shared" si="0"/>
        <v>79.927547281941997</v>
      </c>
      <c r="D46">
        <f t="shared" si="3"/>
        <v>103</v>
      </c>
      <c r="E46" s="93">
        <f t="shared" si="1"/>
        <v>4.041059672046547</v>
      </c>
    </row>
    <row r="47" spans="1:5" x14ac:dyDescent="0.25">
      <c r="A47">
        <v>33</v>
      </c>
      <c r="B47">
        <f t="shared" si="2"/>
        <v>548</v>
      </c>
      <c r="C47" s="109">
        <f t="shared" si="0"/>
        <v>80.858966375737751</v>
      </c>
      <c r="D47">
        <f t="shared" si="3"/>
        <v>106</v>
      </c>
      <c r="E47" s="93">
        <f t="shared" si="1"/>
        <v>4.0974453707288108</v>
      </c>
    </row>
    <row r="48" spans="1:5" x14ac:dyDescent="0.25">
      <c r="A48">
        <v>34</v>
      </c>
      <c r="B48">
        <f t="shared" si="2"/>
        <v>562</v>
      </c>
      <c r="C48" s="109">
        <f t="shared" si="0"/>
        <v>81.880420013107084</v>
      </c>
      <c r="D48">
        <f t="shared" si="3"/>
        <v>109</v>
      </c>
      <c r="E48" s="93">
        <f t="shared" si="1"/>
        <v>4.159406008045611</v>
      </c>
    </row>
    <row r="49" spans="1:5" x14ac:dyDescent="0.25">
      <c r="A49">
        <v>35</v>
      </c>
      <c r="B49">
        <f t="shared" si="2"/>
        <v>576</v>
      </c>
      <c r="C49" s="109">
        <f t="shared" si="0"/>
        <v>82.98805712527809</v>
      </c>
      <c r="D49">
        <f t="shared" si="3"/>
        <v>112</v>
      </c>
      <c r="E49" s="93">
        <f t="shared" si="1"/>
        <v>4.2266843040187529</v>
      </c>
    </row>
    <row r="50" spans="1:5" x14ac:dyDescent="0.25">
      <c r="A50">
        <v>36</v>
      </c>
      <c r="B50">
        <f t="shared" si="2"/>
        <v>590</v>
      </c>
      <c r="C50" s="109">
        <f t="shared" si="0"/>
        <v>84.1783789977423</v>
      </c>
      <c r="D50">
        <f t="shared" si="3"/>
        <v>115</v>
      </c>
      <c r="E50" s="93">
        <f t="shared" si="1"/>
        <v>4.2990488054160307</v>
      </c>
    </row>
    <row r="51" spans="1:5" x14ac:dyDescent="0.25">
      <c r="A51">
        <v>37</v>
      </c>
      <c r="B51">
        <f t="shared" si="2"/>
        <v>604</v>
      </c>
      <c r="C51" s="109">
        <f t="shared" si="0"/>
        <v>85.448198808989332</v>
      </c>
      <c r="D51">
        <f t="shared" si="3"/>
        <v>118</v>
      </c>
      <c r="E51" s="93">
        <f t="shared" si="1"/>
        <v>4.3762906345688641</v>
      </c>
    </row>
    <row r="52" spans="1:5" x14ac:dyDescent="0.25">
      <c r="A52">
        <v>38</v>
      </c>
      <c r="B52">
        <f t="shared" si="2"/>
        <v>618</v>
      </c>
      <c r="C52" s="109">
        <f t="shared" si="0"/>
        <v>86.794606649757029</v>
      </c>
      <c r="D52">
        <f t="shared" si="3"/>
        <v>121</v>
      </c>
      <c r="E52" s="93">
        <f t="shared" si="1"/>
        <v>4.458220720056131</v>
      </c>
    </row>
    <row r="53" spans="1:5" x14ac:dyDescent="0.25">
      <c r="A53">
        <v>39</v>
      </c>
      <c r="B53">
        <f t="shared" si="2"/>
        <v>632</v>
      </c>
      <c r="C53" s="109">
        <f t="shared" si="0"/>
        <v>88.214939174353987</v>
      </c>
      <c r="D53">
        <f t="shared" si="3"/>
        <v>124</v>
      </c>
      <c r="E53" s="93">
        <f t="shared" si="1"/>
        <v>4.5446674277888643</v>
      </c>
    </row>
    <row r="54" spans="1:5" x14ac:dyDescent="0.25">
      <c r="A54">
        <v>40</v>
      </c>
      <c r="B54">
        <f t="shared" si="2"/>
        <v>646</v>
      </c>
      <c r="C54" s="109">
        <f t="shared" si="0"/>
        <v>89.706753182576279</v>
      </c>
      <c r="D54">
        <f t="shared" si="3"/>
        <v>127</v>
      </c>
      <c r="E54" s="93">
        <f t="shared" si="1"/>
        <v>4.6354745264113912</v>
      </c>
    </row>
    <row r="55" spans="1:5" x14ac:dyDescent="0.25">
      <c r="A55">
        <v>41</v>
      </c>
      <c r="B55">
        <f t="shared" si="2"/>
        <v>660</v>
      </c>
      <c r="C55" s="109">
        <f t="shared" si="0"/>
        <v>91.267802549673121</v>
      </c>
      <c r="D55">
        <f t="shared" si="3"/>
        <v>130</v>
      </c>
      <c r="E55" s="93">
        <f t="shared" si="1"/>
        <v>4.7304994331222385</v>
      </c>
    </row>
    <row r="56" spans="1:5" x14ac:dyDescent="0.25">
      <c r="A56">
        <v>42</v>
      </c>
      <c r="B56">
        <f t="shared" si="2"/>
        <v>674</v>
      </c>
      <c r="C56" s="109">
        <f t="shared" si="0"/>
        <v>92.896018018517026</v>
      </c>
      <c r="D56">
        <f t="shared" si="3"/>
        <v>133</v>
      </c>
      <c r="E56" s="93">
        <f t="shared" si="1"/>
        <v>4.8296116957335302</v>
      </c>
    </row>
    <row r="57" spans="1:5" x14ac:dyDescent="0.25">
      <c r="A57">
        <v>43</v>
      </c>
      <c r="B57">
        <f t="shared" si="2"/>
        <v>688</v>
      </c>
      <c r="C57" s="109">
        <f t="shared" si="0"/>
        <v>94.589489447145539</v>
      </c>
      <c r="D57">
        <f t="shared" si="3"/>
        <v>136</v>
      </c>
      <c r="E57" s="93">
        <f t="shared" si="1"/>
        <v>4.9326916745750733</v>
      </c>
    </row>
    <row r="58" spans="1:5" x14ac:dyDescent="0.25">
      <c r="A58">
        <v>44</v>
      </c>
      <c r="B58">
        <f t="shared" si="2"/>
        <v>702</v>
      </c>
      <c r="C58" s="109">
        <f t="shared" si="0"/>
        <v>96.346450169671868</v>
      </c>
      <c r="D58">
        <f t="shared" si="3"/>
        <v>139</v>
      </c>
      <c r="E58" s="93">
        <f t="shared" si="1"/>
        <v>5.039629394125603</v>
      </c>
    </row>
    <row r="59" spans="1:5" x14ac:dyDescent="0.25">
      <c r="A59">
        <v>45</v>
      </c>
      <c r="B59">
        <f t="shared" si="2"/>
        <v>716</v>
      </c>
      <c r="C59" s="109">
        <f t="shared" si="0"/>
        <v>98.165263181998597</v>
      </c>
      <c r="D59">
        <f t="shared" si="3"/>
        <v>142</v>
      </c>
      <c r="E59" s="93">
        <f t="shared" si="1"/>
        <v>5.1503235393369078</v>
      </c>
    </row>
    <row r="60" spans="1:5" x14ac:dyDescent="0.25">
      <c r="A60">
        <v>46</v>
      </c>
      <c r="B60">
        <f t="shared" si="2"/>
        <v>730</v>
      </c>
      <c r="C60" s="109">
        <f t="shared" si="0"/>
        <v>100.04440890797969</v>
      </c>
      <c r="D60">
        <f t="shared" si="3"/>
        <v>145</v>
      </c>
      <c r="E60" s="93">
        <f t="shared" si="1"/>
        <v>5.2646805757544097</v>
      </c>
    </row>
    <row r="61" spans="1:5" x14ac:dyDescent="0.25">
      <c r="A61">
        <v>47</v>
      </c>
      <c r="B61">
        <f t="shared" si="2"/>
        <v>744</v>
      </c>
      <c r="C61" s="109">
        <f t="shared" si="0"/>
        <v>101.9824743384178</v>
      </c>
      <c r="D61">
        <f t="shared" si="3"/>
        <v>148</v>
      </c>
      <c r="E61" s="93">
        <f t="shared" si="1"/>
        <v>5.3826139759213607</v>
      </c>
    </row>
    <row r="62" spans="1:5" x14ac:dyDescent="0.25">
      <c r="A62">
        <v>48</v>
      </c>
      <c r="B62">
        <f t="shared" si="2"/>
        <v>758</v>
      </c>
      <c r="C62" s="109">
        <f t="shared" si="0"/>
        <v>103.97814336590815</v>
      </c>
      <c r="D62">
        <f t="shared" si="3"/>
        <v>151</v>
      </c>
      <c r="E62" s="93">
        <f t="shared" si="1"/>
        <v>5.5040435373325902</v>
      </c>
    </row>
    <row r="63" spans="1:5" x14ac:dyDescent="0.25">
      <c r="A63">
        <v>49</v>
      </c>
      <c r="B63">
        <f t="shared" si="2"/>
        <v>772</v>
      </c>
      <c r="C63" s="109">
        <f t="shared" si="0"/>
        <v>106.03018816418461</v>
      </c>
      <c r="D63">
        <f t="shared" si="3"/>
        <v>154</v>
      </c>
      <c r="E63" s="93">
        <f t="shared" si="1"/>
        <v>5.6288947794961626</v>
      </c>
    </row>
    <row r="64" spans="1:5" x14ac:dyDescent="0.25">
      <c r="A64">
        <v>50</v>
      </c>
      <c r="B64">
        <f t="shared" si="2"/>
        <v>786</v>
      </c>
      <c r="C64" s="109">
        <f t="shared" si="0"/>
        <v>108.1374614821502</v>
      </c>
      <c r="D64">
        <f t="shared" si="3"/>
        <v>157</v>
      </c>
      <c r="E64" s="93">
        <f t="shared" si="1"/>
        <v>5.7570984095598048</v>
      </c>
    </row>
    <row r="65" spans="1:5" x14ac:dyDescent="0.25">
      <c r="A65">
        <v>51</v>
      </c>
      <c r="B65">
        <f t="shared" ref="B65:B89" si="4">B64+$B$13</f>
        <v>800</v>
      </c>
      <c r="C65" s="109">
        <f t="shared" si="0"/>
        <v>110.2988897409204</v>
      </c>
      <c r="D65">
        <f t="shared" si="3"/>
        <v>160</v>
      </c>
      <c r="E65" s="93">
        <f t="shared" si="1"/>
        <v>5.8885898475372409</v>
      </c>
    </row>
    <row r="66" spans="1:5" x14ac:dyDescent="0.25">
      <c r="A66">
        <v>52</v>
      </c>
      <c r="B66">
        <f t="shared" si="4"/>
        <v>814</v>
      </c>
      <c r="C66" s="109">
        <f t="shared" si="0"/>
        <v>112.51346683754356</v>
      </c>
      <c r="D66">
        <f t="shared" si="3"/>
        <v>163</v>
      </c>
      <c r="E66" s="93">
        <f t="shared" si="1"/>
        <v>6.0233088034868967</v>
      </c>
    </row>
    <row r="67" spans="1:5" x14ac:dyDescent="0.25">
      <c r="A67">
        <v>53</v>
      </c>
      <c r="B67">
        <f t="shared" si="4"/>
        <v>828</v>
      </c>
      <c r="C67" s="109">
        <f t="shared" si="0"/>
        <v>114.78024857206864</v>
      </c>
      <c r="D67">
        <f t="shared" si="3"/>
        <v>166</v>
      </c>
      <c r="E67" s="93">
        <f t="shared" si="1"/>
        <v>6.1611989000987508</v>
      </c>
    </row>
    <row r="68" spans="1:5" x14ac:dyDescent="0.25">
      <c r="A68">
        <v>54</v>
      </c>
      <c r="B68">
        <f t="shared" si="4"/>
        <v>842</v>
      </c>
      <c r="C68" s="109">
        <f t="shared" si="0"/>
        <v>117.09834762569626</v>
      </c>
      <c r="D68">
        <f t="shared" si="3"/>
        <v>169</v>
      </c>
      <c r="E68" s="93">
        <f t="shared" si="1"/>
        <v>6.3022073350723353</v>
      </c>
    </row>
    <row r="69" spans="1:5" x14ac:dyDescent="0.25">
      <c r="A69">
        <v>55</v>
      </c>
      <c r="B69">
        <f t="shared" si="4"/>
        <v>856</v>
      </c>
      <c r="C69" s="109">
        <f t="shared" si="0"/>
        <v>119.46692902717736</v>
      </c>
      <c r="D69">
        <f t="shared" si="3"/>
        <v>172</v>
      </c>
      <c r="E69" s="93">
        <f t="shared" si="1"/>
        <v>6.4462845784507543</v>
      </c>
    </row>
    <row r="70" spans="1:5" x14ac:dyDescent="0.25">
      <c r="A70">
        <v>56</v>
      </c>
      <c r="B70">
        <f t="shared" si="4"/>
        <v>870</v>
      </c>
      <c r="C70" s="109">
        <f t="shared" si="0"/>
        <v>121.88520605270324</v>
      </c>
      <c r="D70">
        <f t="shared" si="3"/>
        <v>175</v>
      </c>
      <c r="E70" s="93">
        <f t="shared" si="1"/>
        <v>6.5933841007368947</v>
      </c>
    </row>
    <row r="71" spans="1:5" x14ac:dyDescent="0.25">
      <c r="A71">
        <v>57</v>
      </c>
      <c r="B71">
        <f t="shared" si="4"/>
        <v>884</v>
      </c>
      <c r="C71" s="109">
        <f t="shared" si="0"/>
        <v>124.35243651144589</v>
      </c>
      <c r="D71">
        <f t="shared" si="3"/>
        <v>178</v>
      </c>
      <c r="E71" s="93">
        <f t="shared" si="1"/>
        <v>6.7434621281794511</v>
      </c>
    </row>
    <row r="72" spans="1:5" x14ac:dyDescent="0.25">
      <c r="A72">
        <v>58</v>
      </c>
      <c r="B72">
        <f t="shared" si="4"/>
        <v>898</v>
      </c>
      <c r="C72" s="109">
        <f t="shared" si="0"/>
        <v>126.86791937486326</v>
      </c>
      <c r="D72">
        <f t="shared" si="3"/>
        <v>181</v>
      </c>
      <c r="E72" s="93">
        <f t="shared" si="1"/>
        <v>6.8964774220939713</v>
      </c>
    </row>
    <row r="73" spans="1:5" x14ac:dyDescent="0.25">
      <c r="A73">
        <v>59</v>
      </c>
      <c r="B73">
        <f t="shared" si="4"/>
        <v>912</v>
      </c>
      <c r="C73" s="109">
        <f t="shared" si="0"/>
        <v>129.43099171301174</v>
      </c>
      <c r="D73">
        <f t="shared" si="3"/>
        <v>184</v>
      </c>
      <c r="E73" s="93">
        <f t="shared" si="1"/>
        <v>7.0523910794915263</v>
      </c>
    </row>
    <row r="74" spans="1:5" x14ac:dyDescent="0.25">
      <c r="A74">
        <v>60</v>
      </c>
      <c r="B74">
        <f t="shared" si="4"/>
        <v>926</v>
      </c>
      <c r="C74" s="109">
        <f t="shared" si="0"/>
        <v>132.04102590554888</v>
      </c>
      <c r="D74">
        <f t="shared" si="3"/>
        <v>187</v>
      </c>
      <c r="E74" s="93">
        <f t="shared" si="1"/>
        <v>7.2111663526370799</v>
      </c>
    </row>
    <row r="75" spans="1:5" x14ac:dyDescent="0.25">
      <c r="A75">
        <v>61</v>
      </c>
      <c r="B75">
        <f t="shared" si="4"/>
        <v>940</v>
      </c>
      <c r="C75" s="109">
        <f t="shared" si="0"/>
        <v>134.69742709893697</v>
      </c>
      <c r="D75">
        <f t="shared" si="3"/>
        <v>190</v>
      </c>
      <c r="E75" s="93">
        <f t="shared" si="1"/>
        <v>7.3727684854585362</v>
      </c>
    </row>
    <row r="76" spans="1:5" x14ac:dyDescent="0.25">
      <c r="A76">
        <v>62</v>
      </c>
      <c r="B76">
        <f t="shared" si="4"/>
        <v>954</v>
      </c>
      <c r="C76" s="109">
        <f t="shared" si="0"/>
        <v>137.39963088470813</v>
      </c>
      <c r="D76">
        <f t="shared" si="3"/>
        <v>193</v>
      </c>
      <c r="E76" s="93">
        <f t="shared" si="1"/>
        <v>7.537164564985317</v>
      </c>
    </row>
    <row r="77" spans="1:5" x14ac:dyDescent="0.25">
      <c r="A77">
        <v>63</v>
      </c>
      <c r="B77">
        <f t="shared" si="4"/>
        <v>968</v>
      </c>
      <c r="C77" s="109">
        <f t="shared" si="0"/>
        <v>140.14710117653937</v>
      </c>
      <c r="D77">
        <f t="shared" si="3"/>
        <v>196</v>
      </c>
      <c r="E77" s="93">
        <f t="shared" si="1"/>
        <v>7.7043233862175038</v>
      </c>
    </row>
    <row r="78" spans="1:5" x14ac:dyDescent="0.25">
      <c r="A78">
        <v>64</v>
      </c>
      <c r="B78">
        <f t="shared" si="4"/>
        <v>982</v>
      </c>
      <c r="C78" s="109">
        <f t="shared" si="0"/>
        <v>142.9393282664202</v>
      </c>
      <c r="D78">
        <f t="shared" si="3"/>
        <v>199</v>
      </c>
      <c r="E78" s="93">
        <f t="shared" si="1"/>
        <v>7.8742153290186172</v>
      </c>
    </row>
    <row r="79" spans="1:5" x14ac:dyDescent="0.25">
      <c r="A79">
        <v>65</v>
      </c>
      <c r="B79">
        <f t="shared" si="4"/>
        <v>996</v>
      </c>
      <c r="C79" s="109">
        <f t="shared" si="0"/>
        <v>145.77582704240703</v>
      </c>
      <c r="D79">
        <f t="shared" si="3"/>
        <v>202</v>
      </c>
      <c r="E79" s="93">
        <f t="shared" si="1"/>
        <v>8.0468122457916884</v>
      </c>
    </row>
    <row r="80" spans="1:5" x14ac:dyDescent="0.25">
      <c r="A80">
        <v>66</v>
      </c>
      <c r="B80">
        <f t="shared" si="4"/>
        <v>1010</v>
      </c>
      <c r="C80" s="109">
        <f t="shared" ref="C80:C89" si="5">$C$6/B80+$C$7*$C$4*B80^($C$5-1)</f>
        <v>148.65613535239066</v>
      </c>
      <c r="D80">
        <f t="shared" si="3"/>
        <v>205</v>
      </c>
      <c r="E80" s="93">
        <f t="shared" ref="E80:E89" si="6">$C$7*$C$4*D80^($C$5-1)+$C$8/D80</f>
        <v>8.222087358842856</v>
      </c>
    </row>
    <row r="81" spans="1:5" x14ac:dyDescent="0.25">
      <c r="A81">
        <v>67</v>
      </c>
      <c r="B81">
        <f t="shared" si="4"/>
        <v>1024</v>
      </c>
      <c r="C81" s="109">
        <f t="shared" si="5"/>
        <v>151.57981249999975</v>
      </c>
      <c r="D81">
        <f t="shared" si="3"/>
        <v>208</v>
      </c>
      <c r="E81" s="93">
        <f t="shared" si="6"/>
        <v>8.4000151664626266</v>
      </c>
    </row>
    <row r="82" spans="1:5" x14ac:dyDescent="0.25">
      <c r="A82">
        <v>68</v>
      </c>
      <c r="B82">
        <f t="shared" si="4"/>
        <v>1038</v>
      </c>
      <c r="C82" s="109">
        <f t="shared" si="5"/>
        <v>154.54643786025878</v>
      </c>
      <c r="D82">
        <f t="shared" ref="D82:D89" si="7">D81+$D$13</f>
        <v>211</v>
      </c>
      <c r="E82" s="93">
        <f t="shared" si="6"/>
        <v>8.5805713568646524</v>
      </c>
    </row>
    <row r="83" spans="1:5" x14ac:dyDescent="0.25">
      <c r="A83">
        <v>69</v>
      </c>
      <c r="B83">
        <f t="shared" si="4"/>
        <v>1052</v>
      </c>
      <c r="C83" s="109">
        <f t="shared" si="5"/>
        <v>157.5556096039264</v>
      </c>
      <c r="D83">
        <f t="shared" si="7"/>
        <v>214</v>
      </c>
      <c r="E83" s="93">
        <f t="shared" si="6"/>
        <v>8.7637327292180629</v>
      </c>
    </row>
    <row r="84" spans="1:5" x14ac:dyDescent="0.25">
      <c r="A84">
        <v>70</v>
      </c>
      <c r="B84">
        <f t="shared" si="4"/>
        <v>1066</v>
      </c>
      <c r="C84" s="109">
        <f t="shared" si="5"/>
        <v>160.60694352060352</v>
      </c>
      <c r="D84">
        <f t="shared" si="7"/>
        <v>217</v>
      </c>
      <c r="E84" s="93">
        <f t="shared" si="6"/>
        <v>8.9494771210934427</v>
      </c>
    </row>
    <row r="85" spans="1:5" x14ac:dyDescent="0.25">
      <c r="A85">
        <v>71</v>
      </c>
      <c r="B85">
        <f t="shared" si="4"/>
        <v>1080</v>
      </c>
      <c r="C85" s="109">
        <f t="shared" si="5"/>
        <v>163.70007193172444</v>
      </c>
      <c r="D85">
        <f t="shared" si="7"/>
        <v>220</v>
      </c>
      <c r="E85" s="93">
        <f t="shared" si="6"/>
        <v>9.1377833417161227</v>
      </c>
    </row>
    <row r="86" spans="1:5" x14ac:dyDescent="0.25">
      <c r="A86">
        <v>72</v>
      </c>
      <c r="B86">
        <f t="shared" si="4"/>
        <v>1094</v>
      </c>
      <c r="C86" s="109">
        <f t="shared" si="5"/>
        <v>166.83464268544088</v>
      </c>
      <c r="D86">
        <f t="shared" si="7"/>
        <v>223</v>
      </c>
      <c r="E86" s="93">
        <f t="shared" si="6"/>
        <v>9.3286311104856523</v>
      </c>
    </row>
    <row r="87" spans="1:5" x14ac:dyDescent="0.25">
      <c r="A87">
        <v>73</v>
      </c>
      <c r="B87">
        <f t="shared" si="4"/>
        <v>1108</v>
      </c>
      <c r="C87" s="109">
        <f t="shared" si="5"/>
        <v>170.01031822622934</v>
      </c>
      <c r="D87">
        <f t="shared" si="7"/>
        <v>226</v>
      </c>
      <c r="E87" s="93">
        <f t="shared" si="6"/>
        <v>9.522001000277351</v>
      </c>
    </row>
    <row r="88" spans="1:5" x14ac:dyDescent="0.25">
      <c r="A88">
        <v>74</v>
      </c>
      <c r="B88">
        <f t="shared" si="4"/>
        <v>1122</v>
      </c>
      <c r="C88" s="109">
        <f t="shared" si="5"/>
        <v>173.22677473274638</v>
      </c>
      <c r="D88">
        <f t="shared" si="7"/>
        <v>229</v>
      </c>
      <c r="E88" s="93">
        <f t="shared" si="6"/>
        <v>9.7178743850921503</v>
      </c>
    </row>
    <row r="89" spans="1:5" x14ac:dyDescent="0.25">
      <c r="A89">
        <v>75</v>
      </c>
      <c r="B89">
        <f t="shared" si="4"/>
        <v>1136</v>
      </c>
      <c r="C89" s="109">
        <f t="shared" si="5"/>
        <v>176.48370131810645</v>
      </c>
      <c r="D89">
        <f t="shared" si="7"/>
        <v>232</v>
      </c>
      <c r="E89" s="93">
        <f t="shared" si="6"/>
        <v>9.9162333916657861</v>
      </c>
    </row>
  </sheetData>
  <sheetProtection password="DC2F" sheet="1" formatCells="0"/>
  <protectedRanges>
    <protectedRange sqref="D15" name="Range3"/>
    <protectedRange sqref="B15" name="Range2"/>
    <protectedRange sqref="C4:C8" name="Range1"/>
  </protectedRange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6"/>
  <sheetViews>
    <sheetView tabSelected="1" workbookViewId="0">
      <selection activeCell="A2" sqref="A2"/>
    </sheetView>
  </sheetViews>
  <sheetFormatPr defaultRowHeight="13.2" x14ac:dyDescent="0.25"/>
  <cols>
    <col min="4" max="4" width="10.88671875" bestFit="1" customWidth="1"/>
    <col min="5" max="5" width="11.109375" customWidth="1"/>
    <col min="6" max="6" width="10.5546875" customWidth="1"/>
    <col min="7" max="7" width="11" customWidth="1"/>
    <col min="8" max="8" width="7" customWidth="1"/>
  </cols>
  <sheetData>
    <row r="1" spans="2:11" ht="18" thickBot="1" x14ac:dyDescent="0.35">
      <c r="B1" s="137" t="s">
        <v>31</v>
      </c>
      <c r="C1" s="138"/>
      <c r="D1" s="138"/>
      <c r="E1" s="138"/>
      <c r="F1" s="138"/>
      <c r="G1" s="139"/>
    </row>
    <row r="2" spans="2:11" ht="15.6" thickBot="1" x14ac:dyDescent="0.3">
      <c r="B2" s="175"/>
      <c r="C2" s="176"/>
      <c r="D2" s="144"/>
      <c r="E2" s="154"/>
      <c r="F2" s="154"/>
      <c r="G2" s="154"/>
      <c r="I2" s="64" t="s">
        <v>42</v>
      </c>
      <c r="J2" s="65"/>
      <c r="K2" s="66"/>
    </row>
    <row r="3" spans="2:11" ht="16.8" x14ac:dyDescent="0.3">
      <c r="B3" s="177" t="s">
        <v>32</v>
      </c>
      <c r="C3" s="55">
        <v>200</v>
      </c>
      <c r="D3" s="56" t="s">
        <v>37</v>
      </c>
      <c r="E3" s="57"/>
      <c r="F3" s="62" t="s">
        <v>39</v>
      </c>
      <c r="G3" s="77">
        <v>0</v>
      </c>
      <c r="I3" s="67">
        <f>K3/((K3+K4)^2*(G4-G3))</f>
        <v>4.5351473922902487E-2</v>
      </c>
      <c r="J3" s="68" t="s">
        <v>41</v>
      </c>
      <c r="K3" s="73">
        <f>1/C3</f>
        <v>5.0000000000000001E-3</v>
      </c>
    </row>
    <row r="4" spans="2:11" ht="17.399999999999999" thickBot="1" x14ac:dyDescent="0.35">
      <c r="B4" s="177" t="s">
        <v>33</v>
      </c>
      <c r="C4" s="31">
        <v>10</v>
      </c>
      <c r="D4" s="82">
        <f>K4/(K3+K4)</f>
        <v>0.95238095238095233</v>
      </c>
      <c r="E4" s="60"/>
      <c r="F4" s="63" t="s">
        <v>40</v>
      </c>
      <c r="G4" s="78">
        <v>10</v>
      </c>
      <c r="I4" s="67">
        <f>EXP(-(K3+K4)*G3)</f>
        <v>1</v>
      </c>
      <c r="J4" s="69" t="s">
        <v>36</v>
      </c>
      <c r="K4" s="73">
        <f>1/C4</f>
        <v>0.1</v>
      </c>
    </row>
    <row r="5" spans="2:11" ht="15.6" thickBot="1" x14ac:dyDescent="0.3">
      <c r="B5" s="58"/>
      <c r="C5" s="59" t="s">
        <v>43</v>
      </c>
      <c r="D5" s="59"/>
      <c r="E5" s="74"/>
      <c r="F5" s="75" t="s">
        <v>53</v>
      </c>
      <c r="G5" s="76">
        <f>D4+I3*(I4-I5)</f>
        <v>0.98186223360040104</v>
      </c>
      <c r="I5" s="70">
        <f>EXP(-(K3+K4)*G4)</f>
        <v>0.34993774911115533</v>
      </c>
      <c r="J5" s="71"/>
      <c r="K5" s="72"/>
    </row>
    <row r="6" spans="2:11" x14ac:dyDescent="0.25">
      <c r="B6" s="173" t="s">
        <v>35</v>
      </c>
      <c r="C6" s="174" t="s">
        <v>34</v>
      </c>
      <c r="E6" s="52"/>
      <c r="F6" s="52"/>
      <c r="G6" s="52"/>
    </row>
    <row r="7" spans="2:11" x14ac:dyDescent="0.25">
      <c r="B7" s="79">
        <v>1</v>
      </c>
      <c r="C7" s="18">
        <f t="shared" ref="C7:C38" si="0">$D$4+($K$3/($K$3+$K$4))*EXP(-($K$3+$K$4)*B7)</f>
        <v>0.99525354869458404</v>
      </c>
      <c r="E7" s="52"/>
      <c r="F7" s="52"/>
      <c r="G7" s="52"/>
    </row>
    <row r="8" spans="2:11" x14ac:dyDescent="0.25">
      <c r="B8" s="80">
        <v>2</v>
      </c>
      <c r="C8" s="19">
        <f t="shared" si="0"/>
        <v>0.99098020218905647</v>
      </c>
      <c r="E8" s="52"/>
      <c r="F8" s="52"/>
      <c r="G8" s="52"/>
    </row>
    <row r="9" spans="2:11" ht="15" x14ac:dyDescent="0.25">
      <c r="B9" s="80">
        <v>3</v>
      </c>
      <c r="C9" s="19">
        <f t="shared" si="0"/>
        <v>0.98713280353662169</v>
      </c>
      <c r="E9" s="61"/>
      <c r="F9" s="61"/>
      <c r="G9" s="52"/>
    </row>
    <row r="10" spans="2:11" x14ac:dyDescent="0.25">
      <c r="B10" s="80">
        <v>4</v>
      </c>
      <c r="C10" s="19">
        <f t="shared" si="0"/>
        <v>0.98366889618166931</v>
      </c>
    </row>
    <row r="11" spans="2:11" x14ac:dyDescent="0.25">
      <c r="B11" s="80">
        <v>5</v>
      </c>
      <c r="C11" s="19">
        <f t="shared" si="0"/>
        <v>0.9805502554460388</v>
      </c>
    </row>
    <row r="12" spans="2:11" x14ac:dyDescent="0.25">
      <c r="B12" s="80">
        <v>6</v>
      </c>
      <c r="C12" s="19">
        <f t="shared" si="0"/>
        <v>0.97774246671461407</v>
      </c>
    </row>
    <row r="13" spans="2:11" x14ac:dyDescent="0.25">
      <c r="B13" s="80">
        <v>7</v>
      </c>
      <c r="C13" s="19">
        <f t="shared" si="0"/>
        <v>0.97521454566547106</v>
      </c>
    </row>
    <row r="14" spans="2:11" x14ac:dyDescent="0.25">
      <c r="B14" s="80">
        <v>8</v>
      </c>
      <c r="C14" s="19">
        <f t="shared" si="0"/>
        <v>0.97293859635376567</v>
      </c>
    </row>
    <row r="15" spans="2:11" x14ac:dyDescent="0.25">
      <c r="B15" s="80">
        <v>9</v>
      </c>
      <c r="C15" s="19">
        <f t="shared" si="0"/>
        <v>0.97088950337627389</v>
      </c>
    </row>
    <row r="16" spans="2:11" x14ac:dyDescent="0.25">
      <c r="B16" s="80">
        <v>10</v>
      </c>
      <c r="C16" s="19">
        <f t="shared" si="0"/>
        <v>0.96904465471957879</v>
      </c>
    </row>
    <row r="17" spans="2:3" x14ac:dyDescent="0.25">
      <c r="B17" s="80">
        <v>11</v>
      </c>
      <c r="C17" s="19">
        <f t="shared" si="0"/>
        <v>0.96738369223349585</v>
      </c>
    </row>
    <row r="18" spans="2:3" x14ac:dyDescent="0.25">
      <c r="B18" s="80">
        <v>12</v>
      </c>
      <c r="C18" s="19">
        <f t="shared" si="0"/>
        <v>0.96588828697617946</v>
      </c>
    </row>
    <row r="19" spans="2:3" x14ac:dyDescent="0.25">
      <c r="B19" s="80">
        <v>13</v>
      </c>
      <c r="C19" s="19">
        <f t="shared" si="0"/>
        <v>0.96454193695181312</v>
      </c>
    </row>
    <row r="20" spans="2:3" x14ac:dyDescent="0.25">
      <c r="B20" s="80">
        <v>14</v>
      </c>
      <c r="C20" s="19">
        <f t="shared" si="0"/>
        <v>0.96332978500889155</v>
      </c>
    </row>
    <row r="21" spans="2:3" x14ac:dyDescent="0.25">
      <c r="B21" s="80">
        <v>15</v>
      </c>
      <c r="C21" s="19">
        <f t="shared" si="0"/>
        <v>0.9622384548895786</v>
      </c>
    </row>
    <row r="22" spans="2:3" x14ac:dyDescent="0.25">
      <c r="B22" s="80">
        <v>16</v>
      </c>
      <c r="C22" s="19">
        <f t="shared" si="0"/>
        <v>0.96125590362092428</v>
      </c>
    </row>
    <row r="23" spans="2:3" x14ac:dyDescent="0.25">
      <c r="B23" s="80">
        <v>17</v>
      </c>
      <c r="C23" s="19">
        <f t="shared" si="0"/>
        <v>0.96037128861905641</v>
      </c>
    </row>
    <row r="24" spans="2:3" x14ac:dyDescent="0.25">
      <c r="B24" s="80">
        <v>18</v>
      </c>
      <c r="C24" s="19">
        <f t="shared" si="0"/>
        <v>0.95957484803982718</v>
      </c>
    </row>
    <row r="25" spans="2:3" x14ac:dyDescent="0.25">
      <c r="B25" s="80">
        <v>19</v>
      </c>
      <c r="C25" s="19">
        <f t="shared" si="0"/>
        <v>0.95885779305556418</v>
      </c>
    </row>
    <row r="26" spans="2:3" x14ac:dyDescent="0.25">
      <c r="B26" s="80">
        <v>20</v>
      </c>
      <c r="C26" s="19">
        <f t="shared" si="0"/>
        <v>0.95821221086918951</v>
      </c>
    </row>
    <row r="27" spans="2:3" x14ac:dyDescent="0.25">
      <c r="B27" s="80">
        <v>21</v>
      </c>
      <c r="C27" s="19">
        <f t="shared" si="0"/>
        <v>0.95763097739545167</v>
      </c>
    </row>
    <row r="28" spans="2:3" x14ac:dyDescent="0.25">
      <c r="B28" s="80">
        <v>22</v>
      </c>
      <c r="C28" s="19">
        <f t="shared" si="0"/>
        <v>0.95710767864569735</v>
      </c>
    </row>
    <row r="29" spans="2:3" x14ac:dyDescent="0.25">
      <c r="B29" s="80">
        <v>23</v>
      </c>
      <c r="C29" s="19">
        <f t="shared" si="0"/>
        <v>0.95663653994865483</v>
      </c>
    </row>
    <row r="30" spans="2:3" x14ac:dyDescent="0.25">
      <c r="B30" s="80">
        <v>24</v>
      </c>
      <c r="C30" s="19">
        <f t="shared" si="0"/>
        <v>0.95621236222616812</v>
      </c>
    </row>
    <row r="31" spans="2:3" x14ac:dyDescent="0.25">
      <c r="B31" s="80">
        <v>25</v>
      </c>
      <c r="C31" s="19">
        <f t="shared" si="0"/>
        <v>0.95583046462067855</v>
      </c>
    </row>
    <row r="32" spans="2:3" x14ac:dyDescent="0.25">
      <c r="B32" s="80">
        <v>26</v>
      </c>
      <c r="C32" s="19">
        <f t="shared" si="0"/>
        <v>0.95548663284133939</v>
      </c>
    </row>
    <row r="33" spans="2:3" x14ac:dyDescent="0.25">
      <c r="B33" s="80">
        <v>27</v>
      </c>
      <c r="C33" s="19">
        <f t="shared" si="0"/>
        <v>0.95517707265875573</v>
      </c>
    </row>
    <row r="34" spans="2:3" x14ac:dyDescent="0.25">
      <c r="B34" s="80">
        <v>28</v>
      </c>
      <c r="C34" s="19">
        <f t="shared" si="0"/>
        <v>0.95489836803515948</v>
      </c>
    </row>
    <row r="35" spans="2:3" x14ac:dyDescent="0.25">
      <c r="B35" s="80">
        <v>29</v>
      </c>
      <c r="C35" s="19">
        <f t="shared" si="0"/>
        <v>0.95464744342797758</v>
      </c>
    </row>
    <row r="36" spans="2:3" x14ac:dyDescent="0.25">
      <c r="B36" s="80">
        <v>30</v>
      </c>
      <c r="C36" s="19">
        <f t="shared" si="0"/>
        <v>0.95442152985081141</v>
      </c>
    </row>
    <row r="37" spans="2:3" x14ac:dyDescent="0.25">
      <c r="B37" s="80">
        <v>31</v>
      </c>
      <c r="C37" s="19">
        <f t="shared" si="0"/>
        <v>0.95421813431730351</v>
      </c>
    </row>
    <row r="38" spans="2:3" x14ac:dyDescent="0.25">
      <c r="B38" s="80">
        <v>32</v>
      </c>
      <c r="C38" s="19">
        <f t="shared" si="0"/>
        <v>0.95403501233070176</v>
      </c>
    </row>
    <row r="39" spans="2:3" x14ac:dyDescent="0.25">
      <c r="B39" s="80">
        <v>33</v>
      </c>
      <c r="C39" s="19">
        <f t="shared" ref="C39:C70" si="1">$D$4+($K$3/($K$3+$K$4))*EXP(-($K$3+$K$4)*B39)</f>
        <v>0.95387014311553953</v>
      </c>
    </row>
    <row r="40" spans="2:3" x14ac:dyDescent="0.25">
      <c r="B40" s="80">
        <v>34</v>
      </c>
      <c r="C40" s="19">
        <f t="shared" si="1"/>
        <v>0.95372170731810946</v>
      </c>
    </row>
    <row r="41" spans="2:3" x14ac:dyDescent="0.25">
      <c r="B41" s="80">
        <v>35</v>
      </c>
      <c r="C41" s="19">
        <f t="shared" si="1"/>
        <v>0.95358806692965348</v>
      </c>
    </row>
    <row r="42" spans="2:3" x14ac:dyDescent="0.25">
      <c r="B42" s="80">
        <v>36</v>
      </c>
      <c r="C42" s="19">
        <f t="shared" si="1"/>
        <v>0.9534677472107187</v>
      </c>
    </row>
    <row r="43" spans="2:3" x14ac:dyDescent="0.25">
      <c r="B43" s="80">
        <v>37</v>
      </c>
      <c r="C43" s="19">
        <f t="shared" si="1"/>
        <v>0.95335942041721089</v>
      </c>
    </row>
    <row r="44" spans="2:3" x14ac:dyDescent="0.25">
      <c r="B44" s="80">
        <v>38</v>
      </c>
      <c r="C44" s="19">
        <f t="shared" si="1"/>
        <v>0.95326189114856275</v>
      </c>
    </row>
    <row r="45" spans="2:3" x14ac:dyDescent="0.25">
      <c r="B45" s="80">
        <v>39</v>
      </c>
      <c r="C45" s="19">
        <f t="shared" si="1"/>
        <v>0.9531740831563289</v>
      </c>
    </row>
    <row r="46" spans="2:3" x14ac:dyDescent="0.25">
      <c r="B46" s="80">
        <v>40</v>
      </c>
      <c r="C46" s="19">
        <f t="shared" si="1"/>
        <v>0.95309502746764174</v>
      </c>
    </row>
    <row r="47" spans="2:3" x14ac:dyDescent="0.25">
      <c r="B47" s="80">
        <v>41</v>
      </c>
      <c r="C47" s="19">
        <f t="shared" si="1"/>
        <v>0.95302385169246673</v>
      </c>
    </row>
    <row r="48" spans="2:3" x14ac:dyDescent="0.25">
      <c r="B48" s="80">
        <v>42</v>
      </c>
      <c r="C48" s="19">
        <f t="shared" si="1"/>
        <v>0.95295977039666258</v>
      </c>
    </row>
    <row r="49" spans="2:3" x14ac:dyDescent="0.25">
      <c r="B49" s="80">
        <v>43</v>
      </c>
      <c r="C49" s="19">
        <f t="shared" si="1"/>
        <v>0.952902076434611</v>
      </c>
    </row>
    <row r="50" spans="2:3" x14ac:dyDescent="0.25">
      <c r="B50" s="80">
        <v>44</v>
      </c>
      <c r="C50" s="19">
        <f t="shared" si="1"/>
        <v>0.95285013314577072</v>
      </c>
    </row>
    <row r="51" spans="2:3" x14ac:dyDescent="0.25">
      <c r="B51" s="80">
        <v>45</v>
      </c>
      <c r="C51" s="19">
        <f t="shared" si="1"/>
        <v>0.95280336732904414</v>
      </c>
    </row>
    <row r="52" spans="2:3" x14ac:dyDescent="0.25">
      <c r="B52" s="80">
        <v>46</v>
      </c>
      <c r="C52" s="19">
        <f t="shared" si="1"/>
        <v>0.95276126291742635</v>
      </c>
    </row>
    <row r="53" spans="2:3" x14ac:dyDescent="0.25">
      <c r="B53" s="80">
        <v>47</v>
      </c>
      <c r="C53" s="19">
        <f t="shared" si="1"/>
        <v>0.9527233552831379</v>
      </c>
    </row>
    <row r="54" spans="2:3" x14ac:dyDescent="0.25">
      <c r="B54" s="80">
        <v>48</v>
      </c>
      <c r="C54" s="19">
        <f t="shared" si="1"/>
        <v>0.95268922611039464</v>
      </c>
    </row>
    <row r="55" spans="2:3" x14ac:dyDescent="0.25">
      <c r="B55" s="80">
        <v>49</v>
      </c>
      <c r="C55" s="19">
        <f t="shared" si="1"/>
        <v>0.95265849877923836</v>
      </c>
    </row>
    <row r="56" spans="2:3" x14ac:dyDescent="0.25">
      <c r="B56" s="80">
        <v>50</v>
      </c>
      <c r="C56" s="19">
        <f t="shared" si="1"/>
        <v>0.9526308342094848</v>
      </c>
    </row>
    <row r="57" spans="2:3" x14ac:dyDescent="0.25">
      <c r="B57" s="80">
        <v>51</v>
      </c>
      <c r="C57" s="19">
        <f t="shared" si="1"/>
        <v>0.95260592711892877</v>
      </c>
    </row>
    <row r="58" spans="2:3" x14ac:dyDescent="0.25">
      <c r="B58" s="80">
        <v>52</v>
      </c>
      <c r="C58" s="19">
        <f t="shared" si="1"/>
        <v>0.95258350265451497</v>
      </c>
    </row>
    <row r="59" spans="2:3" x14ac:dyDescent="0.25">
      <c r="B59" s="80">
        <v>53</v>
      </c>
      <c r="C59" s="19">
        <f t="shared" si="1"/>
        <v>0.95256331335929734</v>
      </c>
    </row>
    <row r="60" spans="2:3" x14ac:dyDescent="0.25">
      <c r="B60" s="80">
        <v>54</v>
      </c>
      <c r="C60" s="19">
        <f t="shared" si="1"/>
        <v>0.95254513644171912</v>
      </c>
    </row>
    <row r="61" spans="2:3" x14ac:dyDescent="0.25">
      <c r="B61" s="80">
        <v>55</v>
      </c>
      <c r="C61" s="19">
        <f t="shared" si="1"/>
        <v>0.95252877131707847</v>
      </c>
    </row>
    <row r="62" spans="2:3" x14ac:dyDescent="0.25">
      <c r="B62" s="80">
        <v>56</v>
      </c>
      <c r="C62" s="19">
        <f t="shared" si="1"/>
        <v>0.95251403739404927</v>
      </c>
    </row>
    <row r="63" spans="2:3" x14ac:dyDescent="0.25">
      <c r="B63" s="80">
        <v>57</v>
      </c>
      <c r="C63" s="19">
        <f t="shared" si="1"/>
        <v>0.95250077208183226</v>
      </c>
    </row>
    <row r="64" spans="2:3" x14ac:dyDescent="0.25">
      <c r="B64" s="80">
        <v>58</v>
      </c>
      <c r="C64" s="19">
        <f t="shared" si="1"/>
        <v>0.95248882899594345</v>
      </c>
    </row>
    <row r="65" spans="2:3" x14ac:dyDescent="0.25">
      <c r="B65" s="80">
        <v>59</v>
      </c>
      <c r="C65" s="19">
        <f t="shared" si="1"/>
        <v>0.95247807634284243</v>
      </c>
    </row>
    <row r="66" spans="2:3" x14ac:dyDescent="0.25">
      <c r="B66" s="80">
        <v>60</v>
      </c>
      <c r="C66" s="19">
        <f t="shared" si="1"/>
        <v>0.95246839546557271</v>
      </c>
    </row>
    <row r="67" spans="2:3" x14ac:dyDescent="0.25">
      <c r="B67" s="80">
        <v>61</v>
      </c>
      <c r="C67" s="19">
        <f t="shared" si="1"/>
        <v>0.95245967953436672</v>
      </c>
    </row>
    <row r="68" spans="2:3" x14ac:dyDescent="0.25">
      <c r="B68" s="80">
        <v>62</v>
      </c>
      <c r="C68" s="19">
        <f t="shared" si="1"/>
        <v>0.95245183236776465</v>
      </c>
    </row>
    <row r="69" spans="2:3" x14ac:dyDescent="0.25">
      <c r="B69" s="80">
        <v>63</v>
      </c>
      <c r="C69" s="19">
        <f t="shared" si="1"/>
        <v>0.95244476737124006</v>
      </c>
    </row>
    <row r="70" spans="2:3" x14ac:dyDescent="0.25">
      <c r="B70" s="80">
        <v>64</v>
      </c>
      <c r="C70" s="19">
        <f t="shared" si="1"/>
        <v>0.95243840658161705</v>
      </c>
    </row>
    <row r="71" spans="2:3" x14ac:dyDescent="0.25">
      <c r="B71" s="80">
        <v>65</v>
      </c>
      <c r="C71" s="19">
        <f t="shared" ref="C71:C102" si="2">$D$4+($K$3/($K$3+$K$4))*EXP(-($K$3+$K$4)*B71)</f>
        <v>0.95243267980673629</v>
      </c>
    </row>
    <row r="72" spans="2:3" x14ac:dyDescent="0.25">
      <c r="B72" s="80">
        <v>66</v>
      </c>
      <c r="C72" s="19">
        <f t="shared" si="2"/>
        <v>0.95242752385087592</v>
      </c>
    </row>
    <row r="73" spans="2:3" x14ac:dyDescent="0.25">
      <c r="B73" s="80">
        <v>67</v>
      </c>
      <c r="C73" s="19">
        <f t="shared" si="2"/>
        <v>0.95242288181737744</v>
      </c>
    </row>
    <row r="74" spans="2:3" x14ac:dyDescent="0.25">
      <c r="B74" s="80">
        <v>68</v>
      </c>
      <c r="C74" s="19">
        <f t="shared" si="2"/>
        <v>0.95241870248078409</v>
      </c>
    </row>
    <row r="75" spans="2:3" x14ac:dyDescent="0.25">
      <c r="B75" s="80">
        <v>69</v>
      </c>
      <c r="C75" s="19">
        <f t="shared" si="2"/>
        <v>0.95241493972156088</v>
      </c>
    </row>
    <row r="76" spans="2:3" x14ac:dyDescent="0.25">
      <c r="B76" s="80">
        <v>70</v>
      </c>
      <c r="C76" s="19">
        <f t="shared" si="2"/>
        <v>0.95241155201715977</v>
      </c>
    </row>
    <row r="77" spans="2:3" x14ac:dyDescent="0.25">
      <c r="B77" s="80">
        <v>71</v>
      </c>
      <c r="C77" s="19">
        <f t="shared" si="2"/>
        <v>0.95240850198381211</v>
      </c>
    </row>
    <row r="78" spans="2:3" x14ac:dyDescent="0.25">
      <c r="B78" s="80">
        <v>72</v>
      </c>
      <c r="C78" s="19">
        <f t="shared" si="2"/>
        <v>0.95240575596399446</v>
      </c>
    </row>
    <row r="79" spans="2:3" x14ac:dyDescent="0.25">
      <c r="B79" s="80">
        <v>73</v>
      </c>
      <c r="C79" s="19">
        <f t="shared" si="2"/>
        <v>0.95240328365501314</v>
      </c>
    </row>
    <row r="80" spans="2:3" x14ac:dyDescent="0.25">
      <c r="B80" s="80">
        <v>74</v>
      </c>
      <c r="C80" s="19">
        <f t="shared" si="2"/>
        <v>0.95240105777460993</v>
      </c>
    </row>
    <row r="81" spans="2:3" x14ac:dyDescent="0.25">
      <c r="B81" s="80">
        <v>75</v>
      </c>
      <c r="C81" s="19">
        <f t="shared" si="2"/>
        <v>0.95239905375989853</v>
      </c>
    </row>
    <row r="82" spans="2:3" x14ac:dyDescent="0.25">
      <c r="B82" s="80">
        <v>76</v>
      </c>
      <c r="C82" s="19">
        <f t="shared" si="2"/>
        <v>0.95239724949631022</v>
      </c>
    </row>
    <row r="83" spans="2:3" x14ac:dyDescent="0.25">
      <c r="B83" s="80">
        <v>77</v>
      </c>
      <c r="C83" s="19">
        <f t="shared" si="2"/>
        <v>0.95239562507355646</v>
      </c>
    </row>
    <row r="84" spans="2:3" x14ac:dyDescent="0.25">
      <c r="B84" s="80">
        <v>78</v>
      </c>
      <c r="C84" s="19">
        <f t="shared" si="2"/>
        <v>0.95239416256591614</v>
      </c>
    </row>
    <row r="85" spans="2:3" x14ac:dyDescent="0.25">
      <c r="B85" s="80">
        <v>79</v>
      </c>
      <c r="C85" s="19">
        <f t="shared" si="2"/>
        <v>0.95239284583442319</v>
      </c>
    </row>
    <row r="86" spans="2:3" x14ac:dyDescent="0.25">
      <c r="B86" s="80">
        <v>80</v>
      </c>
      <c r="C86" s="19">
        <f t="shared" si="2"/>
        <v>0.95239166034877032</v>
      </c>
    </row>
    <row r="87" spans="2:3" x14ac:dyDescent="0.25">
      <c r="B87" s="80">
        <v>81</v>
      </c>
      <c r="C87" s="19">
        <f t="shared" si="2"/>
        <v>0.95239059302696594</v>
      </c>
    </row>
    <row r="88" spans="2:3" x14ac:dyDescent="0.25">
      <c r="B88" s="80">
        <v>82</v>
      </c>
      <c r="C88" s="19">
        <f t="shared" si="2"/>
        <v>0.95238963209097194</v>
      </c>
    </row>
    <row r="89" spans="2:3" x14ac:dyDescent="0.25">
      <c r="B89" s="80">
        <v>83</v>
      </c>
      <c r="C89" s="19">
        <f t="shared" si="2"/>
        <v>0.95238876693673191</v>
      </c>
    </row>
    <row r="90" spans="2:3" x14ac:dyDescent="0.25">
      <c r="B90" s="80">
        <v>84</v>
      </c>
      <c r="C90" s="19">
        <f t="shared" si="2"/>
        <v>0.95238798801715385</v>
      </c>
    </row>
    <row r="91" spans="2:3" x14ac:dyDescent="0.25">
      <c r="B91" s="80">
        <v>85</v>
      </c>
      <c r="C91" s="19">
        <f t="shared" si="2"/>
        <v>0.95238728673675654</v>
      </c>
    </row>
    <row r="92" spans="2:3" x14ac:dyDescent="0.25">
      <c r="B92" s="80">
        <v>86</v>
      </c>
      <c r="C92" s="19">
        <f t="shared" si="2"/>
        <v>0.95238665535681766</v>
      </c>
    </row>
    <row r="93" spans="2:3" x14ac:dyDescent="0.25">
      <c r="B93" s="80">
        <v>87</v>
      </c>
      <c r="C93" s="19">
        <f t="shared" si="2"/>
        <v>0.95238608690997562</v>
      </c>
    </row>
    <row r="94" spans="2:3" x14ac:dyDescent="0.25">
      <c r="B94" s="80">
        <v>88</v>
      </c>
      <c r="C94" s="19">
        <f t="shared" si="2"/>
        <v>0.95238557512334387</v>
      </c>
    </row>
    <row r="95" spans="2:3" x14ac:dyDescent="0.25">
      <c r="B95" s="80">
        <v>89</v>
      </c>
      <c r="C95" s="19">
        <f t="shared" si="2"/>
        <v>0.95238511434928907</v>
      </c>
    </row>
    <row r="96" spans="2:3" x14ac:dyDescent="0.25">
      <c r="B96" s="80">
        <v>90</v>
      </c>
      <c r="C96" s="19">
        <f t="shared" si="2"/>
        <v>0.95238469950310811</v>
      </c>
    </row>
    <row r="97" spans="2:3" x14ac:dyDescent="0.25">
      <c r="B97" s="80">
        <v>91</v>
      </c>
      <c r="C97" s="19">
        <f t="shared" si="2"/>
        <v>0.95238432600691836</v>
      </c>
    </row>
    <row r="98" spans="2:3" x14ac:dyDescent="0.25">
      <c r="B98" s="80">
        <v>92</v>
      </c>
      <c r="C98" s="19">
        <f t="shared" si="2"/>
        <v>0.95238398973913951</v>
      </c>
    </row>
    <row r="99" spans="2:3" x14ac:dyDescent="0.25">
      <c r="B99" s="80">
        <v>93</v>
      </c>
      <c r="C99" s="19">
        <f t="shared" si="2"/>
        <v>0.95238368698901221</v>
      </c>
    </row>
    <row r="100" spans="2:3" x14ac:dyDescent="0.25">
      <c r="B100" s="80">
        <v>94</v>
      </c>
      <c r="C100" s="19">
        <f t="shared" si="2"/>
        <v>0.95238341441564822</v>
      </c>
    </row>
    <row r="101" spans="2:3" x14ac:dyDescent="0.25">
      <c r="B101" s="80">
        <v>95</v>
      </c>
      <c r="C101" s="19">
        <f t="shared" si="2"/>
        <v>0.95238316901116449</v>
      </c>
    </row>
    <row r="102" spans="2:3" x14ac:dyDescent="0.25">
      <c r="B102" s="80">
        <v>96</v>
      </c>
      <c r="C102" s="19">
        <f t="shared" si="2"/>
        <v>0.95238294806748991</v>
      </c>
    </row>
    <row r="103" spans="2:3" x14ac:dyDescent="0.25">
      <c r="B103" s="80">
        <v>97</v>
      </c>
      <c r="C103" s="19">
        <f>$D$4+($K$3/($K$3+$K$4))*EXP(-($K$3+$K$4)*B103)</f>
        <v>0.95238274914648147</v>
      </c>
    </row>
    <row r="104" spans="2:3" x14ac:dyDescent="0.25">
      <c r="B104" s="80">
        <v>98</v>
      </c>
      <c r="C104" s="19">
        <f>$D$4+($K$3/($K$3+$K$4))*EXP(-($K$3+$K$4)*B104)</f>
        <v>0.95238257005301952</v>
      </c>
    </row>
    <row r="105" spans="2:3" x14ac:dyDescent="0.25">
      <c r="B105" s="80">
        <v>99</v>
      </c>
      <c r="C105" s="19">
        <f>$D$4+($K$3/($K$3+$K$4))*EXP(-($K$3+$K$4)*B105)</f>
        <v>0.95238240881078395</v>
      </c>
    </row>
    <row r="106" spans="2:3" x14ac:dyDescent="0.25">
      <c r="B106" s="81">
        <v>100</v>
      </c>
      <c r="C106" s="20">
        <f>$D$4+($K$3/($K$3+$K$4))*EXP(-($K$3+$K$4)*B106)</f>
        <v>0.9523822636404452</v>
      </c>
    </row>
  </sheetData>
  <sheetProtection password="DC2F" sheet="1" formatCells="0"/>
  <protectedRanges>
    <protectedRange sqref="B7:B106" name="Range3"/>
    <protectedRange sqref="G3:G4" name="Range2"/>
    <protectedRange sqref="C3:C4" name="Range1"/>
  </protectedRange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4"/>
  <sheetViews>
    <sheetView workbookViewId="0">
      <selection activeCell="J3" sqref="J3"/>
    </sheetView>
  </sheetViews>
  <sheetFormatPr defaultRowHeight="13.2" x14ac:dyDescent="0.25"/>
  <cols>
    <col min="2" max="2" width="15.5546875" customWidth="1"/>
    <col min="3" max="3" width="12.109375" customWidth="1"/>
    <col min="8" max="8" width="0" hidden="1" customWidth="1"/>
  </cols>
  <sheetData>
    <row r="1" spans="2:8" ht="17.399999999999999" x14ac:dyDescent="0.3">
      <c r="B1" s="140" t="s">
        <v>44</v>
      </c>
      <c r="C1" s="135"/>
      <c r="D1" s="135"/>
      <c r="E1" s="135"/>
      <c r="F1" s="135"/>
      <c r="G1" s="136"/>
    </row>
    <row r="2" spans="2:8" ht="17.399999999999999" x14ac:dyDescent="0.3">
      <c r="B2" s="141" t="s">
        <v>45</v>
      </c>
      <c r="C2" s="142"/>
      <c r="D2" s="142"/>
      <c r="E2" s="142"/>
      <c r="F2" s="142"/>
      <c r="G2" s="143"/>
    </row>
    <row r="3" spans="2:8" ht="13.8" x14ac:dyDescent="0.25">
      <c r="B3" s="146"/>
      <c r="C3" s="83" t="s">
        <v>54</v>
      </c>
      <c r="D3" s="144"/>
      <c r="E3" s="144"/>
      <c r="F3" s="144"/>
      <c r="G3" s="145"/>
    </row>
    <row r="4" spans="2:8" ht="13.8" x14ac:dyDescent="0.25">
      <c r="B4" s="147" t="s">
        <v>55</v>
      </c>
      <c r="C4" s="84">
        <v>2.0000000000000001E-4</v>
      </c>
      <c r="D4" s="144"/>
      <c r="E4" s="7" t="s">
        <v>48</v>
      </c>
      <c r="F4" s="8" t="s">
        <v>50</v>
      </c>
      <c r="G4" s="9"/>
    </row>
    <row r="5" spans="2:8" ht="13.8" x14ac:dyDescent="0.25">
      <c r="B5" s="146" t="s">
        <v>56</v>
      </c>
      <c r="C5" s="85">
        <v>16</v>
      </c>
      <c r="D5" s="123" t="s">
        <v>77</v>
      </c>
      <c r="E5" s="10" t="s">
        <v>49</v>
      </c>
      <c r="F5" s="121" t="s">
        <v>76</v>
      </c>
      <c r="G5" s="11"/>
    </row>
    <row r="6" spans="2:8" ht="13.8" x14ac:dyDescent="0.25">
      <c r="B6" s="148" t="s">
        <v>57</v>
      </c>
      <c r="C6" s="86">
        <v>48</v>
      </c>
      <c r="D6" s="122" t="s">
        <v>78</v>
      </c>
      <c r="E6" s="87">
        <f>MAX(C8:C107)</f>
        <v>0.91595777163250969</v>
      </c>
      <c r="F6" s="88">
        <f>SUM(H8:H107)</f>
        <v>390</v>
      </c>
      <c r="G6" s="12" t="str">
        <f>D6</f>
        <v>hours</v>
      </c>
    </row>
    <row r="7" spans="2:8" x14ac:dyDescent="0.25">
      <c r="B7" s="130" t="s">
        <v>46</v>
      </c>
      <c r="C7" s="89" t="s">
        <v>47</v>
      </c>
    </row>
    <row r="8" spans="2:8" x14ac:dyDescent="0.25">
      <c r="B8" s="127">
        <v>10</v>
      </c>
      <c r="C8" s="4">
        <f>(1-EXP(-$C$4*B8))/($C$4*(B8+$C$5+$C$6*(1-EXP(-$C$4*B8))))</f>
        <v>0.38281895269259258</v>
      </c>
      <c r="H8" s="1">
        <f t="shared" ref="H8:H39" si="0">IF(C8=$E$6,B8,0)</f>
        <v>0</v>
      </c>
    </row>
    <row r="9" spans="2:8" x14ac:dyDescent="0.25">
      <c r="B9" s="128">
        <v>20</v>
      </c>
      <c r="C9" s="4">
        <f t="shared" ref="C9:C72" si="1">(1-EXP(-$C$4*B9))/($C$4*(B9+$C$5+$C$6*(1-EXP(-$C$4*B9))))</f>
        <v>0.55151041053130634</v>
      </c>
      <c r="H9" s="1">
        <f t="shared" si="0"/>
        <v>0</v>
      </c>
    </row>
    <row r="10" spans="2:8" x14ac:dyDescent="0.25">
      <c r="B10" s="128">
        <v>30</v>
      </c>
      <c r="C10" s="4">
        <f t="shared" si="1"/>
        <v>0.64618771434430844</v>
      </c>
      <c r="H10" s="1">
        <f t="shared" si="0"/>
        <v>0</v>
      </c>
    </row>
    <row r="11" spans="2:8" x14ac:dyDescent="0.25">
      <c r="B11" s="128">
        <v>40</v>
      </c>
      <c r="C11" s="4">
        <f t="shared" si="1"/>
        <v>0.70661017805466464</v>
      </c>
      <c r="H11" s="1">
        <f t="shared" si="0"/>
        <v>0</v>
      </c>
    </row>
    <row r="12" spans="2:8" x14ac:dyDescent="0.25">
      <c r="B12" s="128">
        <v>50</v>
      </c>
      <c r="C12" s="4">
        <f t="shared" si="1"/>
        <v>0.74838479851888284</v>
      </c>
      <c r="H12" s="1">
        <f t="shared" si="0"/>
        <v>0</v>
      </c>
    </row>
    <row r="13" spans="2:8" x14ac:dyDescent="0.25">
      <c r="B13" s="128">
        <v>60</v>
      </c>
      <c r="C13" s="4">
        <f t="shared" si="1"/>
        <v>0.77888786031748258</v>
      </c>
      <c r="H13" s="1">
        <f t="shared" si="0"/>
        <v>0</v>
      </c>
    </row>
    <row r="14" spans="2:8" x14ac:dyDescent="0.25">
      <c r="B14" s="128">
        <v>70</v>
      </c>
      <c r="C14" s="4">
        <f t="shared" si="1"/>
        <v>0.80205872743911377</v>
      </c>
      <c r="H14" s="1">
        <f t="shared" si="0"/>
        <v>0</v>
      </c>
    </row>
    <row r="15" spans="2:8" x14ac:dyDescent="0.25">
      <c r="B15" s="128">
        <v>80</v>
      </c>
      <c r="C15" s="4">
        <f t="shared" si="1"/>
        <v>0.82019275193170549</v>
      </c>
      <c r="H15" s="1">
        <f t="shared" si="0"/>
        <v>0</v>
      </c>
    </row>
    <row r="16" spans="2:8" x14ac:dyDescent="0.25">
      <c r="B16" s="128">
        <v>90</v>
      </c>
      <c r="C16" s="4">
        <f t="shared" si="1"/>
        <v>0.83471786761359823</v>
      </c>
      <c r="H16" s="1">
        <f t="shared" si="0"/>
        <v>0</v>
      </c>
    </row>
    <row r="17" spans="2:8" x14ac:dyDescent="0.25">
      <c r="B17" s="128">
        <v>100</v>
      </c>
      <c r="C17" s="4">
        <f t="shared" si="1"/>
        <v>0.84656896902987733</v>
      </c>
      <c r="H17" s="1">
        <f t="shared" si="0"/>
        <v>0</v>
      </c>
    </row>
    <row r="18" spans="2:8" x14ac:dyDescent="0.25">
      <c r="B18" s="128">
        <v>110</v>
      </c>
      <c r="C18" s="4">
        <f t="shared" si="1"/>
        <v>0.85638379885583427</v>
      </c>
      <c r="H18" s="1">
        <f t="shared" si="0"/>
        <v>0</v>
      </c>
    </row>
    <row r="19" spans="2:8" x14ac:dyDescent="0.25">
      <c r="B19" s="128">
        <v>120</v>
      </c>
      <c r="C19" s="4">
        <f t="shared" si="1"/>
        <v>0.86461231744996014</v>
      </c>
      <c r="H19" s="1">
        <f t="shared" si="0"/>
        <v>0</v>
      </c>
    </row>
    <row r="20" spans="2:8" x14ac:dyDescent="0.25">
      <c r="B20" s="128">
        <v>130</v>
      </c>
      <c r="C20" s="4">
        <f t="shared" si="1"/>
        <v>0.87158107905619298</v>
      </c>
      <c r="H20" s="1">
        <f t="shared" si="0"/>
        <v>0</v>
      </c>
    </row>
    <row r="21" spans="2:8" x14ac:dyDescent="0.25">
      <c r="B21" s="128">
        <v>140</v>
      </c>
      <c r="C21" s="4">
        <f t="shared" si="1"/>
        <v>0.8775328237195007</v>
      </c>
      <c r="H21" s="1">
        <f t="shared" si="0"/>
        <v>0</v>
      </c>
    </row>
    <row r="22" spans="2:8" x14ac:dyDescent="0.25">
      <c r="B22" s="128">
        <v>150</v>
      </c>
      <c r="C22" s="4">
        <f t="shared" si="1"/>
        <v>0.88265174572234184</v>
      </c>
      <c r="H22" s="1">
        <f t="shared" si="0"/>
        <v>0</v>
      </c>
    </row>
    <row r="23" spans="2:8" x14ac:dyDescent="0.25">
      <c r="B23" s="128">
        <v>160</v>
      </c>
      <c r="C23" s="4">
        <f t="shared" si="1"/>
        <v>0.88708014031691051</v>
      </c>
      <c r="H23" s="1">
        <f t="shared" si="0"/>
        <v>0</v>
      </c>
    </row>
    <row r="24" spans="2:8" x14ac:dyDescent="0.25">
      <c r="B24" s="128">
        <v>170</v>
      </c>
      <c r="C24" s="4">
        <f t="shared" si="1"/>
        <v>0.89092967614087126</v>
      </c>
      <c r="H24" s="1">
        <f t="shared" si="0"/>
        <v>0</v>
      </c>
    </row>
    <row r="25" spans="2:8" x14ac:dyDescent="0.25">
      <c r="B25" s="128">
        <v>180</v>
      </c>
      <c r="C25" s="4">
        <f t="shared" si="1"/>
        <v>0.89428921420874685</v>
      </c>
      <c r="H25" s="1">
        <f t="shared" si="0"/>
        <v>0</v>
      </c>
    </row>
    <row r="26" spans="2:8" x14ac:dyDescent="0.25">
      <c r="B26" s="128">
        <v>190</v>
      </c>
      <c r="C26" s="4">
        <f t="shared" si="1"/>
        <v>0.89723034784136979</v>
      </c>
      <c r="H26" s="1">
        <f t="shared" si="0"/>
        <v>0</v>
      </c>
    </row>
    <row r="27" spans="2:8" x14ac:dyDescent="0.25">
      <c r="B27" s="128">
        <v>200</v>
      </c>
      <c r="C27" s="4">
        <f t="shared" si="1"/>
        <v>0.8998114026396371</v>
      </c>
      <c r="H27" s="1">
        <f t="shared" si="0"/>
        <v>0</v>
      </c>
    </row>
    <row r="28" spans="2:8" x14ac:dyDescent="0.25">
      <c r="B28" s="128">
        <v>210</v>
      </c>
      <c r="C28" s="4">
        <f t="shared" si="1"/>
        <v>0.90208037380186989</v>
      </c>
      <c r="H28" s="1">
        <f t="shared" si="0"/>
        <v>0</v>
      </c>
    </row>
    <row r="29" spans="2:8" x14ac:dyDescent="0.25">
      <c r="B29" s="128">
        <v>220</v>
      </c>
      <c r="C29" s="4">
        <f t="shared" si="1"/>
        <v>0.90407711618307296</v>
      </c>
      <c r="H29" s="1">
        <f t="shared" si="0"/>
        <v>0</v>
      </c>
    </row>
    <row r="30" spans="2:8" x14ac:dyDescent="0.25">
      <c r="B30" s="128">
        <v>230</v>
      </c>
      <c r="C30" s="4">
        <f t="shared" si="1"/>
        <v>0.90583499986232885</v>
      </c>
      <c r="H30" s="1">
        <f t="shared" si="0"/>
        <v>0</v>
      </c>
    </row>
    <row r="31" spans="2:8" x14ac:dyDescent="0.25">
      <c r="B31" s="128">
        <v>240</v>
      </c>
      <c r="C31" s="4">
        <f t="shared" si="1"/>
        <v>0.90738217745547822</v>
      </c>
      <c r="H31" s="1">
        <f t="shared" si="0"/>
        <v>0</v>
      </c>
    </row>
    <row r="32" spans="2:8" x14ac:dyDescent="0.25">
      <c r="B32" s="128">
        <v>250</v>
      </c>
      <c r="C32" s="4">
        <f t="shared" si="1"/>
        <v>0.90874256540394149</v>
      </c>
      <c r="H32" s="1">
        <f t="shared" si="0"/>
        <v>0</v>
      </c>
    </row>
    <row r="33" spans="2:8" x14ac:dyDescent="0.25">
      <c r="B33" s="128">
        <v>260</v>
      </c>
      <c r="C33" s="4">
        <f t="shared" si="1"/>
        <v>0.90993661182205932</v>
      </c>
      <c r="H33" s="1">
        <f t="shared" si="0"/>
        <v>0</v>
      </c>
    </row>
    <row r="34" spans="2:8" x14ac:dyDescent="0.25">
      <c r="B34" s="128">
        <v>270</v>
      </c>
      <c r="C34" s="4">
        <f t="shared" si="1"/>
        <v>0.91098190317168493</v>
      </c>
      <c r="H34" s="1">
        <f t="shared" si="0"/>
        <v>0</v>
      </c>
    </row>
    <row r="35" spans="2:8" x14ac:dyDescent="0.25">
      <c r="B35" s="128">
        <v>280</v>
      </c>
      <c r="C35" s="4">
        <f t="shared" si="1"/>
        <v>0.91189364789887906</v>
      </c>
      <c r="H35" s="1">
        <f t="shared" si="0"/>
        <v>0</v>
      </c>
    </row>
    <row r="36" spans="2:8" x14ac:dyDescent="0.25">
      <c r="B36" s="128">
        <v>290</v>
      </c>
      <c r="C36" s="4">
        <f t="shared" si="1"/>
        <v>0.91268506519261183</v>
      </c>
      <c r="H36" s="1">
        <f t="shared" si="0"/>
        <v>0</v>
      </c>
    </row>
    <row r="37" spans="2:8" x14ac:dyDescent="0.25">
      <c r="B37" s="128">
        <v>300</v>
      </c>
      <c r="C37" s="4">
        <f t="shared" si="1"/>
        <v>0.91336769989292343</v>
      </c>
      <c r="H37" s="1">
        <f t="shared" si="0"/>
        <v>0</v>
      </c>
    </row>
    <row r="38" spans="2:8" x14ac:dyDescent="0.25">
      <c r="B38" s="128">
        <v>310</v>
      </c>
      <c r="C38" s="4">
        <f t="shared" si="1"/>
        <v>0.91395167941341893</v>
      </c>
      <c r="H38" s="1">
        <f t="shared" si="0"/>
        <v>0</v>
      </c>
    </row>
    <row r="39" spans="2:8" x14ac:dyDescent="0.25">
      <c r="B39" s="128">
        <v>320</v>
      </c>
      <c r="C39" s="4">
        <f t="shared" si="1"/>
        <v>0.91444592476392639</v>
      </c>
      <c r="H39" s="1">
        <f t="shared" si="0"/>
        <v>0</v>
      </c>
    </row>
    <row r="40" spans="2:8" x14ac:dyDescent="0.25">
      <c r="B40" s="128">
        <v>330</v>
      </c>
      <c r="C40" s="4">
        <f t="shared" si="1"/>
        <v>0.91485832496351438</v>
      </c>
      <c r="H40" s="1">
        <f t="shared" ref="H40:H71" si="2">IF(C40=$E$6,B40,0)</f>
        <v>0</v>
      </c>
    </row>
    <row r="41" spans="2:8" x14ac:dyDescent="0.25">
      <c r="B41" s="128">
        <v>340</v>
      </c>
      <c r="C41" s="4">
        <f t="shared" si="1"/>
        <v>0.9151958820454611</v>
      </c>
      <c r="H41" s="1">
        <f t="shared" si="2"/>
        <v>0</v>
      </c>
    </row>
    <row r="42" spans="2:8" x14ac:dyDescent="0.25">
      <c r="B42" s="128">
        <v>350</v>
      </c>
      <c r="C42" s="4">
        <f t="shared" si="1"/>
        <v>0.9154648322810176</v>
      </c>
      <c r="H42" s="1">
        <f t="shared" si="2"/>
        <v>0</v>
      </c>
    </row>
    <row r="43" spans="2:8" x14ac:dyDescent="0.25">
      <c r="B43" s="128">
        <v>360</v>
      </c>
      <c r="C43" s="4">
        <f t="shared" si="1"/>
        <v>0.91567074805111581</v>
      </c>
      <c r="H43" s="1">
        <f t="shared" si="2"/>
        <v>0</v>
      </c>
    </row>
    <row r="44" spans="2:8" x14ac:dyDescent="0.25">
      <c r="B44" s="128">
        <v>370</v>
      </c>
      <c r="C44" s="4">
        <f t="shared" si="1"/>
        <v>0.91581862387683011</v>
      </c>
      <c r="H44" s="1">
        <f t="shared" si="2"/>
        <v>0</v>
      </c>
    </row>
    <row r="45" spans="2:8" x14ac:dyDescent="0.25">
      <c r="B45" s="128">
        <v>380</v>
      </c>
      <c r="C45" s="4">
        <f t="shared" si="1"/>
        <v>0.91591294940991685</v>
      </c>
      <c r="H45" s="1">
        <f t="shared" si="2"/>
        <v>0</v>
      </c>
    </row>
    <row r="46" spans="2:8" x14ac:dyDescent="0.25">
      <c r="B46" s="128">
        <v>390</v>
      </c>
      <c r="C46" s="4">
        <f t="shared" si="1"/>
        <v>0.91595777163250969</v>
      </c>
      <c r="H46" s="1">
        <f t="shared" si="2"/>
        <v>390</v>
      </c>
    </row>
    <row r="47" spans="2:8" x14ac:dyDescent="0.25">
      <c r="B47" s="128">
        <v>400</v>
      </c>
      <c r="C47" s="4">
        <f t="shared" si="1"/>
        <v>0.91595674808242866</v>
      </c>
      <c r="H47" s="1">
        <f t="shared" si="2"/>
        <v>0</v>
      </c>
    </row>
    <row r="48" spans="2:8" x14ac:dyDescent="0.25">
      <c r="B48" s="128">
        <v>410</v>
      </c>
      <c r="C48" s="4">
        <f t="shared" si="1"/>
        <v>0.9159131925792755</v>
      </c>
      <c r="H48" s="1">
        <f t="shared" si="2"/>
        <v>0</v>
      </c>
    </row>
    <row r="49" spans="2:8" x14ac:dyDescent="0.25">
      <c r="B49" s="128">
        <v>420</v>
      </c>
      <c r="C49" s="4">
        <f t="shared" si="1"/>
        <v>0.91583011465575503</v>
      </c>
      <c r="H49" s="1">
        <f t="shared" si="2"/>
        <v>0</v>
      </c>
    </row>
    <row r="50" spans="2:8" x14ac:dyDescent="0.25">
      <c r="B50" s="128">
        <v>430</v>
      </c>
      <c r="C50" s="4">
        <f t="shared" si="1"/>
        <v>0.91571025368250891</v>
      </c>
      <c r="H50" s="1">
        <f t="shared" si="2"/>
        <v>0</v>
      </c>
    </row>
    <row r="51" spans="2:8" x14ac:dyDescent="0.25">
      <c r="B51" s="128">
        <v>440</v>
      </c>
      <c r="C51" s="4">
        <f t="shared" si="1"/>
        <v>0.91555610850134983</v>
      </c>
      <c r="H51" s="1">
        <f t="shared" si="2"/>
        <v>0</v>
      </c>
    </row>
    <row r="52" spans="2:8" x14ac:dyDescent="0.25">
      <c r="B52" s="128">
        <v>450</v>
      </c>
      <c r="C52" s="4">
        <f t="shared" si="1"/>
        <v>0.91536996324180486</v>
      </c>
      <c r="H52" s="1">
        <f t="shared" si="2"/>
        <v>0</v>
      </c>
    </row>
    <row r="53" spans="2:8" x14ac:dyDescent="0.25">
      <c r="B53" s="128">
        <v>460</v>
      </c>
      <c r="C53" s="4">
        <f t="shared" si="1"/>
        <v>0.91515390988242795</v>
      </c>
      <c r="H53" s="1">
        <f t="shared" si="2"/>
        <v>0</v>
      </c>
    </row>
    <row r="54" spans="2:8" x14ac:dyDescent="0.25">
      <c r="B54" s="128">
        <v>470</v>
      </c>
      <c r="C54" s="4">
        <f t="shared" si="1"/>
        <v>0.91490986802589214</v>
      </c>
      <c r="H54" s="1">
        <f t="shared" si="2"/>
        <v>0</v>
      </c>
    </row>
    <row r="55" spans="2:8" x14ac:dyDescent="0.25">
      <c r="B55" s="128">
        <v>480</v>
      </c>
      <c r="C55" s="4">
        <f t="shared" si="1"/>
        <v>0.91463960228120322</v>
      </c>
      <c r="H55" s="1">
        <f t="shared" si="2"/>
        <v>0</v>
      </c>
    </row>
    <row r="56" spans="2:8" x14ac:dyDescent="0.25">
      <c r="B56" s="128">
        <v>490</v>
      </c>
      <c r="C56" s="4">
        <f t="shared" si="1"/>
        <v>0.91434473758415069</v>
      </c>
      <c r="H56" s="1">
        <f t="shared" si="2"/>
        <v>0</v>
      </c>
    </row>
    <row r="57" spans="2:8" x14ac:dyDescent="0.25">
      <c r="B57" s="128">
        <v>500</v>
      </c>
      <c r="C57" s="4">
        <f t="shared" si="1"/>
        <v>0.91402677273579103</v>
      </c>
      <c r="H57" s="1">
        <f t="shared" si="2"/>
        <v>0</v>
      </c>
    </row>
    <row r="58" spans="2:8" x14ac:dyDescent="0.25">
      <c r="B58" s="128">
        <v>510</v>
      </c>
      <c r="C58" s="4">
        <f t="shared" si="1"/>
        <v>0.91368709239616608</v>
      </c>
      <c r="H58" s="1">
        <f t="shared" si="2"/>
        <v>0</v>
      </c>
    </row>
    <row r="59" spans="2:8" x14ac:dyDescent="0.25">
      <c r="B59" s="128">
        <v>520</v>
      </c>
      <c r="C59" s="4">
        <f t="shared" si="1"/>
        <v>0.91332697773506288</v>
      </c>
      <c r="H59" s="1">
        <f t="shared" si="2"/>
        <v>0</v>
      </c>
    </row>
    <row r="60" spans="2:8" x14ac:dyDescent="0.25">
      <c r="B60" s="128">
        <v>530</v>
      </c>
      <c r="C60" s="4">
        <f t="shared" si="1"/>
        <v>0.91294761591202767</v>
      </c>
      <c r="H60" s="1">
        <f t="shared" si="2"/>
        <v>0</v>
      </c>
    </row>
    <row r="61" spans="2:8" x14ac:dyDescent="0.25">
      <c r="B61" s="128">
        <v>540</v>
      </c>
      <c r="C61" s="4">
        <f t="shared" si="1"/>
        <v>0.91255010853307905</v>
      </c>
      <c r="H61" s="1">
        <f t="shared" si="2"/>
        <v>0</v>
      </c>
    </row>
    <row r="62" spans="2:8" x14ac:dyDescent="0.25">
      <c r="B62" s="128">
        <v>550</v>
      </c>
      <c r="C62" s="4">
        <f t="shared" si="1"/>
        <v>0.91213547921070903</v>
      </c>
      <c r="H62" s="1">
        <f t="shared" si="2"/>
        <v>0</v>
      </c>
    </row>
    <row r="63" spans="2:8" x14ac:dyDescent="0.25">
      <c r="B63" s="128">
        <v>560</v>
      </c>
      <c r="C63" s="4">
        <f t="shared" si="1"/>
        <v>0.91170468033616991</v>
      </c>
      <c r="H63" s="1">
        <f t="shared" si="2"/>
        <v>0</v>
      </c>
    </row>
    <row r="64" spans="2:8" x14ac:dyDescent="0.25">
      <c r="B64" s="128">
        <v>570</v>
      </c>
      <c r="C64" s="4">
        <f t="shared" si="1"/>
        <v>0.91125859915817875</v>
      </c>
      <c r="H64" s="1">
        <f t="shared" si="2"/>
        <v>0</v>
      </c>
    </row>
    <row r="65" spans="2:8" x14ac:dyDescent="0.25">
      <c r="B65" s="128">
        <v>580</v>
      </c>
      <c r="C65" s="4">
        <f t="shared" si="1"/>
        <v>0.91079806324951151</v>
      </c>
      <c r="H65" s="1">
        <f t="shared" si="2"/>
        <v>0</v>
      </c>
    </row>
    <row r="66" spans="2:8" x14ac:dyDescent="0.25">
      <c r="B66" s="128">
        <v>590</v>
      </c>
      <c r="C66" s="4">
        <f t="shared" si="1"/>
        <v>0.91032384543221467</v>
      </c>
      <c r="H66" s="1">
        <f t="shared" si="2"/>
        <v>0</v>
      </c>
    </row>
    <row r="67" spans="2:8" x14ac:dyDescent="0.25">
      <c r="B67" s="128">
        <v>600</v>
      </c>
      <c r="C67" s="4">
        <f t="shared" si="1"/>
        <v>0.90983666822296572</v>
      </c>
      <c r="H67" s="1">
        <f t="shared" si="2"/>
        <v>0</v>
      </c>
    </row>
    <row r="68" spans="2:8" x14ac:dyDescent="0.25">
      <c r="B68" s="128">
        <v>610</v>
      </c>
      <c r="C68" s="4">
        <f t="shared" si="1"/>
        <v>0.90933720785226135</v>
      </c>
      <c r="H68" s="1">
        <f t="shared" si="2"/>
        <v>0</v>
      </c>
    </row>
    <row r="69" spans="2:8" x14ac:dyDescent="0.25">
      <c r="B69" s="128">
        <v>620</v>
      </c>
      <c r="C69" s="4">
        <f t="shared" si="1"/>
        <v>0.9088260979043471</v>
      </c>
      <c r="H69" s="1">
        <f t="shared" si="2"/>
        <v>0</v>
      </c>
    </row>
    <row r="70" spans="2:8" x14ac:dyDescent="0.25">
      <c r="B70" s="128">
        <v>630</v>
      </c>
      <c r="C70" s="4">
        <f t="shared" si="1"/>
        <v>0.90830393261898457</v>
      </c>
      <c r="H70" s="1">
        <f t="shared" si="2"/>
        <v>0</v>
      </c>
    </row>
    <row r="71" spans="2:8" x14ac:dyDescent="0.25">
      <c r="B71" s="128">
        <v>640</v>
      </c>
      <c r="C71" s="4">
        <f t="shared" si="1"/>
        <v>0.90777126989116641</v>
      </c>
      <c r="H71" s="1">
        <f t="shared" si="2"/>
        <v>0</v>
      </c>
    </row>
    <row r="72" spans="2:8" x14ac:dyDescent="0.25">
      <c r="B72" s="128">
        <v>650</v>
      </c>
      <c r="C72" s="4">
        <f t="shared" si="1"/>
        <v>0.90722863400051679</v>
      </c>
      <c r="H72" s="1">
        <f t="shared" ref="H72:H107" si="3">IF(C72=$E$6,B72,0)</f>
        <v>0</v>
      </c>
    </row>
    <row r="73" spans="2:8" x14ac:dyDescent="0.25">
      <c r="B73" s="128">
        <v>660</v>
      </c>
      <c r="C73" s="4">
        <f t="shared" ref="C73:C107" si="4">(1-EXP(-$C$4*B73))/($C$4*(B73+$C$5+$C$6*(1-EXP(-$C$4*B73))))</f>
        <v>0.90667651809839112</v>
      </c>
      <c r="H73" s="1">
        <f t="shared" si="3"/>
        <v>0</v>
      </c>
    </row>
    <row r="74" spans="2:8" x14ac:dyDescent="0.25">
      <c r="B74" s="128">
        <v>670</v>
      </c>
      <c r="C74" s="4">
        <f t="shared" si="4"/>
        <v>0.90611538647738687</v>
      </c>
      <c r="H74" s="1">
        <f t="shared" si="3"/>
        <v>0</v>
      </c>
    </row>
    <row r="75" spans="2:8" x14ac:dyDescent="0.25">
      <c r="B75" s="128">
        <v>680</v>
      </c>
      <c r="C75" s="4">
        <f t="shared" si="4"/>
        <v>0.90554567664517138</v>
      </c>
      <c r="H75" s="1">
        <f t="shared" si="3"/>
        <v>0</v>
      </c>
    </row>
    <row r="76" spans="2:8" x14ac:dyDescent="0.25">
      <c r="B76" s="128">
        <v>690</v>
      </c>
      <c r="C76" s="4">
        <f t="shared" si="4"/>
        <v>0.90496780122202092</v>
      </c>
      <c r="H76" s="1">
        <f t="shared" si="3"/>
        <v>0</v>
      </c>
    </row>
    <row r="77" spans="2:8" x14ac:dyDescent="0.25">
      <c r="B77" s="128">
        <v>700</v>
      </c>
      <c r="C77" s="4">
        <f t="shared" si="4"/>
        <v>0.90438214967931596</v>
      </c>
      <c r="H77" s="1">
        <f t="shared" si="3"/>
        <v>0</v>
      </c>
    </row>
    <row r="78" spans="2:8" x14ac:dyDescent="0.25">
      <c r="B78" s="128">
        <v>710</v>
      </c>
      <c r="C78" s="4">
        <f t="shared" si="4"/>
        <v>0.90378908993432772</v>
      </c>
      <c r="H78" s="1">
        <f t="shared" si="3"/>
        <v>0</v>
      </c>
    </row>
    <row r="79" spans="2:8" x14ac:dyDescent="0.25">
      <c r="B79" s="128">
        <v>720</v>
      </c>
      <c r="C79" s="4">
        <f t="shared" si="4"/>
        <v>0.90318896981496799</v>
      </c>
      <c r="H79" s="1">
        <f t="shared" si="3"/>
        <v>0</v>
      </c>
    </row>
    <row r="80" spans="2:8" x14ac:dyDescent="0.25">
      <c r="B80" s="128">
        <v>730</v>
      </c>
      <c r="C80" s="4">
        <f t="shared" si="4"/>
        <v>0.90258211840670544</v>
      </c>
      <c r="H80" s="1">
        <f t="shared" si="3"/>
        <v>0</v>
      </c>
    </row>
    <row r="81" spans="2:8" x14ac:dyDescent="0.25">
      <c r="B81" s="128">
        <v>740</v>
      </c>
      <c r="C81" s="4">
        <f t="shared" si="4"/>
        <v>0.90196884729256455</v>
      </c>
      <c r="H81" s="1">
        <f t="shared" si="3"/>
        <v>0</v>
      </c>
    </row>
    <row r="82" spans="2:8" x14ac:dyDescent="0.25">
      <c r="B82" s="128">
        <v>750</v>
      </c>
      <c r="C82" s="4">
        <f t="shared" si="4"/>
        <v>0.90134945169597369</v>
      </c>
      <c r="H82" s="1">
        <f t="shared" si="3"/>
        <v>0</v>
      </c>
    </row>
    <row r="83" spans="2:8" x14ac:dyDescent="0.25">
      <c r="B83" s="128">
        <v>760</v>
      </c>
      <c r="C83" s="4">
        <f t="shared" si="4"/>
        <v>0.90072421153523474</v>
      </c>
      <c r="H83" s="1">
        <f t="shared" si="3"/>
        <v>0</v>
      </c>
    </row>
    <row r="84" spans="2:8" x14ac:dyDescent="0.25">
      <c r="B84" s="128">
        <v>770</v>
      </c>
      <c r="C84" s="4">
        <f t="shared" si="4"/>
        <v>0.90009339239747654</v>
      </c>
      <c r="H84" s="1">
        <f t="shared" si="3"/>
        <v>0</v>
      </c>
    </row>
    <row r="85" spans="2:8" x14ac:dyDescent="0.25">
      <c r="B85" s="128">
        <v>780</v>
      </c>
      <c r="C85" s="4">
        <f t="shared" si="4"/>
        <v>0.89945724643919067</v>
      </c>
      <c r="H85" s="1">
        <f t="shared" si="3"/>
        <v>0</v>
      </c>
    </row>
    <row r="86" spans="2:8" x14ac:dyDescent="0.25">
      <c r="B86" s="128">
        <v>790</v>
      </c>
      <c r="C86" s="4">
        <f t="shared" si="4"/>
        <v>0.89881601321970461</v>
      </c>
      <c r="H86" s="1">
        <f t="shared" si="3"/>
        <v>0</v>
      </c>
    </row>
    <row r="87" spans="2:8" x14ac:dyDescent="0.25">
      <c r="B87" s="128">
        <v>800</v>
      </c>
      <c r="C87" s="4">
        <f t="shared" si="4"/>
        <v>0.89816992047336897</v>
      </c>
      <c r="H87" s="1">
        <f t="shared" si="3"/>
        <v>0</v>
      </c>
    </row>
    <row r="88" spans="2:8" x14ac:dyDescent="0.25">
      <c r="B88" s="128">
        <v>810</v>
      </c>
      <c r="C88" s="4">
        <f t="shared" si="4"/>
        <v>0.89751918482563731</v>
      </c>
      <c r="H88" s="1">
        <f t="shared" si="3"/>
        <v>0</v>
      </c>
    </row>
    <row r="89" spans="2:8" x14ac:dyDescent="0.25">
      <c r="B89" s="128">
        <v>820</v>
      </c>
      <c r="C89" s="4">
        <f t="shared" si="4"/>
        <v>0.89686401245774339</v>
      </c>
      <c r="H89" s="1">
        <f t="shared" si="3"/>
        <v>0</v>
      </c>
    </row>
    <row r="90" spans="2:8" x14ac:dyDescent="0.25">
      <c r="B90" s="128">
        <v>830</v>
      </c>
      <c r="C90" s="4">
        <f t="shared" si="4"/>
        <v>0.89620459972423272</v>
      </c>
      <c r="H90" s="1">
        <f t="shared" si="3"/>
        <v>0</v>
      </c>
    </row>
    <row r="91" spans="2:8" x14ac:dyDescent="0.25">
      <c r="B91" s="128">
        <v>840</v>
      </c>
      <c r="C91" s="4">
        <f t="shared" si="4"/>
        <v>0.89554113372719535</v>
      </c>
      <c r="H91" s="1">
        <f t="shared" si="3"/>
        <v>0</v>
      </c>
    </row>
    <row r="92" spans="2:8" x14ac:dyDescent="0.25">
      <c r="B92" s="128">
        <v>850</v>
      </c>
      <c r="C92" s="4">
        <f t="shared" si="4"/>
        <v>0.89487379285071356</v>
      </c>
      <c r="H92" s="1">
        <f t="shared" si="3"/>
        <v>0</v>
      </c>
    </row>
    <row r="93" spans="2:8" x14ac:dyDescent="0.25">
      <c r="B93" s="128">
        <v>860</v>
      </c>
      <c r="C93" s="4">
        <f t="shared" si="4"/>
        <v>0.89420274725869087</v>
      </c>
      <c r="H93" s="1">
        <f t="shared" si="3"/>
        <v>0</v>
      </c>
    </row>
    <row r="94" spans="2:8" x14ac:dyDescent="0.25">
      <c r="B94" s="128">
        <v>870</v>
      </c>
      <c r="C94" s="4">
        <f t="shared" si="4"/>
        <v>0.89352815935896435</v>
      </c>
      <c r="H94" s="1">
        <f t="shared" si="3"/>
        <v>0</v>
      </c>
    </row>
    <row r="95" spans="2:8" x14ac:dyDescent="0.25">
      <c r="B95" s="128">
        <v>880</v>
      </c>
      <c r="C95" s="4">
        <f t="shared" si="4"/>
        <v>0.89285018423633244</v>
      </c>
      <c r="H95" s="1">
        <f t="shared" si="3"/>
        <v>0</v>
      </c>
    </row>
    <row r="96" spans="2:8" x14ac:dyDescent="0.25">
      <c r="B96" s="128">
        <v>890</v>
      </c>
      <c r="C96" s="4">
        <f t="shared" si="4"/>
        <v>0.89216897005690055</v>
      </c>
      <c r="H96" s="1">
        <f t="shared" si="3"/>
        <v>0</v>
      </c>
    </row>
    <row r="97" spans="2:8" x14ac:dyDescent="0.25">
      <c r="B97" s="128">
        <v>900</v>
      </c>
      <c r="C97" s="4">
        <f t="shared" si="4"/>
        <v>0.89148465844593572</v>
      </c>
      <c r="H97" s="1">
        <f t="shared" si="3"/>
        <v>0</v>
      </c>
    </row>
    <row r="98" spans="2:8" x14ac:dyDescent="0.25">
      <c r="B98" s="128">
        <v>910</v>
      </c>
      <c r="C98" s="4">
        <f t="shared" si="4"/>
        <v>0.89079738484123483</v>
      </c>
      <c r="H98" s="1">
        <f t="shared" si="3"/>
        <v>0</v>
      </c>
    </row>
    <row r="99" spans="2:8" x14ac:dyDescent="0.25">
      <c r="B99" s="128">
        <v>920</v>
      </c>
      <c r="C99" s="4">
        <f t="shared" si="4"/>
        <v>0.890107278823836</v>
      </c>
      <c r="H99" s="1">
        <f t="shared" si="3"/>
        <v>0</v>
      </c>
    </row>
    <row r="100" spans="2:8" x14ac:dyDescent="0.25">
      <c r="B100" s="128">
        <v>930</v>
      </c>
      <c r="C100" s="4">
        <f t="shared" si="4"/>
        <v>0.8894144644277524</v>
      </c>
      <c r="H100" s="1">
        <f t="shared" si="3"/>
        <v>0</v>
      </c>
    </row>
    <row r="101" spans="2:8" x14ac:dyDescent="0.25">
      <c r="B101" s="128">
        <v>940</v>
      </c>
      <c r="C101" s="4">
        <f t="shared" si="4"/>
        <v>0.88871906043026105</v>
      </c>
      <c r="H101" s="1">
        <f t="shared" si="3"/>
        <v>0</v>
      </c>
    </row>
    <row r="102" spans="2:8" x14ac:dyDescent="0.25">
      <c r="B102" s="128">
        <v>950</v>
      </c>
      <c r="C102" s="4">
        <f t="shared" si="4"/>
        <v>0.88802118062416158</v>
      </c>
      <c r="H102" s="1">
        <f t="shared" si="3"/>
        <v>0</v>
      </c>
    </row>
    <row r="103" spans="2:8" x14ac:dyDescent="0.25">
      <c r="B103" s="128">
        <v>960</v>
      </c>
      <c r="C103" s="4">
        <f t="shared" si="4"/>
        <v>0.88732093407329216</v>
      </c>
      <c r="H103" s="1">
        <f t="shared" si="3"/>
        <v>0</v>
      </c>
    </row>
    <row r="104" spans="2:8" x14ac:dyDescent="0.25">
      <c r="B104" s="128">
        <v>970</v>
      </c>
      <c r="C104" s="4">
        <f t="shared" si="4"/>
        <v>0.88661842535249435</v>
      </c>
      <c r="H104" s="1">
        <f t="shared" si="3"/>
        <v>0</v>
      </c>
    </row>
    <row r="105" spans="2:8" x14ac:dyDescent="0.25">
      <c r="B105" s="128">
        <v>980</v>
      </c>
      <c r="C105" s="4">
        <f t="shared" si="4"/>
        <v>0.8859137547731234</v>
      </c>
      <c r="H105" s="1">
        <f t="shared" si="3"/>
        <v>0</v>
      </c>
    </row>
    <row r="106" spans="2:8" x14ac:dyDescent="0.25">
      <c r="B106" s="128">
        <v>990</v>
      </c>
      <c r="C106" s="4">
        <f t="shared" si="4"/>
        <v>0.88520701859509832</v>
      </c>
      <c r="H106" s="1">
        <f t="shared" si="3"/>
        <v>0</v>
      </c>
    </row>
    <row r="107" spans="2:8" x14ac:dyDescent="0.25">
      <c r="B107" s="129">
        <v>1000</v>
      </c>
      <c r="C107" s="6">
        <f t="shared" si="4"/>
        <v>0.88449830922643857</v>
      </c>
      <c r="H107" s="1">
        <f t="shared" si="3"/>
        <v>0</v>
      </c>
    </row>
    <row r="109" spans="2:8" x14ac:dyDescent="0.25">
      <c r="C109" s="4"/>
    </row>
    <row r="110" spans="2:8" x14ac:dyDescent="0.25">
      <c r="C110" s="4"/>
    </row>
    <row r="111" spans="2:8" x14ac:dyDescent="0.25">
      <c r="C111" s="4"/>
    </row>
    <row r="112" spans="2:8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</sheetData>
  <sheetProtection password="DC2F" sheet="1" objects="1" scenarios="1" formatCells="0"/>
  <protectedRanges>
    <protectedRange sqref="B8:B107" name="Range3"/>
    <protectedRange sqref="C4:C6" name="Range1"/>
    <protectedRange sqref="D5:D6" name="Range2"/>
  </protectedRanges>
  <phoneticPr fontId="0" type="noConversion"/>
  <pageMargins left="0.75" right="0.75" top="1" bottom="1" header="0.5" footer="0.5"/>
  <pageSetup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2067" r:id="rId4">
          <objectPr defaultSize="0" autoPict="0" r:id="rId5">
            <anchor moveWithCells="1" sizeWithCells="1">
              <from>
                <xdr:col>8</xdr:col>
                <xdr:colOff>556260</xdr:colOff>
                <xdr:row>6</xdr:row>
                <xdr:rowOff>121920</xdr:rowOff>
              </from>
              <to>
                <xdr:col>11</xdr:col>
                <xdr:colOff>502920</xdr:colOff>
                <xdr:row>10</xdr:row>
                <xdr:rowOff>60960</xdr:rowOff>
              </to>
            </anchor>
          </objectPr>
        </oleObject>
      </mc:Choice>
      <mc:Fallback>
        <oleObject progId="Equation.DSMT4" shapeId="206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Repair &amp; avail measures</vt:lpstr>
      <vt:lpstr>Cost Models</vt:lpstr>
      <vt:lpstr>Exponential Avail</vt:lpstr>
      <vt:lpstr>Inspect &amp; Repair</vt:lpstr>
    </vt:vector>
  </TitlesOfParts>
  <Company>unversity of dayton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ebeling</dc:creator>
  <cp:lastModifiedBy>Jason Freels</cp:lastModifiedBy>
  <dcterms:created xsi:type="dcterms:W3CDTF">2004-10-19T20:02:07Z</dcterms:created>
  <dcterms:modified xsi:type="dcterms:W3CDTF">2017-09-18T01:10:31Z</dcterms:modified>
</cp:coreProperties>
</file>