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bur\github\reliability\courses\logm634-asam\excel-templates\"/>
    </mc:Choice>
  </mc:AlternateContent>
  <bookViews>
    <workbookView xWindow="360" yWindow="312" windowWidth="14892" windowHeight="7368" activeTab="4"/>
  </bookViews>
  <sheets>
    <sheet name="Chi-Sq GOF" sheetId="1" r:id="rId1"/>
    <sheet name="Bartlett Test" sheetId="3" r:id="rId2"/>
    <sheet name="Mann Test" sheetId="4" r:id="rId3"/>
    <sheet name="KS Test" sheetId="5" r:id="rId4"/>
    <sheet name="Power-Law Process" sheetId="2" r:id="rId5"/>
  </sheets>
  <definedNames>
    <definedName name="solver_adj" localSheetId="0" hidden="1">'Chi-Sq GOF'!$I$3:$I$4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'Chi-Sq GOF'!$I$5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71027"/>
</workbook>
</file>

<file path=xl/calcChain.xml><?xml version="1.0" encoding="utf-8"?>
<calcChain xmlns="http://schemas.openxmlformats.org/spreadsheetml/2006/main">
  <c r="B23" i="1" l="1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" i="5"/>
  <c r="E30" i="5" s="1"/>
  <c r="F30" i="5" s="1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F4" i="5"/>
  <c r="E7" i="5" s="1"/>
  <c r="D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I5" i="5" s="1"/>
  <c r="D58" i="4"/>
  <c r="H58" i="4" s="1"/>
  <c r="D3" i="4" s="1"/>
  <c r="B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D38" i="4" s="1"/>
  <c r="C37" i="4"/>
  <c r="C36" i="4"/>
  <c r="D35" i="4" s="1"/>
  <c r="C35" i="4"/>
  <c r="C34" i="4"/>
  <c r="C33" i="4"/>
  <c r="C32" i="4"/>
  <c r="C31" i="4"/>
  <c r="C30" i="4"/>
  <c r="D30" i="4" s="1"/>
  <c r="C29" i="4"/>
  <c r="C28" i="4"/>
  <c r="D27" i="4" s="1"/>
  <c r="C27" i="4"/>
  <c r="C26" i="4"/>
  <c r="C25" i="4"/>
  <c r="C24" i="4"/>
  <c r="C23" i="4"/>
  <c r="C22" i="4"/>
  <c r="D22" i="4" s="1"/>
  <c r="C21" i="4"/>
  <c r="C20" i="4"/>
  <c r="D19" i="4" s="1"/>
  <c r="G19" i="4" s="1"/>
  <c r="H19" i="4" s="1"/>
  <c r="C19" i="4"/>
  <c r="C18" i="4"/>
  <c r="C17" i="4"/>
  <c r="C16" i="4"/>
  <c r="C15" i="4"/>
  <c r="C14" i="4"/>
  <c r="D14" i="4" s="1"/>
  <c r="C13" i="4"/>
  <c r="C12" i="4"/>
  <c r="C57" i="4" s="1"/>
  <c r="C11" i="4"/>
  <c r="C10" i="4"/>
  <c r="C9" i="4"/>
  <c r="C8" i="4"/>
  <c r="C7" i="4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56" i="3"/>
  <c r="C57" i="3"/>
  <c r="B60" i="3"/>
  <c r="D4" i="3" s="1"/>
  <c r="B58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B59" i="3" s="1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F5" i="2"/>
  <c r="E5" i="2"/>
  <c r="C61" i="2"/>
  <c r="C60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59" i="2" s="1"/>
  <c r="I13" i="1"/>
  <c r="I14" i="1"/>
  <c r="I15" i="1"/>
  <c r="I16" i="1"/>
  <c r="I17" i="1"/>
  <c r="I18" i="1"/>
  <c r="I19" i="1"/>
  <c r="I20" i="1"/>
  <c r="I21" i="1"/>
  <c r="I10" i="1"/>
  <c r="O10" i="1" s="1"/>
  <c r="I11" i="1"/>
  <c r="O11" i="1" s="1"/>
  <c r="I12" i="1"/>
  <c r="O12" i="1" s="1"/>
  <c r="I9" i="1"/>
  <c r="O9" i="1" s="1"/>
  <c r="I8" i="1"/>
  <c r="I22" i="1" s="1"/>
  <c r="H10" i="1"/>
  <c r="N10" i="1" s="1"/>
  <c r="H11" i="1"/>
  <c r="N11" i="1" s="1"/>
  <c r="H12" i="1"/>
  <c r="N12" i="1" s="1"/>
  <c r="H13" i="1"/>
  <c r="H14" i="1"/>
  <c r="H15" i="1"/>
  <c r="H16" i="1"/>
  <c r="H17" i="1"/>
  <c r="H18" i="1"/>
  <c r="H19" i="1"/>
  <c r="H20" i="1"/>
  <c r="H21" i="1"/>
  <c r="H8" i="1"/>
  <c r="H9" i="1"/>
  <c r="N9" i="1" s="1"/>
  <c r="G10" i="1"/>
  <c r="G11" i="1"/>
  <c r="G12" i="1"/>
  <c r="M12" i="1" s="1"/>
  <c r="G13" i="1"/>
  <c r="G14" i="1"/>
  <c r="G15" i="1"/>
  <c r="G16" i="1"/>
  <c r="G17" i="1"/>
  <c r="G18" i="1"/>
  <c r="G19" i="1"/>
  <c r="G20" i="1"/>
  <c r="G21" i="1"/>
  <c r="G9" i="1"/>
  <c r="G22" i="1" s="1"/>
  <c r="G8" i="1"/>
  <c r="M8" i="1"/>
  <c r="N8" i="1"/>
  <c r="M10" i="1"/>
  <c r="M11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J13" i="1"/>
  <c r="J14" i="1"/>
  <c r="J15" i="1"/>
  <c r="J16" i="1"/>
  <c r="J17" i="1"/>
  <c r="J18" i="1"/>
  <c r="J19" i="1"/>
  <c r="J20" i="1"/>
  <c r="J21" i="1"/>
  <c r="F13" i="1"/>
  <c r="F14" i="1"/>
  <c r="F15" i="1"/>
  <c r="F16" i="1"/>
  <c r="F17" i="1"/>
  <c r="F18" i="1"/>
  <c r="F19" i="1"/>
  <c r="F20" i="1"/>
  <c r="F21" i="1"/>
  <c r="E13" i="1"/>
  <c r="E14" i="1"/>
  <c r="E15" i="1"/>
  <c r="E16" i="1"/>
  <c r="E17" i="1"/>
  <c r="E18" i="1"/>
  <c r="E19" i="1"/>
  <c r="E20" i="1"/>
  <c r="E21" i="1"/>
  <c r="D13" i="1"/>
  <c r="D14" i="1"/>
  <c r="D15" i="1"/>
  <c r="D16" i="1"/>
  <c r="D17" i="1"/>
  <c r="D18" i="1"/>
  <c r="D19" i="1"/>
  <c r="D20" i="1"/>
  <c r="D21" i="1"/>
  <c r="I6" i="1"/>
  <c r="H22" i="1"/>
  <c r="B24" i="1"/>
  <c r="D9" i="1"/>
  <c r="J9" i="1" s="1"/>
  <c r="D12" i="1"/>
  <c r="J12" i="1"/>
  <c r="D11" i="1"/>
  <c r="J11" i="1" s="1"/>
  <c r="D10" i="1"/>
  <c r="J10" i="1" s="1"/>
  <c r="E9" i="1"/>
  <c r="K9" i="1" s="1"/>
  <c r="E12" i="1"/>
  <c r="K12" i="1" s="1"/>
  <c r="E11" i="1"/>
  <c r="K11" i="1" s="1"/>
  <c r="E10" i="1"/>
  <c r="K10" i="1" s="1"/>
  <c r="F9" i="1"/>
  <c r="L9" i="1" s="1"/>
  <c r="F12" i="1"/>
  <c r="L12" i="1" s="1"/>
  <c r="F11" i="1"/>
  <c r="L11" i="1" s="1"/>
  <c r="F10" i="1"/>
  <c r="L10" i="1" s="1"/>
  <c r="F8" i="1"/>
  <c r="F22" i="1" s="1"/>
  <c r="D8" i="1"/>
  <c r="J8" i="1" s="1"/>
  <c r="C22" i="1"/>
  <c r="E8" i="1"/>
  <c r="K8" i="1" s="1"/>
  <c r="E6" i="2"/>
  <c r="D3" i="3"/>
  <c r="D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6" i="4"/>
  <c r="G36" i="4" s="1"/>
  <c r="I36" i="4" s="1"/>
  <c r="D34" i="4"/>
  <c r="G34" i="4" s="1"/>
  <c r="I34" i="4" s="1"/>
  <c r="D33" i="4"/>
  <c r="D32" i="4"/>
  <c r="D31" i="4"/>
  <c r="D28" i="4"/>
  <c r="G28" i="4" s="1"/>
  <c r="I28" i="4" s="1"/>
  <c r="D26" i="4"/>
  <c r="G26" i="4" s="1"/>
  <c r="I26" i="4" s="1"/>
  <c r="D25" i="4"/>
  <c r="G25" i="4" s="1"/>
  <c r="D24" i="4"/>
  <c r="D23" i="4"/>
  <c r="D20" i="4"/>
  <c r="D18" i="4"/>
  <c r="G18" i="4" s="1"/>
  <c r="H18" i="4" s="1"/>
  <c r="D17" i="4"/>
  <c r="G17" i="4" s="1"/>
  <c r="D16" i="4"/>
  <c r="D15" i="4"/>
  <c r="D12" i="4"/>
  <c r="D10" i="4"/>
  <c r="D9" i="4"/>
  <c r="G9" i="4" s="1"/>
  <c r="D8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E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F40" i="4" s="1"/>
  <c r="G40" i="4" s="1"/>
  <c r="I40" i="4" s="1"/>
  <c r="E40" i="4"/>
  <c r="E39" i="4"/>
  <c r="F39" i="4" s="1"/>
  <c r="G39" i="4" s="1"/>
  <c r="E38" i="4"/>
  <c r="F37" i="4" s="1"/>
  <c r="E37" i="4"/>
  <c r="E36" i="4"/>
  <c r="E35" i="4"/>
  <c r="F35" i="4" s="1"/>
  <c r="E34" i="4"/>
  <c r="F33" i="4" s="1"/>
  <c r="G33" i="4" s="1"/>
  <c r="E33" i="4"/>
  <c r="F32" i="4" s="1"/>
  <c r="G32" i="4" s="1"/>
  <c r="I32" i="4" s="1"/>
  <c r="E32" i="4"/>
  <c r="E31" i="4"/>
  <c r="F31" i="4" s="1"/>
  <c r="G31" i="4" s="1"/>
  <c r="E30" i="4"/>
  <c r="F29" i="4" s="1"/>
  <c r="E29" i="4"/>
  <c r="E28" i="4"/>
  <c r="E27" i="4"/>
  <c r="F27" i="4" s="1"/>
  <c r="E26" i="4"/>
  <c r="E25" i="4"/>
  <c r="F24" i="4" s="1"/>
  <c r="G24" i="4" s="1"/>
  <c r="I24" i="4" s="1"/>
  <c r="E24" i="4"/>
  <c r="E23" i="4"/>
  <c r="F22" i="4" s="1"/>
  <c r="E22" i="4"/>
  <c r="E21" i="4"/>
  <c r="F20" i="4" s="1"/>
  <c r="G20" i="4" s="1"/>
  <c r="H20" i="4" s="1"/>
  <c r="E20" i="4"/>
  <c r="E19" i="4"/>
  <c r="E18" i="4"/>
  <c r="E17" i="4"/>
  <c r="F16" i="4" s="1"/>
  <c r="G16" i="4" s="1"/>
  <c r="H16" i="4" s="1"/>
  <c r="E16" i="4"/>
  <c r="E15" i="4"/>
  <c r="F15" i="4" s="1"/>
  <c r="G15" i="4" s="1"/>
  <c r="E14" i="4"/>
  <c r="E13" i="4"/>
  <c r="F12" i="4" s="1"/>
  <c r="G12" i="4" s="1"/>
  <c r="H12" i="4" s="1"/>
  <c r="E12" i="4"/>
  <c r="E11" i="4"/>
  <c r="E10" i="4"/>
  <c r="E9" i="4"/>
  <c r="E57" i="4" s="1"/>
  <c r="E8" i="4"/>
  <c r="F7" i="4"/>
  <c r="G56" i="4"/>
  <c r="G55" i="4"/>
  <c r="G54" i="4"/>
  <c r="G53" i="4"/>
  <c r="G52" i="4"/>
  <c r="G51" i="4"/>
  <c r="I51" i="4" s="1"/>
  <c r="G50" i="4"/>
  <c r="G49" i="4"/>
  <c r="G48" i="4"/>
  <c r="G47" i="4"/>
  <c r="G46" i="4"/>
  <c r="G45" i="4"/>
  <c r="G44" i="4"/>
  <c r="G43" i="4"/>
  <c r="I43" i="4" s="1"/>
  <c r="G42" i="4"/>
  <c r="G41" i="4"/>
  <c r="F58" i="4"/>
  <c r="I13" i="4" s="1"/>
  <c r="F36" i="4"/>
  <c r="F34" i="4"/>
  <c r="F28" i="4"/>
  <c r="F26" i="4"/>
  <c r="F9" i="4"/>
  <c r="F10" i="4"/>
  <c r="F11" i="4"/>
  <c r="F13" i="4"/>
  <c r="F17" i="4"/>
  <c r="F18" i="4"/>
  <c r="F19" i="4"/>
  <c r="F21" i="4"/>
  <c r="F25" i="4"/>
  <c r="I8" i="4"/>
  <c r="I10" i="4"/>
  <c r="I11" i="4"/>
  <c r="I12" i="4"/>
  <c r="I14" i="4"/>
  <c r="I16" i="4"/>
  <c r="I18" i="4"/>
  <c r="I19" i="4"/>
  <c r="I20" i="4"/>
  <c r="I22" i="4"/>
  <c r="I42" i="4"/>
  <c r="I44" i="4"/>
  <c r="I46" i="4"/>
  <c r="I48" i="4"/>
  <c r="I50" i="4"/>
  <c r="I52" i="4"/>
  <c r="I54" i="4"/>
  <c r="I7" i="4"/>
  <c r="H24" i="4"/>
  <c r="H26" i="4"/>
  <c r="H27" i="4"/>
  <c r="H28" i="4"/>
  <c r="H30" i="4"/>
  <c r="H32" i="4"/>
  <c r="H34" i="4"/>
  <c r="H35" i="4"/>
  <c r="H36" i="4"/>
  <c r="H38" i="4"/>
  <c r="H40" i="4"/>
  <c r="H42" i="4"/>
  <c r="H43" i="4"/>
  <c r="H44" i="4"/>
  <c r="H46" i="4"/>
  <c r="H48" i="4"/>
  <c r="H50" i="4"/>
  <c r="H51" i="4"/>
  <c r="H52" i="4"/>
  <c r="H54" i="4"/>
  <c r="H56" i="4"/>
  <c r="I56" i="4"/>
  <c r="E31" i="5"/>
  <c r="D31" i="5"/>
  <c r="G31" i="5"/>
  <c r="D30" i="5"/>
  <c r="G30" i="5" s="1"/>
  <c r="D29" i="5"/>
  <c r="D28" i="5"/>
  <c r="D27" i="5"/>
  <c r="D26" i="5"/>
  <c r="E25" i="5"/>
  <c r="G25" i="5" s="1"/>
  <c r="D25" i="5"/>
  <c r="D24" i="5"/>
  <c r="E23" i="5"/>
  <c r="D23" i="5"/>
  <c r="G23" i="5"/>
  <c r="D22" i="5"/>
  <c r="I4" i="5"/>
  <c r="H27" i="5" s="1"/>
  <c r="D21" i="5"/>
  <c r="D20" i="5"/>
  <c r="D19" i="5"/>
  <c r="D18" i="5"/>
  <c r="D17" i="5"/>
  <c r="E16" i="5"/>
  <c r="G16" i="5" s="1"/>
  <c r="D16" i="5"/>
  <c r="D15" i="5"/>
  <c r="E14" i="5"/>
  <c r="F14" i="5" s="1"/>
  <c r="D14" i="5"/>
  <c r="G14" i="5"/>
  <c r="D13" i="5"/>
  <c r="D12" i="5"/>
  <c r="D11" i="5"/>
  <c r="D10" i="5"/>
  <c r="D9" i="5"/>
  <c r="E8" i="5"/>
  <c r="G8" i="5" s="1"/>
  <c r="D8" i="5"/>
  <c r="D7" i="5"/>
  <c r="F31" i="5"/>
  <c r="F23" i="5"/>
  <c r="D6" i="1"/>
  <c r="E6" i="1"/>
  <c r="H6" i="1"/>
  <c r="G6" i="1"/>
  <c r="F6" i="1"/>
  <c r="H13" i="5" l="1"/>
  <c r="I13" i="5" s="1"/>
  <c r="H21" i="5"/>
  <c r="I21" i="5" s="1"/>
  <c r="H29" i="5"/>
  <c r="J27" i="5"/>
  <c r="I27" i="5"/>
  <c r="H9" i="5"/>
  <c r="I9" i="5" s="1"/>
  <c r="H17" i="5"/>
  <c r="I17" i="5" s="1"/>
  <c r="H7" i="5"/>
  <c r="H15" i="5"/>
  <c r="H23" i="5"/>
  <c r="H31" i="5"/>
  <c r="G27" i="4"/>
  <c r="I27" i="4" s="1"/>
  <c r="G35" i="4"/>
  <c r="I35" i="4" s="1"/>
  <c r="O22" i="1"/>
  <c r="J12" i="5"/>
  <c r="G22" i="4"/>
  <c r="H22" i="4" s="1"/>
  <c r="G7" i="5"/>
  <c r="F7" i="5"/>
  <c r="H5" i="1"/>
  <c r="J17" i="5"/>
  <c r="H8" i="5"/>
  <c r="I8" i="5" s="1"/>
  <c r="H16" i="5"/>
  <c r="I16" i="5" s="1"/>
  <c r="H24" i="5"/>
  <c r="I24" i="5" s="1"/>
  <c r="H28" i="5"/>
  <c r="I28" i="5" s="1"/>
  <c r="E11" i="5"/>
  <c r="F11" i="5" s="1"/>
  <c r="E19" i="5"/>
  <c r="F19" i="5" s="1"/>
  <c r="J5" i="5"/>
  <c r="E28" i="5"/>
  <c r="F28" i="5" s="1"/>
  <c r="H49" i="4"/>
  <c r="H41" i="4"/>
  <c r="H33" i="4"/>
  <c r="H25" i="4"/>
  <c r="H17" i="4"/>
  <c r="H9" i="4"/>
  <c r="I49" i="4"/>
  <c r="I41" i="4"/>
  <c r="I33" i="4"/>
  <c r="I25" i="4"/>
  <c r="I17" i="4"/>
  <c r="I9" i="4"/>
  <c r="I57" i="4" s="1"/>
  <c r="F8" i="4"/>
  <c r="G8" i="4" s="1"/>
  <c r="H8" i="4" s="1"/>
  <c r="D11" i="4"/>
  <c r="G11" i="4" s="1"/>
  <c r="H11" i="4" s="1"/>
  <c r="M9" i="1"/>
  <c r="G5" i="1" s="1"/>
  <c r="O8" i="1"/>
  <c r="I5" i="1" s="1"/>
  <c r="F23" i="4"/>
  <c r="G23" i="4" s="1"/>
  <c r="J13" i="5"/>
  <c r="H10" i="5"/>
  <c r="H18" i="5"/>
  <c r="H25" i="5"/>
  <c r="I25" i="5" s="1"/>
  <c r="E9" i="5"/>
  <c r="F9" i="5" s="1"/>
  <c r="E17" i="5"/>
  <c r="F17" i="5" s="1"/>
  <c r="G24" i="5"/>
  <c r="E26" i="5"/>
  <c r="F26" i="5" s="1"/>
  <c r="H55" i="4"/>
  <c r="H47" i="4"/>
  <c r="H39" i="4"/>
  <c r="H31" i="4"/>
  <c r="H23" i="4"/>
  <c r="H15" i="4"/>
  <c r="I55" i="4"/>
  <c r="I47" i="4"/>
  <c r="I39" i="4"/>
  <c r="I31" i="4"/>
  <c r="I23" i="4"/>
  <c r="I15" i="4"/>
  <c r="F14" i="4"/>
  <c r="G14" i="4" s="1"/>
  <c r="H14" i="4" s="1"/>
  <c r="F30" i="4"/>
  <c r="G30" i="4" s="1"/>
  <c r="I30" i="4" s="1"/>
  <c r="F38" i="4"/>
  <c r="G38" i="4" s="1"/>
  <c r="I38" i="4" s="1"/>
  <c r="D13" i="4"/>
  <c r="G13" i="4" s="1"/>
  <c r="D21" i="4"/>
  <c r="G21" i="4" s="1"/>
  <c r="D29" i="4"/>
  <c r="G29" i="4" s="1"/>
  <c r="D37" i="4"/>
  <c r="G37" i="4" s="1"/>
  <c r="D2" i="3"/>
  <c r="H9" i="2"/>
  <c r="E22" i="1"/>
  <c r="K22" i="1" s="1"/>
  <c r="E5" i="1" s="1"/>
  <c r="B58" i="4"/>
  <c r="H19" i="5"/>
  <c r="I19" i="5" s="1"/>
  <c r="F25" i="5"/>
  <c r="E29" i="5"/>
  <c r="G7" i="4"/>
  <c r="G10" i="4"/>
  <c r="H10" i="4" s="1"/>
  <c r="L8" i="1"/>
  <c r="F5" i="1" s="1"/>
  <c r="C4" i="2"/>
  <c r="E4" i="2" s="1"/>
  <c r="H11" i="5"/>
  <c r="I11" i="5" s="1"/>
  <c r="F16" i="5"/>
  <c r="F8" i="5"/>
  <c r="E12" i="5"/>
  <c r="E20" i="5"/>
  <c r="J28" i="5"/>
  <c r="H12" i="5"/>
  <c r="I12" i="5" s="1"/>
  <c r="H20" i="5"/>
  <c r="I20" i="5" s="1"/>
  <c r="H22" i="5"/>
  <c r="I22" i="5" s="1"/>
  <c r="H26" i="5"/>
  <c r="I26" i="5" s="1"/>
  <c r="H30" i="5"/>
  <c r="I30" i="5" s="1"/>
  <c r="E15" i="5"/>
  <c r="F15" i="5" s="1"/>
  <c r="E24" i="5"/>
  <c r="F24" i="5" s="1"/>
  <c r="H53" i="4"/>
  <c r="H45" i="4"/>
  <c r="H37" i="4"/>
  <c r="H29" i="4"/>
  <c r="H21" i="4"/>
  <c r="H13" i="4"/>
  <c r="I53" i="4"/>
  <c r="I45" i="4"/>
  <c r="I37" i="4"/>
  <c r="I29" i="4"/>
  <c r="I21" i="4"/>
  <c r="L22" i="1"/>
  <c r="C3" i="2"/>
  <c r="H8" i="2" s="1"/>
  <c r="E10" i="5"/>
  <c r="E18" i="5"/>
  <c r="E27" i="5"/>
  <c r="E3" i="2"/>
  <c r="M22" i="1"/>
  <c r="N22" i="1"/>
  <c r="D22" i="1"/>
  <c r="J22" i="1" s="1"/>
  <c r="D5" i="1" s="1"/>
  <c r="J19" i="5"/>
  <c r="J11" i="5"/>
  <c r="H14" i="5"/>
  <c r="E13" i="5"/>
  <c r="F13" i="5" s="1"/>
  <c r="E21" i="5"/>
  <c r="F21" i="5" s="1"/>
  <c r="E22" i="5"/>
  <c r="F22" i="5" s="1"/>
  <c r="D2" i="4" l="1"/>
  <c r="D4" i="4" s="1"/>
  <c r="I18" i="5"/>
  <c r="J18" i="5"/>
  <c r="J22" i="5"/>
  <c r="G26" i="5"/>
  <c r="G27" i="5"/>
  <c r="F27" i="5"/>
  <c r="G18" i="5"/>
  <c r="F18" i="5"/>
  <c r="G20" i="5"/>
  <c r="F20" i="5"/>
  <c r="F57" i="5" s="1"/>
  <c r="J16" i="5"/>
  <c r="F10" i="5"/>
  <c r="G10" i="5"/>
  <c r="G12" i="5"/>
  <c r="F12" i="5"/>
  <c r="I10" i="5"/>
  <c r="J10" i="5"/>
  <c r="G17" i="5"/>
  <c r="J26" i="5"/>
  <c r="G11" i="5"/>
  <c r="G15" i="5"/>
  <c r="I14" i="5"/>
  <c r="J14" i="5"/>
  <c r="H7" i="4"/>
  <c r="H57" i="4" s="1"/>
  <c r="G57" i="4"/>
  <c r="J7" i="5"/>
  <c r="I7" i="5"/>
  <c r="F29" i="5"/>
  <c r="G29" i="5"/>
  <c r="J30" i="5"/>
  <c r="J24" i="5"/>
  <c r="J9" i="5"/>
  <c r="F57" i="4"/>
  <c r="D18" i="2"/>
  <c r="E18" i="2" s="1"/>
  <c r="D14" i="2"/>
  <c r="E14" i="2" s="1"/>
  <c r="D10" i="2"/>
  <c r="E10" i="2" s="1"/>
  <c r="D22" i="2"/>
  <c r="E22" i="2" s="1"/>
  <c r="E59" i="2" s="1"/>
  <c r="D9" i="2"/>
  <c r="E9" i="2" s="1"/>
  <c r="D21" i="2"/>
  <c r="E21" i="2" s="1"/>
  <c r="D17" i="2"/>
  <c r="E17" i="2" s="1"/>
  <c r="D13" i="2"/>
  <c r="E13" i="2" s="1"/>
  <c r="D20" i="2"/>
  <c r="E20" i="2" s="1"/>
  <c r="D16" i="2"/>
  <c r="E16" i="2" s="1"/>
  <c r="D12" i="2"/>
  <c r="E12" i="2" s="1"/>
  <c r="D8" i="2"/>
  <c r="D19" i="2"/>
  <c r="E19" i="2" s="1"/>
  <c r="D15" i="2"/>
  <c r="E15" i="2" s="1"/>
  <c r="D11" i="2"/>
  <c r="E11" i="2" s="1"/>
  <c r="H12" i="2"/>
  <c r="H11" i="2"/>
  <c r="D6" i="3"/>
  <c r="D7" i="3"/>
  <c r="J21" i="5"/>
  <c r="G9" i="5"/>
  <c r="G57" i="5" s="1"/>
  <c r="G13" i="5"/>
  <c r="G19" i="5"/>
  <c r="J31" i="5"/>
  <c r="I31" i="5"/>
  <c r="J25" i="5"/>
  <c r="G28" i="5"/>
  <c r="J23" i="5"/>
  <c r="I23" i="5"/>
  <c r="G21" i="5"/>
  <c r="J20" i="5"/>
  <c r="D57" i="4"/>
  <c r="G22" i="5"/>
  <c r="J15" i="5"/>
  <c r="I15" i="5"/>
  <c r="I29" i="5"/>
  <c r="J29" i="5"/>
  <c r="J8" i="5"/>
  <c r="F2" i="5" l="1"/>
  <c r="E8" i="2"/>
  <c r="E58" i="2" s="1"/>
  <c r="E60" i="2" s="1"/>
  <c r="E61" i="2" s="1"/>
  <c r="H18" i="2" s="1"/>
  <c r="D58" i="2"/>
  <c r="I57" i="5"/>
  <c r="G13" i="2"/>
  <c r="J57" i="5"/>
  <c r="I2" i="5" l="1"/>
</calcChain>
</file>

<file path=xl/comments1.xml><?xml version="1.0" encoding="utf-8"?>
<comments xmlns="http://schemas.openxmlformats.org/spreadsheetml/2006/main">
  <authors>
    <author>Charles Ebeling</author>
  </authors>
  <commentList>
    <comment ref="D3" authorId="0" shapeId="0">
      <text>
        <r>
          <rPr>
            <b/>
            <sz val="8"/>
            <color indexed="81"/>
            <rFont val="Tahoma"/>
            <family val="2"/>
          </rPr>
          <t>enter failure rate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enter shape parameter - beta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enter standard deviation - sigma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enter shape parameter - s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enter shape parameter - gamma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enter scale parameter - alpha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enter scale parameter - theta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enter mean - mu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</rPr>
          <t>enter location parameter - tmed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>enter scale parameter - alpha</t>
        </r>
      </text>
    </comment>
    <comment ref="I4" authorId="0" shapeId="0">
      <text>
        <r>
          <rPr>
            <b/>
            <sz val="8"/>
            <color indexed="81"/>
            <rFont val="Tahoma"/>
            <family val="2"/>
          </rPr>
          <t>enter location parameter - mu (mode)</t>
        </r>
      </text>
    </comment>
  </commentList>
</comments>
</file>

<file path=xl/sharedStrings.xml><?xml version="1.0" encoding="utf-8"?>
<sst xmlns="http://schemas.openxmlformats.org/spreadsheetml/2006/main" count="138" uniqueCount="97">
  <si>
    <t>Chi-square goodness-of-fit testing  Section 16.1</t>
  </si>
  <si>
    <t>interval</t>
  </si>
  <si>
    <t>upper bound</t>
  </si>
  <si>
    <t>observed</t>
  </si>
  <si>
    <t>Exponential</t>
  </si>
  <si>
    <t>Weibull</t>
  </si>
  <si>
    <t>Normal</t>
  </si>
  <si>
    <t>LogNorm</t>
  </si>
  <si>
    <t>Gamma</t>
  </si>
  <si>
    <t>Expected</t>
  </si>
  <si>
    <t>Sturges rule =</t>
  </si>
  <si>
    <t>cell count =</t>
  </si>
  <si>
    <t>enter shape or scale parameter</t>
  </si>
  <si>
    <t>enter scale or location parameter</t>
  </si>
  <si>
    <t>(O-E)^2/E</t>
  </si>
  <si>
    <t>chi-sq stat =</t>
  </si>
  <si>
    <t>level of significance =</t>
  </si>
  <si>
    <t>enter number at risk n =</t>
  </si>
  <si>
    <t>Extreme</t>
  </si>
  <si>
    <t>Complete or right censored data</t>
  </si>
  <si>
    <t>critical values =</t>
  </si>
  <si>
    <t>Power Law Process  Section 16.5</t>
  </si>
  <si>
    <t>b =</t>
  </si>
  <si>
    <t>a =</t>
  </si>
  <si>
    <t>ab =</t>
  </si>
  <si>
    <t>enter failure times, ti,  in ascending order</t>
  </si>
  <si>
    <t>count</t>
  </si>
  <si>
    <t>ti</t>
  </si>
  <si>
    <t>log(ti)</t>
  </si>
  <si>
    <t>sum =</t>
  </si>
  <si>
    <t xml:space="preserve">n = </t>
  </si>
  <si>
    <t>sum log</t>
  </si>
  <si>
    <t>log ts =</t>
  </si>
  <si>
    <t>MLE</t>
  </si>
  <si>
    <t>Data Type =</t>
  </si>
  <si>
    <t>Parameters</t>
  </si>
  <si>
    <t>enter tk =</t>
  </si>
  <si>
    <t>(ti/tk)^b</t>
  </si>
  <si>
    <t>Test for Trend</t>
  </si>
  <si>
    <t xml:space="preserve">χ^2 = </t>
  </si>
  <si>
    <r>
      <rPr>
        <sz val="10"/>
        <color indexed="8"/>
        <rFont val="Symbol"/>
        <family val="1"/>
        <charset val="2"/>
      </rPr>
      <t>a</t>
    </r>
    <r>
      <rPr>
        <sz val="10"/>
        <color indexed="8"/>
        <rFont val="Arial"/>
        <family val="2"/>
      </rPr>
      <t xml:space="preserve"> = </t>
    </r>
  </si>
  <si>
    <t>df =</t>
  </si>
  <si>
    <t>lower crit value =</t>
  </si>
  <si>
    <t>upper crit value =</t>
  </si>
  <si>
    <t>Ho:  ρ(t) = constant (b = 1)</t>
  </si>
  <si>
    <t>H1:  ρ(t) is not constant (b is not equal 1)</t>
  </si>
  <si>
    <t>Goodness-of-fit Test</t>
  </si>
  <si>
    <t>H1:  Not a NHPP with specified ρ(t)</t>
  </si>
  <si>
    <t>Ho:  A NHPP with specified ρ(t)</t>
  </si>
  <si>
    <t>Test Stat Cm =</t>
  </si>
  <si>
    <t>M =</t>
  </si>
  <si>
    <t>[(D-(2i-1)/2M]^2</t>
  </si>
  <si>
    <t>unbiased b =</t>
  </si>
  <si>
    <t>intermediate calculations</t>
  </si>
  <si>
    <t>last entry =</t>
  </si>
  <si>
    <t>sum n-1 =</t>
  </si>
  <si>
    <t>Test against critical values in Table A.8</t>
  </si>
  <si>
    <t xml:space="preserve">Table A.8 </t>
  </si>
  <si>
    <t>Critical Values for Cramer-von Mises GOF test</t>
  </si>
  <si>
    <t>M</t>
  </si>
  <si>
    <t>&lt;Crit?</t>
  </si>
  <si>
    <t>For M &gt; 100 use values for M = 100.</t>
  </si>
  <si>
    <t>Barlett's test for the Exponential Distribution  Section 16.2</t>
  </si>
  <si>
    <t xml:space="preserve">r = </t>
  </si>
  <si>
    <t>B =</t>
  </si>
  <si>
    <t>Chi-sq lower</t>
  </si>
  <si>
    <t>Chi-sq upper</t>
  </si>
  <si>
    <t>enter failure times, ti</t>
  </si>
  <si>
    <r>
      <rPr>
        <b/>
        <sz val="12"/>
        <color indexed="8"/>
        <rFont val="Symbol"/>
        <family val="1"/>
        <charset val="2"/>
      </rPr>
      <t>a</t>
    </r>
    <r>
      <rPr>
        <b/>
        <sz val="12"/>
        <color indexed="8"/>
        <rFont val="Arial"/>
        <family val="2"/>
      </rPr>
      <t xml:space="preserve"> =</t>
    </r>
  </si>
  <si>
    <t>sum log =</t>
  </si>
  <si>
    <t>Mann's test for the Weibull Distribution  Section 16.3</t>
  </si>
  <si>
    <t xml:space="preserve">k2 = </t>
  </si>
  <si>
    <t xml:space="preserve">k1 = </t>
  </si>
  <si>
    <t>ln ti+1 - ln ti</t>
  </si>
  <si>
    <t>Zi</t>
  </si>
  <si>
    <t>number at risk n =</t>
  </si>
  <si>
    <t>Mi</t>
  </si>
  <si>
    <t>(ln ti+1 - ln ti)/Mi</t>
  </si>
  <si>
    <t xml:space="preserve">F-crit = </t>
  </si>
  <si>
    <t>Kolmogorov-Smirnov test for the Normal &amp; Lognormal Distributions  Section 16.4</t>
  </si>
  <si>
    <t>Complete Data Only</t>
  </si>
  <si>
    <t xml:space="preserve">std dev = </t>
  </si>
  <si>
    <t xml:space="preserve">mean = </t>
  </si>
  <si>
    <t>Prob (norm)</t>
  </si>
  <si>
    <t>D1(i)</t>
  </si>
  <si>
    <t>D2(i)</t>
  </si>
  <si>
    <t>i/n</t>
  </si>
  <si>
    <t>enter failure times, ti, in ascending order</t>
  </si>
  <si>
    <t xml:space="preserve">D = </t>
  </si>
  <si>
    <t>Pr (lognorm)</t>
  </si>
  <si>
    <t>tmed</t>
  </si>
  <si>
    <t>Test for normality ti</t>
  </si>
  <si>
    <t>test for lognorm log ti</t>
  </si>
  <si>
    <t>max =</t>
  </si>
  <si>
    <t>example 16.8</t>
  </si>
  <si>
    <t>infinity</t>
  </si>
  <si>
    <t>last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</si>
</sst>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00"/>
    <numFmt numFmtId="165" formatCode="0.000000"/>
    <numFmt numFmtId="166" formatCode="0.00000"/>
    <numFmt numFmtId="167" formatCode="0.0000"/>
    <numFmt numFmtId="168" formatCode="0.000"/>
    <numFmt numFmtId="174" formatCode="0.00000000"/>
  </numFmts>
  <fonts count="21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color indexed="8"/>
      <name val="Symbol"/>
      <family val="1"/>
      <charset val="2"/>
    </font>
    <font>
      <b/>
      <sz val="12"/>
      <color indexed="8"/>
      <name val="Arial"/>
      <family val="2"/>
    </font>
    <font>
      <b/>
      <sz val="12"/>
      <color indexed="8"/>
      <name val="Symbol"/>
      <family val="1"/>
      <charset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0"/>
      <color rgb="FFC0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Courier New"/>
      <family val="3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DD95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/>
      <top/>
      <bottom style="medium">
        <color indexed="64"/>
      </bottom>
      <diagonal/>
    </border>
    <border>
      <left style="thin">
        <color rgb="FFC00000"/>
      </left>
      <right/>
      <top style="medium">
        <color indexed="64"/>
      </top>
      <bottom style="medium">
        <color indexed="64"/>
      </bottom>
      <diagonal/>
    </border>
    <border>
      <left style="thin">
        <color rgb="FFC00000"/>
      </left>
      <right/>
      <top/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thin">
        <color rgb="FFC00000"/>
      </left>
      <right style="thin">
        <color indexed="64"/>
      </right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 style="medium">
        <color rgb="FFC00000"/>
      </left>
      <right/>
      <top style="medium">
        <color rgb="FFC00000"/>
      </top>
      <bottom/>
      <diagonal/>
    </border>
  </borders>
  <cellStyleXfs count="1">
    <xf numFmtId="0" fontId="0" fillId="0" borderId="0"/>
  </cellStyleXfs>
  <cellXfs count="27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1" fontId="0" fillId="3" borderId="6" xfId="0" applyNumberForma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4" borderId="9" xfId="0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0" xfId="0" applyFill="1"/>
    <xf numFmtId="0" fontId="12" fillId="5" borderId="13" xfId="0" applyFont="1" applyFill="1" applyBorder="1"/>
    <xf numFmtId="0" fontId="12" fillId="5" borderId="14" xfId="0" applyFont="1" applyFill="1" applyBorder="1"/>
    <xf numFmtId="0" fontId="12" fillId="5" borderId="15" xfId="0" applyFont="1" applyFill="1" applyBorder="1"/>
    <xf numFmtId="0" fontId="0" fillId="6" borderId="0" xfId="0" applyFill="1" applyAlignment="1">
      <alignment horizontal="righ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 applyAlignment="1">
      <alignment horizontal="right"/>
    </xf>
    <xf numFmtId="0" fontId="0" fillId="6" borderId="16" xfId="0" applyFill="1" applyBorder="1"/>
    <xf numFmtId="0" fontId="0" fillId="6" borderId="9" xfId="0" applyFill="1" applyBorder="1"/>
    <xf numFmtId="0" fontId="0" fillId="6" borderId="17" xfId="0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9" xfId="0" applyBorder="1"/>
    <xf numFmtId="0" fontId="0" fillId="5" borderId="14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168" fontId="0" fillId="7" borderId="13" xfId="0" applyNumberFormat="1" applyFill="1" applyBorder="1" applyAlignment="1">
      <alignment horizontal="center"/>
    </xf>
    <xf numFmtId="168" fontId="0" fillId="7" borderId="14" xfId="0" applyNumberFormat="1" applyFill="1" applyBorder="1" applyAlignment="1">
      <alignment horizontal="center"/>
    </xf>
    <xf numFmtId="168" fontId="0" fillId="7" borderId="15" xfId="0" applyNumberFormat="1" applyFill="1" applyBorder="1" applyAlignment="1">
      <alignment horizontal="center"/>
    </xf>
    <xf numFmtId="168" fontId="0" fillId="7" borderId="16" xfId="0" applyNumberFormat="1" applyFill="1" applyBorder="1" applyAlignment="1">
      <alignment horizontal="center"/>
    </xf>
    <xf numFmtId="168" fontId="0" fillId="7" borderId="9" xfId="0" applyNumberFormat="1" applyFill="1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2" borderId="0" xfId="0" applyFill="1" applyBorder="1" applyAlignment="1">
      <alignment horizontal="center"/>
    </xf>
    <xf numFmtId="2" fontId="0" fillId="0" borderId="14" xfId="0" applyNumberFormat="1" applyBorder="1"/>
    <xf numFmtId="167" fontId="0" fillId="0" borderId="14" xfId="0" applyNumberFormat="1" applyBorder="1"/>
    <xf numFmtId="167" fontId="0" fillId="0" borderId="15" xfId="0" applyNumberFormat="1" applyBorder="1"/>
    <xf numFmtId="0" fontId="0" fillId="0" borderId="19" xfId="0" applyBorder="1"/>
    <xf numFmtId="0" fontId="0" fillId="0" borderId="0" xfId="0" applyBorder="1"/>
    <xf numFmtId="2" fontId="0" fillId="0" borderId="0" xfId="0" applyNumberFormat="1" applyBorder="1"/>
    <xf numFmtId="167" fontId="0" fillId="0" borderId="0" xfId="0" applyNumberFormat="1" applyBorder="1"/>
    <xf numFmtId="167" fontId="0" fillId="0" borderId="20" xfId="0" applyNumberFormat="1" applyBorder="1"/>
    <xf numFmtId="0" fontId="0" fillId="0" borderId="20" xfId="0" applyBorder="1"/>
    <xf numFmtId="167" fontId="0" fillId="0" borderId="9" xfId="0" applyNumberFormat="1" applyBorder="1"/>
    <xf numFmtId="167" fontId="0" fillId="0" borderId="17" xfId="0" applyNumberFormat="1" applyBorder="1"/>
    <xf numFmtId="0" fontId="0" fillId="6" borderId="0" xfId="0" applyFill="1" applyBorder="1" applyAlignment="1">
      <alignment wrapText="1"/>
    </xf>
    <xf numFmtId="0" fontId="3" fillId="7" borderId="21" xfId="0" applyFont="1" applyFill="1" applyBorder="1" applyAlignment="1">
      <alignment horizontal="center" wrapText="1"/>
    </xf>
    <xf numFmtId="0" fontId="10" fillId="7" borderId="22" xfId="0" applyFont="1" applyFill="1" applyBorder="1" applyAlignment="1">
      <alignment horizontal="center"/>
    </xf>
    <xf numFmtId="0" fontId="0" fillId="2" borderId="8" xfId="0" applyFill="1" applyBorder="1"/>
    <xf numFmtId="0" fontId="0" fillId="8" borderId="16" xfId="0" applyFill="1" applyBorder="1"/>
    <xf numFmtId="0" fontId="0" fillId="8" borderId="21" xfId="0" applyFill="1" applyBorder="1"/>
    <xf numFmtId="0" fontId="0" fillId="8" borderId="9" xfId="0" applyFill="1" applyBorder="1"/>
    <xf numFmtId="0" fontId="0" fillId="6" borderId="5" xfId="0" applyFill="1" applyBorder="1"/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right"/>
    </xf>
    <xf numFmtId="0" fontId="12" fillId="6" borderId="0" xfId="0" applyFont="1" applyFill="1" applyBorder="1"/>
    <xf numFmtId="0" fontId="13" fillId="6" borderId="9" xfId="0" applyFont="1" applyFill="1" applyBorder="1"/>
    <xf numFmtId="174" fontId="14" fillId="7" borderId="0" xfId="0" applyNumberFormat="1" applyFont="1" applyFill="1" applyBorder="1"/>
    <xf numFmtId="0" fontId="0" fillId="9" borderId="0" xfId="0" applyFill="1" applyBorder="1" applyAlignment="1">
      <alignment horizontal="center"/>
    </xf>
    <xf numFmtId="0" fontId="0" fillId="9" borderId="0" xfId="0" applyFill="1" applyBorder="1"/>
    <xf numFmtId="166" fontId="14" fillId="7" borderId="5" xfId="0" applyNumberFormat="1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5" fillId="0" borderId="0" xfId="0" applyFont="1"/>
    <xf numFmtId="0" fontId="16" fillId="8" borderId="8" xfId="0" applyFont="1" applyFill="1" applyBorder="1" applyAlignment="1">
      <alignment horizontal="center"/>
    </xf>
    <xf numFmtId="0" fontId="0" fillId="9" borderId="15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3" borderId="20" xfId="0" applyFill="1" applyBorder="1" applyAlignment="1">
      <alignment horizontal="left"/>
    </xf>
    <xf numFmtId="0" fontId="0" fillId="9" borderId="13" xfId="0" applyFill="1" applyBorder="1"/>
    <xf numFmtId="0" fontId="0" fillId="9" borderId="14" xfId="0" applyFill="1" applyBorder="1"/>
    <xf numFmtId="0" fontId="0" fillId="9" borderId="19" xfId="0" applyFill="1" applyBorder="1"/>
    <xf numFmtId="0" fontId="0" fillId="9" borderId="20" xfId="0" applyFill="1" applyBorder="1"/>
    <xf numFmtId="0" fontId="17" fillId="9" borderId="16" xfId="0" applyFont="1" applyFill="1" applyBorder="1"/>
    <xf numFmtId="0" fontId="0" fillId="9" borderId="17" xfId="0" applyFill="1" applyBorder="1"/>
    <xf numFmtId="0" fontId="0" fillId="5" borderId="15" xfId="0" applyFill="1" applyBorder="1"/>
    <xf numFmtId="0" fontId="0" fillId="3" borderId="13" xfId="0" applyFill="1" applyBorder="1"/>
    <xf numFmtId="0" fontId="11" fillId="3" borderId="15" xfId="0" applyFont="1" applyFill="1" applyBorder="1"/>
    <xf numFmtId="164" fontId="0" fillId="3" borderId="20" xfId="0" applyNumberFormat="1" applyFill="1" applyBorder="1" applyAlignment="1">
      <alignment horizontal="left"/>
    </xf>
    <xf numFmtId="0" fontId="0" fillId="3" borderId="19" xfId="0" applyFont="1" applyFill="1" applyBorder="1" applyAlignment="1">
      <alignment horizontal="right"/>
    </xf>
    <xf numFmtId="0" fontId="0" fillId="3" borderId="19" xfId="0" applyFill="1" applyBorder="1" applyAlignment="1">
      <alignment horizontal="right"/>
    </xf>
    <xf numFmtId="0" fontId="0" fillId="9" borderId="1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168" fontId="0" fillId="9" borderId="0" xfId="0" applyNumberForma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10" fillId="9" borderId="0" xfId="0" applyFont="1" applyFill="1" applyBorder="1"/>
    <xf numFmtId="0" fontId="13" fillId="6" borderId="9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8" xfId="0" applyFill="1" applyBorder="1"/>
    <xf numFmtId="0" fontId="0" fillId="3" borderId="1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5" borderId="2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8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1" xfId="0" applyFill="1" applyBorder="1"/>
    <xf numFmtId="0" fontId="0" fillId="9" borderId="18" xfId="0" applyFill="1" applyBorder="1"/>
    <xf numFmtId="0" fontId="0" fillId="9" borderId="1" xfId="0" applyFill="1" applyBorder="1" applyAlignment="1">
      <alignment horizontal="right"/>
    </xf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18" fillId="0" borderId="24" xfId="0" applyFont="1" applyBorder="1" applyAlignment="1">
      <alignment horizontal="center" vertical="top" wrapText="1"/>
    </xf>
    <xf numFmtId="0" fontId="18" fillId="0" borderId="25" xfId="0" applyFont="1" applyBorder="1" applyAlignment="1">
      <alignment horizontal="center" vertical="top" wrapText="1"/>
    </xf>
    <xf numFmtId="0" fontId="18" fillId="0" borderId="21" xfId="0" applyFont="1" applyBorder="1" applyAlignment="1">
      <alignment horizontal="center" vertical="top" wrapText="1"/>
    </xf>
    <xf numFmtId="0" fontId="18" fillId="0" borderId="18" xfId="0" applyFont="1" applyBorder="1" applyAlignment="1">
      <alignment horizontal="center" vertical="top" wrapText="1"/>
    </xf>
    <xf numFmtId="0" fontId="18" fillId="0" borderId="26" xfId="0" applyFont="1" applyBorder="1" applyAlignment="1">
      <alignment horizontal="center" vertical="top" wrapText="1"/>
    </xf>
    <xf numFmtId="0" fontId="18" fillId="0" borderId="27" xfId="0" applyFont="1" applyBorder="1" applyAlignment="1">
      <alignment horizontal="center" vertical="top" wrapText="1"/>
    </xf>
    <xf numFmtId="0" fontId="18" fillId="0" borderId="28" xfId="0" applyFont="1" applyBorder="1" applyAlignment="1">
      <alignment horizontal="center" vertical="top" wrapText="1"/>
    </xf>
    <xf numFmtId="0" fontId="18" fillId="0" borderId="7" xfId="0" applyFont="1" applyBorder="1" applyAlignment="1">
      <alignment horizontal="center" vertical="top" wrapText="1"/>
    </xf>
    <xf numFmtId="0" fontId="19" fillId="0" borderId="0" xfId="0" applyFont="1" applyAlignment="1">
      <alignment horizontal="left"/>
    </xf>
    <xf numFmtId="0" fontId="0" fillId="7" borderId="8" xfId="0" applyFill="1" applyBorder="1" applyAlignment="1">
      <alignment horizontal="right"/>
    </xf>
    <xf numFmtId="0" fontId="0" fillId="7" borderId="25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0" fontId="10" fillId="0" borderId="0" xfId="0" applyFont="1" applyFill="1" applyBorder="1"/>
    <xf numFmtId="0" fontId="18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19" fillId="0" borderId="0" xfId="0" applyFont="1" applyFill="1" applyBorder="1" applyAlignment="1">
      <alignment horizontal="left"/>
    </xf>
    <xf numFmtId="0" fontId="0" fillId="8" borderId="8" xfId="0" applyFill="1" applyBorder="1"/>
    <xf numFmtId="0" fontId="0" fillId="10" borderId="8" xfId="0" applyFill="1" applyBorder="1"/>
    <xf numFmtId="0" fontId="13" fillId="10" borderId="23" xfId="0" applyFont="1" applyFill="1" applyBorder="1" applyAlignment="1">
      <alignment horizontal="center"/>
    </xf>
    <xf numFmtId="0" fontId="0" fillId="10" borderId="19" xfId="0" applyFill="1" applyBorder="1" applyAlignment="1">
      <alignment horizontal="right"/>
    </xf>
    <xf numFmtId="0" fontId="0" fillId="10" borderId="0" xfId="0" applyFill="1" applyBorder="1" applyAlignment="1">
      <alignment horizontal="left"/>
    </xf>
    <xf numFmtId="0" fontId="11" fillId="10" borderId="14" xfId="0" applyFont="1" applyFill="1" applyBorder="1"/>
    <xf numFmtId="164" fontId="0" fillId="10" borderId="0" xfId="0" applyNumberFormat="1" applyFill="1" applyBorder="1" applyAlignment="1">
      <alignment horizontal="left"/>
    </xf>
    <xf numFmtId="168" fontId="14" fillId="7" borderId="5" xfId="0" applyNumberFormat="1" applyFont="1" applyFill="1" applyBorder="1" applyAlignment="1">
      <alignment horizontal="center"/>
    </xf>
    <xf numFmtId="168" fontId="14" fillId="7" borderId="0" xfId="0" applyNumberFormat="1" applyFont="1" applyFill="1" applyBorder="1" applyAlignment="1">
      <alignment horizontal="center"/>
    </xf>
    <xf numFmtId="0" fontId="20" fillId="8" borderId="8" xfId="0" applyFont="1" applyFill="1" applyBorder="1" applyAlignment="1">
      <alignment horizontal="right"/>
    </xf>
    <xf numFmtId="0" fontId="20" fillId="8" borderId="25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3" borderId="4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13" fillId="3" borderId="7" xfId="0" applyFont="1" applyFill="1" applyBorder="1" applyAlignment="1">
      <alignment horizontal="left"/>
    </xf>
    <xf numFmtId="0" fontId="16" fillId="7" borderId="8" xfId="0" applyFont="1" applyFill="1" applyBorder="1" applyAlignment="1">
      <alignment horizontal="right"/>
    </xf>
    <xf numFmtId="167" fontId="16" fillId="7" borderId="25" xfId="0" applyNumberFormat="1" applyFont="1" applyFill="1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28" xfId="0" applyBorder="1"/>
    <xf numFmtId="0" fontId="15" fillId="0" borderId="0" xfId="0" applyFont="1" applyFill="1" applyBorder="1" applyAlignment="1">
      <alignment horizontal="right"/>
    </xf>
    <xf numFmtId="0" fontId="16" fillId="8" borderId="5" xfId="0" applyFont="1" applyFill="1" applyBorder="1" applyAlignment="1">
      <alignment horizontal="center"/>
    </xf>
    <xf numFmtId="0" fontId="0" fillId="6" borderId="21" xfId="0" applyFill="1" applyBorder="1"/>
    <xf numFmtId="0" fontId="0" fillId="8" borderId="29" xfId="0" applyFill="1" applyBorder="1" applyAlignment="1">
      <alignment horizontal="right"/>
    </xf>
    <xf numFmtId="0" fontId="0" fillId="8" borderId="25" xfId="0" applyFill="1" applyBorder="1"/>
    <xf numFmtId="0" fontId="15" fillId="0" borderId="0" xfId="0" applyFont="1" applyFill="1" applyBorder="1" applyAlignment="1">
      <alignment horizontal="left"/>
    </xf>
    <xf numFmtId="165" fontId="0" fillId="0" borderId="0" xfId="0" applyNumberFormat="1" applyFill="1" applyBorder="1"/>
    <xf numFmtId="164" fontId="0" fillId="0" borderId="0" xfId="0" applyNumberFormat="1" applyFill="1" applyBorder="1" applyAlignment="1">
      <alignment horizontal="right"/>
    </xf>
    <xf numFmtId="0" fontId="11" fillId="0" borderId="0" xfId="0" applyFont="1" applyFill="1" applyBorder="1"/>
    <xf numFmtId="164" fontId="0" fillId="0" borderId="0" xfId="0" applyNumberFormat="1" applyFill="1" applyBorder="1" applyAlignment="1">
      <alignment horizontal="left"/>
    </xf>
    <xf numFmtId="0" fontId="16" fillId="7" borderId="2" xfId="0" applyFont="1" applyFill="1" applyBorder="1" applyAlignment="1">
      <alignment horizontal="right"/>
    </xf>
    <xf numFmtId="167" fontId="16" fillId="7" borderId="4" xfId="0" applyNumberFormat="1" applyFont="1" applyFill="1" applyBorder="1" applyAlignment="1">
      <alignment horizontal="center"/>
    </xf>
    <xf numFmtId="168" fontId="14" fillId="7" borderId="25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right" wrapText="1"/>
    </xf>
    <xf numFmtId="0" fontId="8" fillId="6" borderId="8" xfId="0" applyFont="1" applyFill="1" applyBorder="1"/>
    <xf numFmtId="0" fontId="7" fillId="6" borderId="23" xfId="0" applyFont="1" applyFill="1" applyBorder="1" applyAlignment="1">
      <alignment horizontal="center"/>
    </xf>
    <xf numFmtId="0" fontId="8" fillId="6" borderId="23" xfId="0" applyFont="1" applyFill="1" applyBorder="1"/>
    <xf numFmtId="0" fontId="0" fillId="6" borderId="23" xfId="0" applyFill="1" applyBorder="1"/>
    <xf numFmtId="0" fontId="0" fillId="6" borderId="25" xfId="0" applyFill="1" applyBorder="1"/>
    <xf numFmtId="0" fontId="0" fillId="3" borderId="13" xfId="0" applyFill="1" applyBorder="1" applyAlignment="1">
      <alignment horizontal="right"/>
    </xf>
    <xf numFmtId="166" fontId="0" fillId="3" borderId="14" xfId="0" applyNumberFormat="1" applyFill="1" applyBorder="1" applyAlignment="1">
      <alignment horizontal="left"/>
    </xf>
    <xf numFmtId="166" fontId="0" fillId="3" borderId="15" xfId="0" applyNumberFormat="1" applyFill="1" applyBorder="1" applyAlignment="1">
      <alignment horizontal="left"/>
    </xf>
    <xf numFmtId="0" fontId="0" fillId="3" borderId="16" xfId="0" applyFill="1" applyBorder="1" applyAlignment="1">
      <alignment horizontal="right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13" fillId="3" borderId="9" xfId="0" applyFont="1" applyFill="1" applyBorder="1" applyAlignment="1">
      <alignment horizontal="left"/>
    </xf>
    <xf numFmtId="0" fontId="0" fillId="3" borderId="17" xfId="0" applyFill="1" applyBorder="1"/>
    <xf numFmtId="0" fontId="10" fillId="2" borderId="8" xfId="0" applyFont="1" applyFill="1" applyBorder="1"/>
    <xf numFmtId="0" fontId="16" fillId="2" borderId="23" xfId="0" applyFont="1" applyFill="1" applyBorder="1" applyAlignment="1">
      <alignment horizontal="right"/>
    </xf>
    <xf numFmtId="0" fontId="16" fillId="2" borderId="25" xfId="0" applyFont="1" applyFill="1" applyBorder="1" applyAlignment="1">
      <alignment horizontal="center"/>
    </xf>
    <xf numFmtId="0" fontId="10" fillId="8" borderId="29" xfId="0" applyFont="1" applyFill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168" fontId="13" fillId="3" borderId="4" xfId="0" applyNumberFormat="1" applyFont="1" applyFill="1" applyBorder="1" applyAlignment="1">
      <alignment horizontal="center"/>
    </xf>
    <xf numFmtId="168" fontId="13" fillId="3" borderId="7" xfId="0" applyNumberFormat="1" applyFont="1" applyFill="1" applyBorder="1" applyAlignment="1">
      <alignment horizontal="center"/>
    </xf>
    <xf numFmtId="166" fontId="0" fillId="0" borderId="0" xfId="0" applyNumberFormat="1" applyFill="1" applyBorder="1"/>
    <xf numFmtId="168" fontId="0" fillId="3" borderId="0" xfId="0" applyNumberFormat="1" applyFill="1" applyBorder="1" applyAlignment="1">
      <alignment horizontal="center"/>
    </xf>
    <xf numFmtId="168" fontId="13" fillId="3" borderId="30" xfId="0" applyNumberFormat="1" applyFont="1" applyFill="1" applyBorder="1" applyAlignment="1">
      <alignment horizontal="center"/>
    </xf>
    <xf numFmtId="168" fontId="13" fillId="3" borderId="31" xfId="0" applyNumberFormat="1" applyFont="1" applyFill="1" applyBorder="1" applyAlignment="1">
      <alignment horizontal="center"/>
    </xf>
    <xf numFmtId="0" fontId="13" fillId="3" borderId="33" xfId="0" applyFont="1" applyFill="1" applyBorder="1" applyAlignment="1">
      <alignment horizontal="right"/>
    </xf>
    <xf numFmtId="0" fontId="7" fillId="6" borderId="34" xfId="0" applyFont="1" applyFill="1" applyBorder="1" applyAlignment="1">
      <alignment horizontal="center"/>
    </xf>
    <xf numFmtId="0" fontId="0" fillId="0" borderId="35" xfId="0" applyFill="1" applyBorder="1"/>
    <xf numFmtId="0" fontId="0" fillId="0" borderId="35" xfId="0" applyBorder="1"/>
    <xf numFmtId="0" fontId="10" fillId="0" borderId="35" xfId="0" applyFont="1" applyFill="1" applyBorder="1" applyAlignment="1">
      <alignment horizontal="left"/>
    </xf>
    <xf numFmtId="166" fontId="0" fillId="0" borderId="35" xfId="0" applyNumberFormat="1" applyFill="1" applyBorder="1" applyAlignment="1">
      <alignment horizontal="right"/>
    </xf>
    <xf numFmtId="0" fontId="13" fillId="3" borderId="3" xfId="0" applyFont="1" applyFill="1" applyBorder="1" applyAlignment="1">
      <alignment horizontal="right"/>
    </xf>
    <xf numFmtId="0" fontId="0" fillId="5" borderId="36" xfId="0" applyFill="1" applyBorder="1"/>
    <xf numFmtId="0" fontId="13" fillId="3" borderId="6" xfId="0" applyFont="1" applyFill="1" applyBorder="1" applyAlignment="1">
      <alignment horizontal="right"/>
    </xf>
    <xf numFmtId="0" fontId="8" fillId="6" borderId="5" xfId="0" applyFont="1" applyFill="1" applyBorder="1"/>
    <xf numFmtId="0" fontId="0" fillId="2" borderId="23" xfId="0" applyFill="1" applyBorder="1"/>
    <xf numFmtId="0" fontId="16" fillId="2" borderId="5" xfId="0" applyFont="1" applyFill="1" applyBorder="1" applyAlignment="1">
      <alignment horizontal="center"/>
    </xf>
    <xf numFmtId="0" fontId="0" fillId="5" borderId="37" xfId="0" applyFill="1" applyBorder="1"/>
    <xf numFmtId="0" fontId="0" fillId="5" borderId="38" xfId="0" applyFill="1" applyBorder="1"/>
    <xf numFmtId="0" fontId="0" fillId="11" borderId="0" xfId="0" applyFill="1" applyBorder="1"/>
    <xf numFmtId="0" fontId="0" fillId="11" borderId="0" xfId="0" applyFill="1"/>
    <xf numFmtId="0" fontId="16" fillId="7" borderId="23" xfId="0" applyFont="1" applyFill="1" applyBorder="1" applyAlignment="1">
      <alignment horizontal="right"/>
    </xf>
    <xf numFmtId="0" fontId="12" fillId="5" borderId="39" xfId="0" applyFont="1" applyFill="1" applyBorder="1"/>
    <xf numFmtId="0" fontId="12" fillId="5" borderId="38" xfId="0" applyFont="1" applyFill="1" applyBorder="1"/>
    <xf numFmtId="0" fontId="20" fillId="11" borderId="2" xfId="0" applyFont="1" applyFill="1" applyBorder="1" applyAlignment="1">
      <alignment horizontal="right"/>
    </xf>
    <xf numFmtId="0" fontId="20" fillId="11" borderId="3" xfId="0" applyFont="1" applyFill="1" applyBorder="1" applyAlignment="1">
      <alignment horizontal="left" wrapText="1"/>
    </xf>
    <xf numFmtId="0" fontId="0" fillId="11" borderId="3" xfId="0" applyFill="1" applyBorder="1"/>
    <xf numFmtId="0" fontId="0" fillId="11" borderId="4" xfId="0" applyFill="1" applyBorder="1"/>
    <xf numFmtId="0" fontId="0" fillId="11" borderId="1" xfId="0" applyFill="1" applyBorder="1"/>
    <xf numFmtId="168" fontId="14" fillId="11" borderId="18" xfId="0" applyNumberFormat="1" applyFont="1" applyFill="1" applyBorder="1" applyAlignment="1">
      <alignment horizontal="center"/>
    </xf>
    <xf numFmtId="0" fontId="10" fillId="11" borderId="5" xfId="0" applyFont="1" applyFill="1" applyBorder="1"/>
    <xf numFmtId="0" fontId="16" fillId="11" borderId="6" xfId="0" applyFont="1" applyFill="1" applyBorder="1" applyAlignment="1">
      <alignment horizontal="right"/>
    </xf>
    <xf numFmtId="0" fontId="16" fillId="11" borderId="6" xfId="0" applyFont="1" applyFill="1" applyBorder="1" applyAlignment="1">
      <alignment horizontal="center"/>
    </xf>
    <xf numFmtId="0" fontId="0" fillId="11" borderId="7" xfId="0" applyFill="1" applyBorder="1"/>
    <xf numFmtId="166" fontId="16" fillId="7" borderId="23" xfId="0" applyNumberFormat="1" applyFont="1" applyFill="1" applyBorder="1"/>
    <xf numFmtId="0" fontId="0" fillId="11" borderId="22" xfId="0" applyFill="1" applyBorder="1"/>
    <xf numFmtId="0" fontId="0" fillId="11" borderId="21" xfId="0" applyFill="1" applyBorder="1"/>
    <xf numFmtId="0" fontId="0" fillId="11" borderId="28" xfId="0" applyFill="1" applyBorder="1"/>
    <xf numFmtId="0" fontId="9" fillId="5" borderId="8" xfId="0" applyFont="1" applyFill="1" applyBorder="1"/>
    <xf numFmtId="0" fontId="3" fillId="5" borderId="25" xfId="0" applyFont="1" applyFill="1" applyBorder="1" applyAlignment="1">
      <alignment horizontal="right" wrapText="1"/>
    </xf>
    <xf numFmtId="166" fontId="0" fillId="3" borderId="23" xfId="0" applyNumberFormat="1" applyFill="1" applyBorder="1" applyAlignment="1">
      <alignment horizontal="left"/>
    </xf>
    <xf numFmtId="166" fontId="0" fillId="12" borderId="8" xfId="0" applyNumberFormat="1" applyFill="1" applyBorder="1" applyAlignment="1">
      <alignment horizontal="center"/>
    </xf>
    <xf numFmtId="166" fontId="0" fillId="12" borderId="23" xfId="0" applyNumberFormat="1" applyFill="1" applyBorder="1" applyAlignment="1">
      <alignment horizontal="left"/>
    </xf>
    <xf numFmtId="166" fontId="0" fillId="12" borderId="34" xfId="0" applyNumberFormat="1" applyFill="1" applyBorder="1" applyAlignment="1">
      <alignment horizontal="center"/>
    </xf>
    <xf numFmtId="166" fontId="0" fillId="12" borderId="25" xfId="0" applyNumberFormat="1" applyFill="1" applyBorder="1" applyAlignment="1">
      <alignment horizontal="left"/>
    </xf>
    <xf numFmtId="0" fontId="0" fillId="3" borderId="8" xfId="0" applyFill="1" applyBorder="1" applyAlignment="1">
      <alignment horizontal="right"/>
    </xf>
    <xf numFmtId="0" fontId="0" fillId="3" borderId="23" xfId="0" applyFill="1" applyBorder="1" applyAlignment="1">
      <alignment horizontal="right"/>
    </xf>
    <xf numFmtId="0" fontId="13" fillId="3" borderId="23" xfId="0" applyFont="1" applyFill="1" applyBorder="1" applyAlignment="1">
      <alignment horizontal="left"/>
    </xf>
    <xf numFmtId="0" fontId="0" fillId="5" borderId="35" xfId="0" applyFill="1" applyBorder="1"/>
    <xf numFmtId="0" fontId="10" fillId="2" borderId="32" xfId="0" applyFont="1" applyFill="1" applyBorder="1" applyAlignment="1">
      <alignment horizontal="right"/>
    </xf>
    <xf numFmtId="0" fontId="0" fillId="2" borderId="2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2" xfId="0" applyFill="1" applyBorder="1" applyAlignment="1">
      <alignment horizontal="left"/>
    </xf>
    <xf numFmtId="0" fontId="16" fillId="2" borderId="28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166" fontId="0" fillId="0" borderId="22" xfId="0" applyNumberFormat="1" applyBorder="1"/>
    <xf numFmtId="166" fontId="0" fillId="0" borderId="35" xfId="0" applyNumberFormat="1" applyFill="1" applyBorder="1"/>
    <xf numFmtId="166" fontId="0" fillId="0" borderId="21" xfId="0" applyNumberFormat="1" applyBorder="1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0" fillId="3" borderId="23" xfId="0" applyFill="1" applyBorder="1" applyAlignment="1">
      <alignment horizont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121920</xdr:colOff>
          <xdr:row>0</xdr:row>
          <xdr:rowOff>99060</xdr:rowOff>
        </xdr:from>
        <xdr:to>
          <xdr:col>8</xdr:col>
          <xdr:colOff>556260</xdr:colOff>
          <xdr:row>3</xdr:row>
          <xdr:rowOff>106680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D5BD9EF6-D1D1-4674-8367-1F7E164C0A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4"/>
  <sheetViews>
    <sheetView workbookViewId="0">
      <selection activeCell="G17" sqref="G17"/>
    </sheetView>
  </sheetViews>
  <sheetFormatPr defaultRowHeight="13.2" x14ac:dyDescent="0.25"/>
  <cols>
    <col min="1" max="1" width="20.44140625" customWidth="1"/>
    <col min="2" max="2" width="10.44140625" customWidth="1"/>
    <col min="3" max="3" width="14.33203125" customWidth="1"/>
    <col min="4" max="4" width="10.5546875" customWidth="1"/>
    <col min="8" max="9" width="9.6640625" customWidth="1"/>
    <col min="10" max="10" width="10.5546875" customWidth="1"/>
  </cols>
  <sheetData>
    <row r="1" spans="1:15" ht="15" x14ac:dyDescent="0.25">
      <c r="A1" s="17" t="s">
        <v>0</v>
      </c>
      <c r="B1" s="18"/>
      <c r="C1" s="18"/>
      <c r="D1" s="19"/>
    </row>
    <row r="2" spans="1:15" x14ac:dyDescent="0.25">
      <c r="A2" s="13" t="s">
        <v>19</v>
      </c>
      <c r="B2" s="14"/>
      <c r="C2" s="14"/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5" t="s">
        <v>18</v>
      </c>
    </row>
    <row r="3" spans="1:15" x14ac:dyDescent="0.25">
      <c r="A3" s="23"/>
      <c r="B3" s="24"/>
      <c r="C3" s="25" t="s">
        <v>12</v>
      </c>
      <c r="D3" s="34">
        <v>6.9780000000000005E-4</v>
      </c>
      <c r="E3" s="35">
        <v>1.0095000000000001</v>
      </c>
      <c r="F3" s="35">
        <v>964.79</v>
      </c>
      <c r="G3" s="36">
        <v>1.3160000000000001</v>
      </c>
      <c r="H3" s="36">
        <v>0.9</v>
      </c>
      <c r="I3" s="37">
        <v>1938.4628410056107</v>
      </c>
    </row>
    <row r="4" spans="1:15" x14ac:dyDescent="0.25">
      <c r="A4" s="26"/>
      <c r="B4" s="27"/>
      <c r="C4" s="28" t="s">
        <v>13</v>
      </c>
      <c r="D4" s="38"/>
      <c r="E4" s="39">
        <v>1432.93</v>
      </c>
      <c r="F4" s="39">
        <v>1211.52</v>
      </c>
      <c r="G4" s="39">
        <v>881.68</v>
      </c>
      <c r="H4" s="40">
        <v>1800</v>
      </c>
      <c r="I4" s="41">
        <v>1816.8952448410496</v>
      </c>
    </row>
    <row r="5" spans="1:15" x14ac:dyDescent="0.25">
      <c r="A5" s="21" t="s">
        <v>16</v>
      </c>
      <c r="B5" s="22">
        <v>0.1</v>
      </c>
      <c r="C5" s="20" t="s">
        <v>15</v>
      </c>
      <c r="D5" s="47">
        <f t="shared" ref="D5:I5" si="0">SUM(J8:J22)</f>
        <v>4.3387169060537145</v>
      </c>
      <c r="E5" s="48">
        <f t="shared" si="0"/>
        <v>4.4317359231188185</v>
      </c>
      <c r="F5" s="48">
        <f t="shared" si="0"/>
        <v>22.718885713190652</v>
      </c>
      <c r="G5" s="48">
        <f t="shared" si="0"/>
        <v>2.3435371026778729</v>
      </c>
      <c r="H5" s="48">
        <f t="shared" si="0"/>
        <v>3.7146490173325648</v>
      </c>
      <c r="I5" s="49">
        <f t="shared" si="0"/>
        <v>23.799252159576625</v>
      </c>
    </row>
    <row r="6" spans="1:15" x14ac:dyDescent="0.25">
      <c r="A6" s="42" t="s">
        <v>17</v>
      </c>
      <c r="B6" s="43">
        <v>50</v>
      </c>
      <c r="C6" s="20" t="s">
        <v>20</v>
      </c>
      <c r="D6" s="50">
        <f>CHIINV($B$5,$B$23-2)</f>
        <v>7.7794403397348582</v>
      </c>
      <c r="E6" s="51">
        <f>CHIINV($B$5,$B$23-3)</f>
        <v>6.2513886311703235</v>
      </c>
      <c r="F6" s="51">
        <f>CHIINV($B$5,$B$23-3)</f>
        <v>6.2513886311703235</v>
      </c>
      <c r="G6" s="51">
        <f>CHIINV($B$5,$B$23-3)</f>
        <v>6.2513886311703235</v>
      </c>
      <c r="H6" s="51">
        <f>CHIINV($B$5,$B$23-3)</f>
        <v>6.2513886311703235</v>
      </c>
      <c r="I6" s="51">
        <f>CHIINV($B$5,$B$23-3)</f>
        <v>6.2513886311703235</v>
      </c>
      <c r="J6" s="52" t="s">
        <v>4</v>
      </c>
      <c r="K6" s="53" t="s">
        <v>5</v>
      </c>
      <c r="L6" s="53" t="s">
        <v>6</v>
      </c>
      <c r="M6" s="53" t="s">
        <v>7</v>
      </c>
      <c r="N6" s="53" t="s">
        <v>8</v>
      </c>
      <c r="O6" s="54" t="s">
        <v>18</v>
      </c>
    </row>
    <row r="7" spans="1:15" x14ac:dyDescent="0.25">
      <c r="A7" s="44" t="s">
        <v>1</v>
      </c>
      <c r="B7" s="45" t="s">
        <v>2</v>
      </c>
      <c r="C7" s="46" t="s">
        <v>3</v>
      </c>
      <c r="D7" s="10" t="s">
        <v>9</v>
      </c>
      <c r="E7" s="10" t="s">
        <v>9</v>
      </c>
      <c r="F7" s="10" t="s">
        <v>9</v>
      </c>
      <c r="G7" s="10" t="s">
        <v>9</v>
      </c>
      <c r="H7" s="10" t="s">
        <v>9</v>
      </c>
      <c r="I7" s="10" t="s">
        <v>9</v>
      </c>
      <c r="J7" s="55" t="s">
        <v>14</v>
      </c>
      <c r="K7" s="10" t="s">
        <v>14</v>
      </c>
      <c r="L7" s="10" t="s">
        <v>14</v>
      </c>
      <c r="M7" s="10" t="s">
        <v>14</v>
      </c>
      <c r="N7" s="10" t="s">
        <v>14</v>
      </c>
      <c r="O7" s="56" t="s">
        <v>14</v>
      </c>
    </row>
    <row r="8" spans="1:15" x14ac:dyDescent="0.25">
      <c r="A8" s="1">
        <v>1</v>
      </c>
      <c r="B8" s="2">
        <v>500</v>
      </c>
      <c r="C8" s="57">
        <v>14</v>
      </c>
      <c r="D8" s="29">
        <f>IF(B8&gt;0,(1-EXP(-$D$3*B8))*B6,"")</f>
        <v>14.726816344496774</v>
      </c>
      <c r="E8" s="30">
        <f>IF(B8&gt;0,WEIBULL(B8,E3,E4,TRUE)*B6,"")</f>
        <v>14.605361635676296</v>
      </c>
      <c r="F8" s="30">
        <f>IF(B8&gt;0,NORMDIST(B8,$F$4,$F$3,TRUE)*$B$6,"")</f>
        <v>11.520657451893076</v>
      </c>
      <c r="G8" s="30">
        <f>IF(B8&gt;0,LOGNORMDIST(B8,LN($G$4),$G$3)*$B$6,"")</f>
        <v>16.661362835117774</v>
      </c>
      <c r="H8" s="30">
        <f>IF(B8&gt;0,GAMMADIST(B8,$H$3,$H$4,TRUE)*$B$6,"")</f>
        <v>14.43843931051571</v>
      </c>
      <c r="I8" s="58">
        <f>IF(B8&gt;0,(1-EXP(-EXP((B8-$I$4)/$I$3)))*$B$6,"")</f>
        <v>19.883393236190276</v>
      </c>
      <c r="J8" s="59">
        <f>IF($B8&gt;0,($C8-D8)^2/D8,"")</f>
        <v>3.5870753479251317E-2</v>
      </c>
      <c r="K8" s="59">
        <f t="shared" ref="K8:O22" si="1">IF($B8&gt;0,($C8-E8)^2/E8,"")</f>
        <v>2.5090971322033372E-2</v>
      </c>
      <c r="L8" s="59">
        <f t="shared" si="1"/>
        <v>0.53357540544209459</v>
      </c>
      <c r="M8" s="59">
        <f t="shared" si="1"/>
        <v>0.42510640997609916</v>
      </c>
      <c r="N8" s="59">
        <f t="shared" si="1"/>
        <v>1.3313698584132153E-2</v>
      </c>
      <c r="O8" s="60">
        <f t="shared" si="1"/>
        <v>1.7408656339727306</v>
      </c>
    </row>
    <row r="9" spans="1:15" x14ac:dyDescent="0.25">
      <c r="A9" s="1">
        <v>2</v>
      </c>
      <c r="B9" s="2">
        <v>1000</v>
      </c>
      <c r="C9" s="57">
        <v>13</v>
      </c>
      <c r="D9" s="61">
        <f t="shared" ref="D9:D21" si="2">IF(B9&gt;0,(EXP(-$D$3*B8)-EXP(-$D$3*B9))*$B$6,"")</f>
        <v>10.389233951606025</v>
      </c>
      <c r="E9" s="62">
        <f t="shared" ref="E9:E21" si="3">IF(B9&gt;0,(WEIBULL(B9,$E$3,$E$4,TRUE)-WEIBULL(B8,$E$3,$E$4,TRUE))*$B$6,"")</f>
        <v>10.45314019743323</v>
      </c>
      <c r="F9" s="62">
        <f t="shared" ref="F9:F21" si="4">IF(B9&gt;0,(NORMDIST(B9,$F$4,$F$3,TRUE)-NORMDIST(B8,$F$4,$F$3,TRUE))*$B$6,"")</f>
        <v>9.1409312892687922</v>
      </c>
      <c r="G9" s="62">
        <f t="shared" ref="G9:G21" si="5">IF(B9&gt;0,(LOGNORMDIST(B9,LN($G$4),$G$3)-LOGNORMDIST(B8,LN($G$4),$G$3))*$B$6,"")</f>
        <v>10.24443832048815</v>
      </c>
      <c r="H9" s="62">
        <f t="shared" ref="H9:H21" si="6">IF(B9&gt;0,(GAMMADIST(B9,$H$3,$H$4,TRUE)-GAMMADIST(B8,$H$3,$H$4,TRUE))*$B$6,"")</f>
        <v>9.4168701378286652</v>
      </c>
      <c r="I9" s="63">
        <f>IF(B9&gt;0,(EXP(-EXP((B8-$I$4)/$I$3))-EXP(-EXP((B9-$I$4)/$I$3)))*$B$6,"")</f>
        <v>4.1735360967069752</v>
      </c>
      <c r="J9" s="64">
        <f t="shared" ref="J9:J22" si="7">IF($B9&gt;0,($C9-D9)^2/D9,"")</f>
        <v>0.65607333429939951</v>
      </c>
      <c r="K9" s="64">
        <f t="shared" si="1"/>
        <v>0.62053074305108868</v>
      </c>
      <c r="L9" s="64">
        <f t="shared" si="1"/>
        <v>1.6292006626970184</v>
      </c>
      <c r="M9" s="64">
        <f t="shared" si="1"/>
        <v>0.74119438587554998</v>
      </c>
      <c r="N9" s="64">
        <f t="shared" si="1"/>
        <v>1.3633850123523454</v>
      </c>
      <c r="O9" s="65">
        <f t="shared" si="1"/>
        <v>18.666776381209424</v>
      </c>
    </row>
    <row r="10" spans="1:15" x14ac:dyDescent="0.25">
      <c r="A10" s="1">
        <v>3</v>
      </c>
      <c r="B10" s="2">
        <v>1500</v>
      </c>
      <c r="C10" s="57">
        <v>6</v>
      </c>
      <c r="D10" s="61">
        <f t="shared" si="2"/>
        <v>7.3292271442997743</v>
      </c>
      <c r="E10" s="62">
        <f t="shared" si="3"/>
        <v>7.3966245490550193</v>
      </c>
      <c r="F10" s="62">
        <f t="shared" si="4"/>
        <v>10.215064137837476</v>
      </c>
      <c r="G10" s="62">
        <f t="shared" si="5"/>
        <v>5.935069935062776</v>
      </c>
      <c r="H10" s="62">
        <f t="shared" si="6"/>
        <v>6.764056436602961</v>
      </c>
      <c r="I10" s="63">
        <f t="shared" ref="I10:I21" si="8">IF(B10&gt;0,(EXP(-EXP((B9-$I$4)/$I$3))-EXP(-EXP((B10-$I$4)/$I$3)))*$B$6,"")</f>
        <v>4.5549110211076131</v>
      </c>
      <c r="J10" s="64">
        <f t="shared" si="7"/>
        <v>0.24106836455702935</v>
      </c>
      <c r="K10" s="64">
        <f t="shared" si="1"/>
        <v>0.26370949587705333</v>
      </c>
      <c r="L10" s="64">
        <f t="shared" si="1"/>
        <v>1.7392710849728255</v>
      </c>
      <c r="M10" s="64">
        <f t="shared" si="1"/>
        <v>7.1033928477331912E-4</v>
      </c>
      <c r="N10" s="64">
        <f t="shared" si="1"/>
        <v>8.6306529785195166E-2</v>
      </c>
      <c r="O10" s="65">
        <f t="shared" si="1"/>
        <v>0.45846826584297046</v>
      </c>
    </row>
    <row r="11" spans="1:15" x14ac:dyDescent="0.25">
      <c r="A11" s="1">
        <v>4</v>
      </c>
      <c r="B11" s="2">
        <v>2000</v>
      </c>
      <c r="C11" s="57">
        <v>4</v>
      </c>
      <c r="D11" s="61">
        <f t="shared" si="2"/>
        <v>5.1705035022757144</v>
      </c>
      <c r="E11" s="62">
        <f t="shared" si="3"/>
        <v>5.2171173386563794</v>
      </c>
      <c r="F11" s="62">
        <f t="shared" si="4"/>
        <v>8.7787873100408635</v>
      </c>
      <c r="G11" s="62">
        <f t="shared" si="5"/>
        <v>3.8170929723296942</v>
      </c>
      <c r="H11" s="62">
        <f t="shared" si="6"/>
        <v>4.9508610014377012</v>
      </c>
      <c r="I11" s="63">
        <f t="shared" si="8"/>
        <v>4.7290166944626293</v>
      </c>
      <c r="J11" s="64">
        <f t="shared" si="7"/>
        <v>0.26497969651054198</v>
      </c>
      <c r="K11" s="64">
        <f t="shared" si="1"/>
        <v>0.28394504472454557</v>
      </c>
      <c r="L11" s="64">
        <f t="shared" si="1"/>
        <v>2.6013625057856986</v>
      </c>
      <c r="M11" s="64">
        <f t="shared" si="1"/>
        <v>8.7645181853580438E-3</v>
      </c>
      <c r="N11" s="64">
        <f t="shared" si="1"/>
        <v>0.18262210225505263</v>
      </c>
      <c r="O11" s="65">
        <f t="shared" si="1"/>
        <v>0.11238390032065861</v>
      </c>
    </row>
    <row r="12" spans="1:15" x14ac:dyDescent="0.25">
      <c r="A12" s="1">
        <v>5</v>
      </c>
      <c r="B12" s="2">
        <v>2500</v>
      </c>
      <c r="C12" s="57">
        <v>1</v>
      </c>
      <c r="D12" s="61">
        <f t="shared" si="2"/>
        <v>3.6476023925438747</v>
      </c>
      <c r="E12" s="62">
        <f t="shared" si="3"/>
        <v>3.6731061620448759</v>
      </c>
      <c r="F12" s="62">
        <f t="shared" si="4"/>
        <v>5.8017659733292977</v>
      </c>
      <c r="G12" s="62">
        <f t="shared" si="5"/>
        <v>2.6324079396513489</v>
      </c>
      <c r="H12" s="62">
        <f t="shared" si="6"/>
        <v>3.6559438639434561</v>
      </c>
      <c r="I12" s="63">
        <f t="shared" si="8"/>
        <v>4.6032616886405915</v>
      </c>
      <c r="J12" s="64">
        <f t="shared" si="7"/>
        <v>1.9217550803598815</v>
      </c>
      <c r="K12" s="64">
        <f t="shared" si="1"/>
        <v>1.9453553037476805</v>
      </c>
      <c r="L12" s="64">
        <f t="shared" si="1"/>
        <v>3.9741272861773158</v>
      </c>
      <c r="M12" s="64">
        <f t="shared" si="1"/>
        <v>1.0122882708634049</v>
      </c>
      <c r="N12" s="64">
        <f t="shared" si="1"/>
        <v>1.9294710397467951</v>
      </c>
      <c r="O12" s="65">
        <f t="shared" si="1"/>
        <v>2.820498958133153</v>
      </c>
    </row>
    <row r="13" spans="1:15" x14ac:dyDescent="0.25">
      <c r="A13" s="1">
        <v>6</v>
      </c>
      <c r="B13" s="2"/>
      <c r="C13" s="57"/>
      <c r="D13" s="61" t="str">
        <f t="shared" si="2"/>
        <v/>
      </c>
      <c r="E13" s="62" t="str">
        <f t="shared" si="3"/>
        <v/>
      </c>
      <c r="F13" s="62" t="str">
        <f t="shared" si="4"/>
        <v/>
      </c>
      <c r="G13" s="62" t="str">
        <f t="shared" si="5"/>
        <v/>
      </c>
      <c r="H13" s="62" t="str">
        <f t="shared" si="6"/>
        <v/>
      </c>
      <c r="I13" s="63" t="str">
        <f t="shared" si="8"/>
        <v/>
      </c>
      <c r="J13" s="64" t="str">
        <f t="shared" si="7"/>
        <v/>
      </c>
      <c r="K13" s="64" t="str">
        <f t="shared" si="1"/>
        <v/>
      </c>
      <c r="L13" s="64" t="str">
        <f t="shared" si="1"/>
        <v/>
      </c>
      <c r="M13" s="64" t="str">
        <f t="shared" si="1"/>
        <v/>
      </c>
      <c r="N13" s="64" t="str">
        <f t="shared" si="1"/>
        <v/>
      </c>
      <c r="O13" s="66"/>
    </row>
    <row r="14" spans="1:15" x14ac:dyDescent="0.25">
      <c r="A14" s="1">
        <v>7</v>
      </c>
      <c r="B14" s="2"/>
      <c r="C14" s="57"/>
      <c r="D14" s="61" t="str">
        <f t="shared" si="2"/>
        <v/>
      </c>
      <c r="E14" s="62" t="str">
        <f t="shared" si="3"/>
        <v/>
      </c>
      <c r="F14" s="62" t="str">
        <f t="shared" si="4"/>
        <v/>
      </c>
      <c r="G14" s="62" t="str">
        <f t="shared" si="5"/>
        <v/>
      </c>
      <c r="H14" s="62" t="str">
        <f t="shared" si="6"/>
        <v/>
      </c>
      <c r="I14" s="63" t="str">
        <f t="shared" si="8"/>
        <v/>
      </c>
      <c r="J14" s="64" t="str">
        <f t="shared" si="7"/>
        <v/>
      </c>
      <c r="K14" s="64" t="str">
        <f t="shared" si="1"/>
        <v/>
      </c>
      <c r="L14" s="64" t="str">
        <f t="shared" si="1"/>
        <v/>
      </c>
      <c r="M14" s="64" t="str">
        <f t="shared" si="1"/>
        <v/>
      </c>
      <c r="N14" s="64" t="str">
        <f t="shared" si="1"/>
        <v/>
      </c>
      <c r="O14" s="66"/>
    </row>
    <row r="15" spans="1:15" x14ac:dyDescent="0.25">
      <c r="A15" s="1">
        <v>8</v>
      </c>
      <c r="B15" s="2"/>
      <c r="C15" s="57"/>
      <c r="D15" s="61" t="str">
        <f t="shared" si="2"/>
        <v/>
      </c>
      <c r="E15" s="62" t="str">
        <f t="shared" si="3"/>
        <v/>
      </c>
      <c r="F15" s="62" t="str">
        <f t="shared" si="4"/>
        <v/>
      </c>
      <c r="G15" s="62" t="str">
        <f t="shared" si="5"/>
        <v/>
      </c>
      <c r="H15" s="62" t="str">
        <f t="shared" si="6"/>
        <v/>
      </c>
      <c r="I15" s="63" t="str">
        <f t="shared" si="8"/>
        <v/>
      </c>
      <c r="J15" s="64" t="str">
        <f t="shared" si="7"/>
        <v/>
      </c>
      <c r="K15" s="64" t="str">
        <f t="shared" si="1"/>
        <v/>
      </c>
      <c r="L15" s="64" t="str">
        <f t="shared" si="1"/>
        <v/>
      </c>
      <c r="M15" s="64" t="str">
        <f t="shared" si="1"/>
        <v/>
      </c>
      <c r="N15" s="64" t="str">
        <f t="shared" si="1"/>
        <v/>
      </c>
      <c r="O15" s="66"/>
    </row>
    <row r="16" spans="1:15" x14ac:dyDescent="0.25">
      <c r="A16" s="1">
        <v>9</v>
      </c>
      <c r="B16" s="2"/>
      <c r="C16" s="57"/>
      <c r="D16" s="61" t="str">
        <f t="shared" si="2"/>
        <v/>
      </c>
      <c r="E16" s="62" t="str">
        <f t="shared" si="3"/>
        <v/>
      </c>
      <c r="F16" s="62" t="str">
        <f t="shared" si="4"/>
        <v/>
      </c>
      <c r="G16" s="62" t="str">
        <f t="shared" si="5"/>
        <v/>
      </c>
      <c r="H16" s="62" t="str">
        <f t="shared" si="6"/>
        <v/>
      </c>
      <c r="I16" s="63" t="str">
        <f t="shared" si="8"/>
        <v/>
      </c>
      <c r="J16" s="64" t="str">
        <f t="shared" si="7"/>
        <v/>
      </c>
      <c r="K16" s="64" t="str">
        <f t="shared" si="1"/>
        <v/>
      </c>
      <c r="L16" s="64" t="str">
        <f t="shared" si="1"/>
        <v/>
      </c>
      <c r="M16" s="64" t="str">
        <f t="shared" si="1"/>
        <v/>
      </c>
      <c r="N16" s="64" t="str">
        <f t="shared" si="1"/>
        <v/>
      </c>
      <c r="O16" s="66"/>
    </row>
    <row r="17" spans="1:15" x14ac:dyDescent="0.25">
      <c r="A17" s="1">
        <v>10</v>
      </c>
      <c r="B17" s="2"/>
      <c r="C17" s="57"/>
      <c r="D17" s="61" t="str">
        <f t="shared" si="2"/>
        <v/>
      </c>
      <c r="E17" s="62" t="str">
        <f t="shared" si="3"/>
        <v/>
      </c>
      <c r="F17" s="62" t="str">
        <f t="shared" si="4"/>
        <v/>
      </c>
      <c r="G17" s="62" t="str">
        <f t="shared" si="5"/>
        <v/>
      </c>
      <c r="H17" s="62" t="str">
        <f t="shared" si="6"/>
        <v/>
      </c>
      <c r="I17" s="63" t="str">
        <f t="shared" si="8"/>
        <v/>
      </c>
      <c r="J17" s="64" t="str">
        <f t="shared" si="7"/>
        <v/>
      </c>
      <c r="K17" s="64" t="str">
        <f t="shared" si="1"/>
        <v/>
      </c>
      <c r="L17" s="64" t="str">
        <f t="shared" si="1"/>
        <v/>
      </c>
      <c r="M17" s="64" t="str">
        <f t="shared" si="1"/>
        <v/>
      </c>
      <c r="N17" s="64" t="str">
        <f t="shared" si="1"/>
        <v/>
      </c>
      <c r="O17" s="66"/>
    </row>
    <row r="18" spans="1:15" x14ac:dyDescent="0.25">
      <c r="A18" s="1">
        <v>11</v>
      </c>
      <c r="B18" s="2"/>
      <c r="C18" s="57"/>
      <c r="D18" s="61" t="str">
        <f t="shared" si="2"/>
        <v/>
      </c>
      <c r="E18" s="62" t="str">
        <f t="shared" si="3"/>
        <v/>
      </c>
      <c r="F18" s="62" t="str">
        <f t="shared" si="4"/>
        <v/>
      </c>
      <c r="G18" s="62" t="str">
        <f t="shared" si="5"/>
        <v/>
      </c>
      <c r="H18" s="62" t="str">
        <f t="shared" si="6"/>
        <v/>
      </c>
      <c r="I18" s="63" t="str">
        <f t="shared" si="8"/>
        <v/>
      </c>
      <c r="J18" s="64" t="str">
        <f t="shared" si="7"/>
        <v/>
      </c>
      <c r="K18" s="64" t="str">
        <f t="shared" si="1"/>
        <v/>
      </c>
      <c r="L18" s="64" t="str">
        <f t="shared" si="1"/>
        <v/>
      </c>
      <c r="M18" s="64" t="str">
        <f t="shared" si="1"/>
        <v/>
      </c>
      <c r="N18" s="64" t="str">
        <f t="shared" si="1"/>
        <v/>
      </c>
      <c r="O18" s="66"/>
    </row>
    <row r="19" spans="1:15" x14ac:dyDescent="0.25">
      <c r="A19" s="1">
        <v>12</v>
      </c>
      <c r="B19" s="2"/>
      <c r="C19" s="57"/>
      <c r="D19" s="61" t="str">
        <f t="shared" si="2"/>
        <v/>
      </c>
      <c r="E19" s="62" t="str">
        <f t="shared" si="3"/>
        <v/>
      </c>
      <c r="F19" s="62" t="str">
        <f t="shared" si="4"/>
        <v/>
      </c>
      <c r="G19" s="62" t="str">
        <f t="shared" si="5"/>
        <v/>
      </c>
      <c r="H19" s="62" t="str">
        <f t="shared" si="6"/>
        <v/>
      </c>
      <c r="I19" s="63" t="str">
        <f t="shared" si="8"/>
        <v/>
      </c>
      <c r="J19" s="64" t="str">
        <f t="shared" si="7"/>
        <v/>
      </c>
      <c r="K19" s="64" t="str">
        <f t="shared" si="1"/>
        <v/>
      </c>
      <c r="L19" s="64" t="str">
        <f t="shared" si="1"/>
        <v/>
      </c>
      <c r="M19" s="64" t="str">
        <f t="shared" si="1"/>
        <v/>
      </c>
      <c r="N19" s="64" t="str">
        <f t="shared" si="1"/>
        <v/>
      </c>
      <c r="O19" s="66"/>
    </row>
    <row r="20" spans="1:15" x14ac:dyDescent="0.25">
      <c r="A20" s="1">
        <v>13</v>
      </c>
      <c r="B20" s="2"/>
      <c r="C20" s="57"/>
      <c r="D20" s="61" t="str">
        <f t="shared" si="2"/>
        <v/>
      </c>
      <c r="E20" s="62" t="str">
        <f t="shared" si="3"/>
        <v/>
      </c>
      <c r="F20" s="62" t="str">
        <f t="shared" si="4"/>
        <v/>
      </c>
      <c r="G20" s="62" t="str">
        <f t="shared" si="5"/>
        <v/>
      </c>
      <c r="H20" s="62" t="str">
        <f t="shared" si="6"/>
        <v/>
      </c>
      <c r="I20" s="63" t="str">
        <f t="shared" si="8"/>
        <v/>
      </c>
      <c r="J20" s="64" t="str">
        <f t="shared" si="7"/>
        <v/>
      </c>
      <c r="K20" s="64" t="str">
        <f t="shared" si="1"/>
        <v/>
      </c>
      <c r="L20" s="64" t="str">
        <f t="shared" si="1"/>
        <v/>
      </c>
      <c r="M20" s="64" t="str">
        <f t="shared" si="1"/>
        <v/>
      </c>
      <c r="N20" s="64" t="str">
        <f t="shared" si="1"/>
        <v/>
      </c>
      <c r="O20" s="66"/>
    </row>
    <row r="21" spans="1:15" ht="13.8" thickBot="1" x14ac:dyDescent="0.3">
      <c r="A21" s="1">
        <v>14</v>
      </c>
      <c r="B21" s="2"/>
      <c r="C21" s="57"/>
      <c r="D21" s="61" t="str">
        <f t="shared" si="2"/>
        <v/>
      </c>
      <c r="E21" s="62" t="str">
        <f t="shared" si="3"/>
        <v/>
      </c>
      <c r="F21" s="62" t="str">
        <f t="shared" si="4"/>
        <v/>
      </c>
      <c r="G21" s="62" t="str">
        <f t="shared" si="5"/>
        <v/>
      </c>
      <c r="H21" s="62" t="str">
        <f t="shared" si="6"/>
        <v/>
      </c>
      <c r="I21" s="63" t="str">
        <f t="shared" si="8"/>
        <v/>
      </c>
      <c r="J21" s="64" t="str">
        <f t="shared" si="7"/>
        <v/>
      </c>
      <c r="K21" s="64" t="str">
        <f t="shared" si="1"/>
        <v/>
      </c>
      <c r="L21" s="64" t="str">
        <f t="shared" si="1"/>
        <v/>
      </c>
      <c r="M21" s="64" t="str">
        <f t="shared" si="1"/>
        <v/>
      </c>
      <c r="N21" s="64" t="str">
        <f t="shared" si="1"/>
        <v/>
      </c>
      <c r="O21" s="66"/>
    </row>
    <row r="22" spans="1:15" ht="13.8" thickBot="1" x14ac:dyDescent="0.3">
      <c r="A22" s="269" t="s">
        <v>96</v>
      </c>
      <c r="B22" s="9" t="s">
        <v>95</v>
      </c>
      <c r="C22" s="270">
        <f>B6-SUM(C8:C21)</f>
        <v>12</v>
      </c>
      <c r="D22" s="31">
        <f t="shared" ref="D22:I22" si="9">$B$6-SUM(D8:D21)</f>
        <v>8.7366166647778414</v>
      </c>
      <c r="E22" s="32">
        <f t="shared" si="9"/>
        <v>8.654650117134203</v>
      </c>
      <c r="F22" s="32">
        <f t="shared" si="9"/>
        <v>4.5427938376304979</v>
      </c>
      <c r="G22" s="32">
        <f t="shared" si="9"/>
        <v>10.709627997350253</v>
      </c>
      <c r="H22" s="32">
        <f t="shared" si="9"/>
        <v>10.773829249671508</v>
      </c>
      <c r="I22" s="32">
        <f t="shared" si="9"/>
        <v>12.055881262891909</v>
      </c>
      <c r="J22" s="67">
        <f t="shared" si="7"/>
        <v>1.218969676847611</v>
      </c>
      <c r="K22" s="67">
        <f t="shared" si="1"/>
        <v>1.2931043643964173</v>
      </c>
      <c r="L22" s="67">
        <f t="shared" si="1"/>
        <v>12.241348768115698</v>
      </c>
      <c r="M22" s="67">
        <f t="shared" si="1"/>
        <v>0.15547317849268738</v>
      </c>
      <c r="N22" s="67">
        <f t="shared" si="1"/>
        <v>0.13955063460904391</v>
      </c>
      <c r="O22" s="68">
        <f t="shared" si="1"/>
        <v>2.5902009768513027E-4</v>
      </c>
    </row>
    <row r="23" spans="1:15" x14ac:dyDescent="0.25">
      <c r="A23" s="3" t="s">
        <v>11</v>
      </c>
      <c r="B23" s="4">
        <f>COUNT(B8:B21)+1</f>
        <v>6</v>
      </c>
      <c r="C23" s="5"/>
    </row>
    <row r="24" spans="1:15" ht="13.8" thickBot="1" x14ac:dyDescent="0.3">
      <c r="A24" s="6" t="s">
        <v>10</v>
      </c>
      <c r="B24" s="7">
        <f>INT(1+3.3*LOG10(B6))</f>
        <v>6</v>
      </c>
      <c r="C24" s="8"/>
    </row>
  </sheetData>
  <sheetProtection password="DC2F" sheet="1" formatCells="0"/>
  <protectedRanges>
    <protectedRange sqref="B8:C21" name="Range3"/>
    <protectedRange sqref="B5:B6" name="Range2"/>
    <protectedRange sqref="D3:I4" name="Range1"/>
  </protectedRanges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K13" sqref="K13"/>
    </sheetView>
  </sheetViews>
  <sheetFormatPr defaultRowHeight="13.2" x14ac:dyDescent="0.25"/>
  <cols>
    <col min="1" max="1" width="11.6640625" customWidth="1"/>
    <col min="2" max="3" width="13.33203125" customWidth="1"/>
    <col min="4" max="4" width="12.5546875" customWidth="1"/>
    <col min="5" max="5" width="13.44140625" customWidth="1"/>
    <col min="7" max="7" width="17.6640625" customWidth="1"/>
    <col min="8" max="8" width="10.109375" customWidth="1"/>
    <col min="10" max="10" width="5.5546875" customWidth="1"/>
  </cols>
  <sheetData>
    <row r="1" spans="1:16" ht="15.6" thickBot="1" x14ac:dyDescent="0.3">
      <c r="A1" s="17" t="s">
        <v>62</v>
      </c>
      <c r="B1" s="18"/>
      <c r="C1" s="18"/>
      <c r="D1" s="18"/>
      <c r="E1" s="98"/>
    </row>
    <row r="2" spans="1:16" ht="16.2" thickBot="1" x14ac:dyDescent="0.35">
      <c r="A2" s="165" t="s">
        <v>68</v>
      </c>
      <c r="B2" s="166">
        <v>0.1</v>
      </c>
      <c r="C2" s="172" t="s">
        <v>64</v>
      </c>
      <c r="D2" s="173">
        <f>(2*B60*(LN((1/B60)*B58)-(1/B60)*B59))/(1+(B60+1)/(6*B60))</f>
        <v>18.25808296901922</v>
      </c>
      <c r="E2" s="161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</row>
    <row r="3" spans="1:16" ht="14.4" thickBot="1" x14ac:dyDescent="0.3">
      <c r="A3" s="271"/>
      <c r="B3" s="271"/>
      <c r="C3" s="70" t="s">
        <v>65</v>
      </c>
      <c r="D3" s="163">
        <f>CHIINV(1-B2/2,B60-1)</f>
        <v>10.117013063859044</v>
      </c>
      <c r="E3" s="162"/>
      <c r="F3" s="146"/>
      <c r="G3" s="146"/>
      <c r="H3" s="146"/>
      <c r="I3" s="146"/>
      <c r="J3" s="146"/>
      <c r="K3" s="150"/>
      <c r="L3" s="150"/>
      <c r="M3" s="150"/>
      <c r="N3" s="150"/>
      <c r="O3" s="150"/>
      <c r="P3" s="150"/>
    </row>
    <row r="4" spans="1:16" ht="14.4" thickBot="1" x14ac:dyDescent="0.3">
      <c r="A4" s="271"/>
      <c r="B4" s="271"/>
      <c r="C4" s="71" t="s">
        <v>66</v>
      </c>
      <c r="D4" s="164">
        <f>CHIINV(B2/2,B60-1)</f>
        <v>30.143527205646155</v>
      </c>
      <c r="E4" s="160"/>
      <c r="F4" s="146"/>
      <c r="G4" s="146"/>
      <c r="H4" s="146"/>
      <c r="I4" s="146"/>
      <c r="J4" s="146"/>
      <c r="K4" s="150"/>
      <c r="L4" s="150"/>
      <c r="M4" s="150"/>
      <c r="N4" s="150"/>
      <c r="O4" s="150"/>
      <c r="P4" s="150"/>
    </row>
    <row r="5" spans="1:16" ht="14.4" thickBot="1" x14ac:dyDescent="0.3">
      <c r="A5" s="157"/>
      <c r="B5" s="158"/>
      <c r="C5" s="158"/>
      <c r="D5" s="159"/>
      <c r="E5" s="160"/>
      <c r="F5" s="151"/>
      <c r="G5" s="146"/>
      <c r="H5" s="146"/>
      <c r="I5" s="146"/>
      <c r="J5" s="146"/>
      <c r="K5" s="150"/>
      <c r="L5" s="150"/>
      <c r="M5" s="150"/>
      <c r="N5" s="150"/>
      <c r="O5" s="150"/>
      <c r="P5" s="150"/>
    </row>
    <row r="6" spans="1:16" ht="14.4" thickBot="1" x14ac:dyDescent="0.3">
      <c r="A6" s="156"/>
      <c r="B6" s="180" t="s">
        <v>67</v>
      </c>
      <c r="C6" s="181"/>
      <c r="D6" s="177" t="str">
        <f>IF(D2&lt;D3,"The exponential distribution is rejected","")</f>
        <v/>
      </c>
      <c r="E6" s="167"/>
      <c r="F6" s="146"/>
      <c r="G6" s="146"/>
      <c r="H6" s="146"/>
      <c r="I6" s="146"/>
      <c r="J6" s="146"/>
      <c r="K6" s="150"/>
      <c r="L6" s="150"/>
      <c r="M6" s="150"/>
      <c r="N6" s="150"/>
      <c r="O6" s="150"/>
      <c r="P6" s="150"/>
    </row>
    <row r="7" spans="1:16" ht="14.4" thickBot="1" x14ac:dyDescent="0.3">
      <c r="A7" s="76" t="s">
        <v>26</v>
      </c>
      <c r="B7" s="178" t="s">
        <v>27</v>
      </c>
      <c r="C7" s="179" t="s">
        <v>28</v>
      </c>
      <c r="D7" s="151" t="str">
        <f>IF(D2&gt;D4,"The exponential distribution is rejected","")</f>
        <v/>
      </c>
      <c r="E7" s="146"/>
      <c r="F7" s="146"/>
      <c r="G7" s="146"/>
      <c r="H7" s="146"/>
      <c r="I7" s="146"/>
      <c r="J7" s="146"/>
      <c r="K7" s="150"/>
      <c r="L7" s="150"/>
      <c r="M7" s="150"/>
      <c r="N7" s="150"/>
      <c r="O7" s="150"/>
      <c r="P7" s="150"/>
    </row>
    <row r="8" spans="1:16" ht="13.8" x14ac:dyDescent="0.25">
      <c r="A8" s="16">
        <v>1</v>
      </c>
      <c r="B8" s="2">
        <v>50.1</v>
      </c>
      <c r="C8" s="174">
        <f t="shared" ref="C8:C57" si="0">IF(B8&gt;0,LN(B8),"")</f>
        <v>3.9140210080908191</v>
      </c>
      <c r="D8" s="146"/>
      <c r="E8" s="146"/>
      <c r="F8" s="146"/>
      <c r="G8" s="152"/>
      <c r="H8" s="147"/>
      <c r="I8" s="146"/>
      <c r="J8" s="146"/>
      <c r="K8" s="150"/>
      <c r="L8" s="150"/>
      <c r="M8" s="150"/>
      <c r="N8" s="150"/>
      <c r="O8" s="150"/>
      <c r="P8" s="150"/>
    </row>
    <row r="9" spans="1:16" ht="13.8" x14ac:dyDescent="0.25">
      <c r="A9" s="16">
        <v>2</v>
      </c>
      <c r="B9" s="2">
        <v>20.9</v>
      </c>
      <c r="C9" s="175">
        <f t="shared" si="0"/>
        <v>3.039749158970765</v>
      </c>
      <c r="D9" s="146"/>
      <c r="E9" s="146"/>
      <c r="F9" s="146"/>
      <c r="G9" s="152"/>
      <c r="H9" s="147"/>
      <c r="I9" s="146"/>
      <c r="J9" s="146"/>
      <c r="K9" s="150"/>
      <c r="L9" s="150"/>
      <c r="M9" s="150"/>
      <c r="N9" s="150"/>
      <c r="O9" s="150"/>
      <c r="P9" s="150"/>
    </row>
    <row r="10" spans="1:16" ht="13.8" x14ac:dyDescent="0.25">
      <c r="A10" s="16">
        <v>3</v>
      </c>
      <c r="B10" s="2">
        <v>31.1</v>
      </c>
      <c r="C10" s="175">
        <f t="shared" si="0"/>
        <v>3.4372078191851885</v>
      </c>
      <c r="D10" s="146"/>
      <c r="E10" s="146"/>
      <c r="F10" s="146"/>
      <c r="G10" s="152"/>
      <c r="H10" s="153"/>
      <c r="I10" s="146"/>
      <c r="J10" s="146"/>
      <c r="K10" s="150"/>
      <c r="L10" s="150"/>
      <c r="M10" s="150"/>
      <c r="N10" s="150"/>
      <c r="O10" s="150"/>
      <c r="P10" s="150"/>
    </row>
    <row r="11" spans="1:16" ht="13.8" x14ac:dyDescent="0.25">
      <c r="A11" s="16">
        <v>4</v>
      </c>
      <c r="B11" s="2">
        <v>96.5</v>
      </c>
      <c r="C11" s="175">
        <f t="shared" si="0"/>
        <v>4.5695430083449402</v>
      </c>
      <c r="D11" s="146"/>
      <c r="E11" s="146"/>
      <c r="F11" s="146"/>
      <c r="G11" s="146"/>
      <c r="H11" s="148"/>
      <c r="I11" s="146"/>
      <c r="J11" s="146"/>
      <c r="K11" s="150"/>
      <c r="L11" s="150"/>
      <c r="M11" s="150"/>
      <c r="N11" s="150"/>
      <c r="O11" s="150"/>
      <c r="P11" s="150"/>
    </row>
    <row r="12" spans="1:16" ht="13.8" x14ac:dyDescent="0.25">
      <c r="A12" s="16">
        <v>5</v>
      </c>
      <c r="B12" s="2">
        <v>36.299999999999997</v>
      </c>
      <c r="C12" s="175">
        <f t="shared" si="0"/>
        <v>3.591817741270805</v>
      </c>
      <c r="D12" s="146"/>
      <c r="E12" s="146"/>
      <c r="F12" s="146"/>
      <c r="G12" s="146"/>
      <c r="H12" s="148"/>
      <c r="I12" s="146"/>
      <c r="J12" s="146"/>
      <c r="K12" s="150"/>
      <c r="L12" s="150"/>
      <c r="M12" s="150"/>
      <c r="N12" s="150"/>
      <c r="O12" s="150"/>
      <c r="P12" s="150"/>
    </row>
    <row r="13" spans="1:16" ht="13.8" x14ac:dyDescent="0.25">
      <c r="A13" s="16">
        <v>6</v>
      </c>
      <c r="B13" s="2">
        <v>99.1</v>
      </c>
      <c r="C13" s="175">
        <f t="shared" si="0"/>
        <v>4.5961294413359424</v>
      </c>
      <c r="D13" s="146"/>
      <c r="E13" s="146"/>
      <c r="F13" s="146"/>
      <c r="G13" s="154"/>
      <c r="H13" s="154"/>
      <c r="I13" s="146"/>
      <c r="J13" s="146"/>
      <c r="K13" s="150"/>
      <c r="L13" s="150"/>
      <c r="M13" s="150"/>
      <c r="N13" s="150"/>
      <c r="O13" s="150"/>
      <c r="P13" s="150"/>
    </row>
    <row r="14" spans="1:16" ht="13.8" x14ac:dyDescent="0.25">
      <c r="A14" s="16">
        <v>7</v>
      </c>
      <c r="B14" s="2">
        <v>42.6</v>
      </c>
      <c r="C14" s="175">
        <f t="shared" si="0"/>
        <v>3.751854253275325</v>
      </c>
      <c r="D14" s="146"/>
      <c r="E14" s="146"/>
      <c r="F14" s="146"/>
      <c r="G14" s="146"/>
      <c r="H14" s="146"/>
      <c r="I14" s="146"/>
      <c r="J14" s="146"/>
      <c r="K14" s="150"/>
      <c r="L14" s="150"/>
      <c r="M14" s="150"/>
      <c r="N14" s="150"/>
      <c r="O14" s="150"/>
      <c r="P14" s="150"/>
    </row>
    <row r="15" spans="1:16" ht="13.8" x14ac:dyDescent="0.25">
      <c r="A15" s="16">
        <v>8</v>
      </c>
      <c r="B15" s="2">
        <v>84.9</v>
      </c>
      <c r="C15" s="175">
        <f t="shared" si="0"/>
        <v>4.4414740933173018</v>
      </c>
      <c r="D15" s="146"/>
      <c r="E15" s="146"/>
      <c r="F15" s="146"/>
      <c r="G15" s="146"/>
      <c r="H15" s="146"/>
      <c r="I15" s="146"/>
      <c r="J15" s="146"/>
      <c r="K15" s="150"/>
      <c r="L15" s="150"/>
      <c r="M15" s="150"/>
      <c r="N15" s="150"/>
      <c r="O15" s="150"/>
      <c r="P15" s="150"/>
    </row>
    <row r="16" spans="1:16" ht="13.8" x14ac:dyDescent="0.25">
      <c r="A16" s="16">
        <v>9</v>
      </c>
      <c r="B16" s="2">
        <v>6.2</v>
      </c>
      <c r="C16" s="175">
        <f t="shared" si="0"/>
        <v>1.824549292051046</v>
      </c>
      <c r="D16" s="146"/>
      <c r="E16" s="146"/>
      <c r="F16" s="146"/>
      <c r="G16" s="146"/>
      <c r="H16" s="146"/>
      <c r="I16" s="146"/>
      <c r="J16" s="146"/>
      <c r="K16" s="150"/>
      <c r="L16" s="150"/>
      <c r="M16" s="150"/>
      <c r="N16" s="150"/>
      <c r="O16" s="150"/>
      <c r="P16" s="150"/>
    </row>
    <row r="17" spans="1:16" ht="13.8" x14ac:dyDescent="0.25">
      <c r="A17" s="16">
        <v>10</v>
      </c>
      <c r="B17" s="2">
        <v>32</v>
      </c>
      <c r="C17" s="175">
        <f t="shared" si="0"/>
        <v>3.4657359027997265</v>
      </c>
      <c r="D17" s="146"/>
      <c r="E17" s="146"/>
      <c r="F17" s="146"/>
      <c r="G17" s="146"/>
      <c r="H17" s="146"/>
      <c r="I17" s="146"/>
      <c r="J17" s="146"/>
      <c r="K17" s="150"/>
      <c r="L17" s="150"/>
      <c r="M17" s="150"/>
      <c r="N17" s="150"/>
      <c r="O17" s="150"/>
      <c r="P17" s="150"/>
    </row>
    <row r="18" spans="1:16" ht="13.8" x14ac:dyDescent="0.25">
      <c r="A18" s="16">
        <v>11</v>
      </c>
      <c r="B18" s="2">
        <v>30.4</v>
      </c>
      <c r="C18" s="175">
        <f t="shared" si="0"/>
        <v>3.414442608412176</v>
      </c>
      <c r="D18" s="146"/>
      <c r="E18" s="146"/>
      <c r="F18" s="146"/>
      <c r="G18" s="152"/>
      <c r="H18" s="149"/>
      <c r="I18" s="146"/>
      <c r="J18" s="146"/>
      <c r="K18" s="150"/>
      <c r="L18" s="150"/>
      <c r="M18" s="150"/>
      <c r="N18" s="150"/>
      <c r="O18" s="150"/>
      <c r="P18" s="150"/>
    </row>
    <row r="19" spans="1:16" ht="13.8" x14ac:dyDescent="0.25">
      <c r="A19" s="16">
        <v>12</v>
      </c>
      <c r="B19" s="2">
        <v>87.7</v>
      </c>
      <c r="C19" s="175">
        <f t="shared" si="0"/>
        <v>4.4739218993781371</v>
      </c>
      <c r="D19" s="146"/>
      <c r="E19" s="146"/>
      <c r="F19" s="146"/>
      <c r="G19" s="146"/>
      <c r="H19" s="146"/>
      <c r="I19" s="146"/>
      <c r="J19" s="146"/>
      <c r="K19" s="150"/>
      <c r="L19" s="150"/>
      <c r="M19" s="150"/>
      <c r="N19" s="150"/>
      <c r="O19" s="150"/>
      <c r="P19" s="150"/>
    </row>
    <row r="20" spans="1:16" ht="13.8" x14ac:dyDescent="0.25">
      <c r="A20" s="16">
        <v>13</v>
      </c>
      <c r="B20" s="2">
        <v>14.2</v>
      </c>
      <c r="C20" s="175">
        <f t="shared" si="0"/>
        <v>2.653241964607215</v>
      </c>
      <c r="D20" s="146"/>
      <c r="E20" s="146"/>
      <c r="F20" s="146"/>
      <c r="G20" s="146"/>
      <c r="H20" s="146"/>
      <c r="I20" s="146"/>
      <c r="J20" s="146"/>
      <c r="K20" s="150"/>
      <c r="L20" s="150"/>
      <c r="M20" s="150"/>
      <c r="N20" s="150"/>
      <c r="O20" s="150"/>
      <c r="P20" s="150"/>
    </row>
    <row r="21" spans="1:16" ht="13.8" x14ac:dyDescent="0.25">
      <c r="A21" s="16">
        <v>14</v>
      </c>
      <c r="B21" s="2">
        <v>4.5999999999999996</v>
      </c>
      <c r="C21" s="175">
        <f t="shared" si="0"/>
        <v>1.5260563034950492</v>
      </c>
      <c r="D21" s="146"/>
      <c r="E21" s="146"/>
      <c r="F21" s="146"/>
      <c r="G21" s="146"/>
      <c r="H21" s="146"/>
      <c r="I21" s="146"/>
      <c r="J21" s="146"/>
      <c r="K21" s="150"/>
      <c r="L21" s="150"/>
      <c r="M21" s="150"/>
      <c r="N21" s="150"/>
      <c r="O21" s="150"/>
      <c r="P21" s="150"/>
    </row>
    <row r="22" spans="1:16" ht="13.8" x14ac:dyDescent="0.25">
      <c r="A22" s="16">
        <v>15</v>
      </c>
      <c r="B22" s="2">
        <v>2.5</v>
      </c>
      <c r="C22" s="175">
        <f t="shared" si="0"/>
        <v>0.91629073187415511</v>
      </c>
      <c r="D22" s="146"/>
      <c r="E22" s="146"/>
      <c r="F22" s="146"/>
      <c r="G22" s="146"/>
      <c r="H22" s="146"/>
      <c r="I22" s="146"/>
      <c r="J22" s="146"/>
      <c r="K22" s="150"/>
      <c r="L22" s="150"/>
      <c r="M22" s="150"/>
      <c r="N22" s="150"/>
      <c r="O22" s="150"/>
      <c r="P22" s="150"/>
    </row>
    <row r="23" spans="1:16" ht="13.8" x14ac:dyDescent="0.25">
      <c r="A23" s="16">
        <v>16</v>
      </c>
      <c r="B23" s="2">
        <v>1.8</v>
      </c>
      <c r="C23" s="175">
        <f t="shared" si="0"/>
        <v>0.58778666490211906</v>
      </c>
      <c r="D23" s="146"/>
      <c r="E23" s="146"/>
      <c r="F23" s="146"/>
      <c r="G23" s="146"/>
      <c r="H23" s="146"/>
      <c r="I23" s="146"/>
      <c r="J23" s="146"/>
      <c r="K23" s="150"/>
      <c r="L23" s="150"/>
      <c r="M23" s="150"/>
      <c r="N23" s="150"/>
      <c r="O23" s="150"/>
      <c r="P23" s="150"/>
    </row>
    <row r="24" spans="1:16" ht="13.8" x14ac:dyDescent="0.25">
      <c r="A24" s="16">
        <v>17</v>
      </c>
      <c r="B24" s="2">
        <v>11.5</v>
      </c>
      <c r="C24" s="175">
        <f t="shared" si="0"/>
        <v>2.4423470353692043</v>
      </c>
      <c r="D24" s="146"/>
      <c r="E24" s="146"/>
      <c r="F24" s="146"/>
      <c r="G24" s="146"/>
      <c r="H24" s="146"/>
      <c r="I24" s="146"/>
      <c r="J24" s="146"/>
      <c r="K24" s="150"/>
      <c r="L24" s="150"/>
      <c r="M24" s="150"/>
      <c r="N24" s="150"/>
      <c r="O24" s="150"/>
      <c r="P24" s="150"/>
    </row>
    <row r="25" spans="1:16" ht="13.8" x14ac:dyDescent="0.25">
      <c r="A25" s="16">
        <v>18</v>
      </c>
      <c r="B25" s="2">
        <v>84.6</v>
      </c>
      <c r="C25" s="175">
        <f t="shared" si="0"/>
        <v>4.4379342666121779</v>
      </c>
      <c r="D25" s="146"/>
      <c r="E25" s="146"/>
      <c r="F25" s="146"/>
      <c r="G25" s="146"/>
      <c r="H25" s="146"/>
      <c r="I25" s="146"/>
      <c r="J25" s="146"/>
      <c r="K25" s="150"/>
      <c r="L25" s="150"/>
      <c r="M25" s="150"/>
      <c r="N25" s="150"/>
      <c r="O25" s="150"/>
      <c r="P25" s="150"/>
    </row>
    <row r="26" spans="1:16" ht="17.25" customHeight="1" x14ac:dyDescent="0.3">
      <c r="A26" s="16">
        <v>19</v>
      </c>
      <c r="B26" s="2">
        <v>88.6</v>
      </c>
      <c r="C26" s="175">
        <f t="shared" si="0"/>
        <v>4.4841318576110352</v>
      </c>
      <c r="D26" s="146"/>
      <c r="E26" s="146"/>
      <c r="F26" s="146"/>
      <c r="G26" s="146"/>
      <c r="H26" s="146"/>
      <c r="I26" s="146"/>
      <c r="J26" s="146"/>
      <c r="K26" s="155"/>
      <c r="L26" s="146"/>
      <c r="M26" s="146"/>
      <c r="N26" s="146"/>
      <c r="O26" s="146"/>
      <c r="P26" s="146"/>
    </row>
    <row r="27" spans="1:16" x14ac:dyDescent="0.25">
      <c r="A27" s="16">
        <v>20</v>
      </c>
      <c r="B27" s="2">
        <v>10.7</v>
      </c>
      <c r="C27" s="175">
        <f t="shared" si="0"/>
        <v>2.3702437414678603</v>
      </c>
      <c r="D27" s="146"/>
      <c r="E27" s="146"/>
      <c r="F27" s="62"/>
    </row>
    <row r="28" spans="1:16" x14ac:dyDescent="0.25">
      <c r="A28" s="16">
        <v>21</v>
      </c>
      <c r="B28" s="2"/>
      <c r="C28" s="175" t="str">
        <f t="shared" si="0"/>
        <v/>
      </c>
      <c r="D28" s="146"/>
      <c r="E28" s="146"/>
      <c r="F28" s="62"/>
    </row>
    <row r="29" spans="1:16" x14ac:dyDescent="0.25">
      <c r="A29" s="16">
        <v>22</v>
      </c>
      <c r="B29" s="2"/>
      <c r="C29" s="175" t="str">
        <f t="shared" si="0"/>
        <v/>
      </c>
      <c r="D29" s="146"/>
      <c r="E29" s="146"/>
      <c r="F29" s="62"/>
    </row>
    <row r="30" spans="1:16" x14ac:dyDescent="0.25">
      <c r="A30" s="16">
        <v>23</v>
      </c>
      <c r="B30" s="2"/>
      <c r="C30" s="175" t="str">
        <f t="shared" si="0"/>
        <v/>
      </c>
      <c r="D30" s="146"/>
      <c r="E30" s="146"/>
      <c r="F30" s="62"/>
    </row>
    <row r="31" spans="1:16" x14ac:dyDescent="0.25">
      <c r="A31" s="16">
        <v>24</v>
      </c>
      <c r="B31" s="2"/>
      <c r="C31" s="175" t="str">
        <f t="shared" si="0"/>
        <v/>
      </c>
      <c r="D31" s="146"/>
      <c r="E31" s="146"/>
      <c r="F31" s="62"/>
    </row>
    <row r="32" spans="1:16" x14ac:dyDescent="0.25">
      <c r="A32" s="16">
        <v>25</v>
      </c>
      <c r="B32" s="2"/>
      <c r="C32" s="175" t="str">
        <f t="shared" si="0"/>
        <v/>
      </c>
      <c r="D32" s="146"/>
      <c r="E32" s="146"/>
      <c r="F32" s="62"/>
    </row>
    <row r="33" spans="1:6" x14ac:dyDescent="0.25">
      <c r="A33" s="16">
        <v>26</v>
      </c>
      <c r="B33" s="2"/>
      <c r="C33" s="175" t="str">
        <f t="shared" si="0"/>
        <v/>
      </c>
      <c r="D33" s="146"/>
      <c r="E33" s="146"/>
      <c r="F33" s="62"/>
    </row>
    <row r="34" spans="1:6" x14ac:dyDescent="0.25">
      <c r="A34" s="16">
        <v>27</v>
      </c>
      <c r="B34" s="2"/>
      <c r="C34" s="175" t="str">
        <f t="shared" si="0"/>
        <v/>
      </c>
      <c r="D34" s="146"/>
      <c r="E34" s="146"/>
      <c r="F34" s="62"/>
    </row>
    <row r="35" spans="1:6" x14ac:dyDescent="0.25">
      <c r="A35" s="16">
        <v>28</v>
      </c>
      <c r="B35" s="2"/>
      <c r="C35" s="175" t="str">
        <f t="shared" si="0"/>
        <v/>
      </c>
      <c r="D35" s="146"/>
      <c r="E35" s="146"/>
      <c r="F35" s="62"/>
    </row>
    <row r="36" spans="1:6" x14ac:dyDescent="0.25">
      <c r="A36" s="16">
        <v>29</v>
      </c>
      <c r="B36" s="2"/>
      <c r="C36" s="175" t="str">
        <f t="shared" si="0"/>
        <v/>
      </c>
      <c r="D36" s="146"/>
      <c r="E36" s="146"/>
      <c r="F36" s="62"/>
    </row>
    <row r="37" spans="1:6" x14ac:dyDescent="0.25">
      <c r="A37" s="16">
        <v>30</v>
      </c>
      <c r="B37" s="2"/>
      <c r="C37" s="175" t="str">
        <f t="shared" si="0"/>
        <v/>
      </c>
      <c r="D37" s="146"/>
      <c r="E37" s="146"/>
      <c r="F37" s="62"/>
    </row>
    <row r="38" spans="1:6" x14ac:dyDescent="0.25">
      <c r="A38" s="16">
        <v>31</v>
      </c>
      <c r="B38" s="2"/>
      <c r="C38" s="175" t="str">
        <f t="shared" si="0"/>
        <v/>
      </c>
      <c r="D38" s="146"/>
      <c r="E38" s="146"/>
      <c r="F38" s="62"/>
    </row>
    <row r="39" spans="1:6" x14ac:dyDescent="0.25">
      <c r="A39" s="16">
        <v>32</v>
      </c>
      <c r="B39" s="2"/>
      <c r="C39" s="175" t="str">
        <f t="shared" si="0"/>
        <v/>
      </c>
      <c r="D39" s="146"/>
      <c r="E39" s="146"/>
      <c r="F39" s="62"/>
    </row>
    <row r="40" spans="1:6" x14ac:dyDescent="0.25">
      <c r="A40" s="16">
        <v>33</v>
      </c>
      <c r="B40" s="2"/>
      <c r="C40" s="175" t="str">
        <f t="shared" si="0"/>
        <v/>
      </c>
      <c r="D40" s="146"/>
      <c r="E40" s="146"/>
      <c r="F40" s="62"/>
    </row>
    <row r="41" spans="1:6" x14ac:dyDescent="0.25">
      <c r="A41" s="16">
        <v>34</v>
      </c>
      <c r="B41" s="2"/>
      <c r="C41" s="175" t="str">
        <f t="shared" si="0"/>
        <v/>
      </c>
      <c r="D41" s="146"/>
      <c r="E41" s="146"/>
      <c r="F41" s="62"/>
    </row>
    <row r="42" spans="1:6" x14ac:dyDescent="0.25">
      <c r="A42" s="16">
        <v>35</v>
      </c>
      <c r="B42" s="2"/>
      <c r="C42" s="175" t="str">
        <f t="shared" si="0"/>
        <v/>
      </c>
      <c r="D42" s="146"/>
      <c r="E42" s="146"/>
      <c r="F42" s="62"/>
    </row>
    <row r="43" spans="1:6" x14ac:dyDescent="0.25">
      <c r="A43" s="16">
        <v>36</v>
      </c>
      <c r="B43" s="2"/>
      <c r="C43" s="175" t="str">
        <f t="shared" si="0"/>
        <v/>
      </c>
      <c r="D43" s="146"/>
      <c r="E43" s="146"/>
      <c r="F43" s="62"/>
    </row>
    <row r="44" spans="1:6" x14ac:dyDescent="0.25">
      <c r="A44" s="16">
        <v>37</v>
      </c>
      <c r="B44" s="2"/>
      <c r="C44" s="175" t="str">
        <f t="shared" si="0"/>
        <v/>
      </c>
      <c r="D44" s="146"/>
      <c r="E44" s="146"/>
      <c r="F44" s="62"/>
    </row>
    <row r="45" spans="1:6" x14ac:dyDescent="0.25">
      <c r="A45" s="16">
        <v>38</v>
      </c>
      <c r="B45" s="2"/>
      <c r="C45" s="175" t="str">
        <f t="shared" si="0"/>
        <v/>
      </c>
      <c r="D45" s="146"/>
      <c r="E45" s="146"/>
      <c r="F45" s="62"/>
    </row>
    <row r="46" spans="1:6" x14ac:dyDescent="0.25">
      <c r="A46" s="16">
        <v>39</v>
      </c>
      <c r="B46" s="2"/>
      <c r="C46" s="175" t="str">
        <f t="shared" si="0"/>
        <v/>
      </c>
      <c r="D46" s="146"/>
      <c r="E46" s="146"/>
      <c r="F46" s="62"/>
    </row>
    <row r="47" spans="1:6" x14ac:dyDescent="0.25">
      <c r="A47" s="16">
        <v>40</v>
      </c>
      <c r="B47" s="2"/>
      <c r="C47" s="175" t="str">
        <f t="shared" si="0"/>
        <v/>
      </c>
      <c r="D47" s="146"/>
      <c r="E47" s="146"/>
      <c r="F47" s="62"/>
    </row>
    <row r="48" spans="1:6" x14ac:dyDescent="0.25">
      <c r="A48" s="16">
        <v>41</v>
      </c>
      <c r="B48" s="2"/>
      <c r="C48" s="175" t="str">
        <f t="shared" si="0"/>
        <v/>
      </c>
      <c r="D48" s="146"/>
      <c r="E48" s="146"/>
      <c r="F48" s="62"/>
    </row>
    <row r="49" spans="1:6" x14ac:dyDescent="0.25">
      <c r="A49" s="16">
        <v>42</v>
      </c>
      <c r="B49" s="2"/>
      <c r="C49" s="175" t="str">
        <f t="shared" si="0"/>
        <v/>
      </c>
      <c r="D49" s="146"/>
      <c r="E49" s="146"/>
      <c r="F49" s="62"/>
    </row>
    <row r="50" spans="1:6" x14ac:dyDescent="0.25">
      <c r="A50" s="16">
        <v>43</v>
      </c>
      <c r="B50" s="2"/>
      <c r="C50" s="175" t="str">
        <f t="shared" si="0"/>
        <v/>
      </c>
      <c r="D50" s="146"/>
      <c r="E50" s="146"/>
      <c r="F50" s="62"/>
    </row>
    <row r="51" spans="1:6" x14ac:dyDescent="0.25">
      <c r="A51" s="16">
        <v>44</v>
      </c>
      <c r="B51" s="2"/>
      <c r="C51" s="175" t="str">
        <f t="shared" si="0"/>
        <v/>
      </c>
      <c r="D51" s="146"/>
      <c r="E51" s="146"/>
      <c r="F51" s="62"/>
    </row>
    <row r="52" spans="1:6" x14ac:dyDescent="0.25">
      <c r="A52" s="16">
        <v>45</v>
      </c>
      <c r="B52" s="2"/>
      <c r="C52" s="175" t="str">
        <f t="shared" si="0"/>
        <v/>
      </c>
      <c r="D52" s="146"/>
      <c r="E52" s="146"/>
      <c r="F52" s="62"/>
    </row>
    <row r="53" spans="1:6" x14ac:dyDescent="0.25">
      <c r="A53" s="16">
        <v>46</v>
      </c>
      <c r="B53" s="2"/>
      <c r="C53" s="175" t="str">
        <f t="shared" si="0"/>
        <v/>
      </c>
      <c r="D53" s="146"/>
      <c r="E53" s="146"/>
      <c r="F53" s="62"/>
    </row>
    <row r="54" spans="1:6" x14ac:dyDescent="0.25">
      <c r="A54" s="16">
        <v>47</v>
      </c>
      <c r="B54" s="2"/>
      <c r="C54" s="175" t="str">
        <f t="shared" si="0"/>
        <v/>
      </c>
      <c r="D54" s="146"/>
      <c r="E54" s="146"/>
      <c r="F54" s="62"/>
    </row>
    <row r="55" spans="1:6" x14ac:dyDescent="0.25">
      <c r="A55" s="16">
        <v>48</v>
      </c>
      <c r="B55" s="2"/>
      <c r="C55" s="175" t="str">
        <f t="shared" si="0"/>
        <v/>
      </c>
      <c r="D55" s="146"/>
      <c r="E55" s="146"/>
      <c r="F55" s="62"/>
    </row>
    <row r="56" spans="1:6" x14ac:dyDescent="0.25">
      <c r="A56" s="16">
        <v>49</v>
      </c>
      <c r="B56" s="2"/>
      <c r="C56" s="175" t="str">
        <f t="shared" si="0"/>
        <v/>
      </c>
      <c r="D56" s="146"/>
      <c r="E56" s="146"/>
      <c r="F56" s="62"/>
    </row>
    <row r="57" spans="1:6" ht="13.8" thickBot="1" x14ac:dyDescent="0.3">
      <c r="A57" s="16">
        <v>50</v>
      </c>
      <c r="B57" s="2"/>
      <c r="C57" s="176" t="str">
        <f t="shared" si="0"/>
        <v/>
      </c>
      <c r="D57" s="146"/>
      <c r="E57" s="146"/>
      <c r="F57" s="62"/>
    </row>
    <row r="58" spans="1:6" x14ac:dyDescent="0.25">
      <c r="A58" s="168" t="s">
        <v>29</v>
      </c>
      <c r="B58" s="169">
        <f>SUM(B8:B57)</f>
        <v>836.30000000000018</v>
      </c>
      <c r="D58" s="147"/>
      <c r="E58" s="147"/>
      <c r="F58" s="62"/>
    </row>
    <row r="59" spans="1:6" x14ac:dyDescent="0.25">
      <c r="A59" s="114" t="s">
        <v>69</v>
      </c>
      <c r="B59" s="170">
        <f>SUM(C8:C57)</f>
        <v>63.938478792370987</v>
      </c>
      <c r="D59" s="152"/>
      <c r="E59" s="146"/>
      <c r="F59" s="62"/>
    </row>
    <row r="60" spans="1:6" ht="14.4" thickBot="1" x14ac:dyDescent="0.3">
      <c r="A60" s="115" t="s">
        <v>63</v>
      </c>
      <c r="B60" s="171">
        <f>COUNT(B8:B57)</f>
        <v>20</v>
      </c>
      <c r="D60" s="152"/>
      <c r="E60" s="146"/>
      <c r="F60" s="62"/>
    </row>
    <row r="61" spans="1:6" x14ac:dyDescent="0.25">
      <c r="B61" s="152"/>
      <c r="C61" s="146"/>
      <c r="D61" s="152"/>
      <c r="E61" s="146"/>
      <c r="F61" s="62"/>
    </row>
  </sheetData>
  <sheetProtection password="DC2F" sheet="1" objects="1" scenarios="1" formatCells="0"/>
  <protectedRanges>
    <protectedRange sqref="B8:B57" name="Range2"/>
    <protectedRange sqref="B2" name="Range1"/>
  </protectedRange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4" sqref="H4"/>
    </sheetView>
  </sheetViews>
  <sheetFormatPr defaultRowHeight="13.2" x14ac:dyDescent="0.25"/>
  <cols>
    <col min="1" max="1" width="11.6640625" customWidth="1"/>
    <col min="2" max="3" width="13.33203125" customWidth="1"/>
    <col min="4" max="4" width="12.5546875" customWidth="1"/>
    <col min="5" max="5" width="13.44140625" customWidth="1"/>
    <col min="7" max="7" width="10.88671875" customWidth="1"/>
    <col min="8" max="8" width="10.109375" customWidth="1"/>
    <col min="10" max="10" width="5.5546875" customWidth="1"/>
  </cols>
  <sheetData>
    <row r="1" spans="1:16" ht="15.6" thickBot="1" x14ac:dyDescent="0.3">
      <c r="A1" s="17" t="s">
        <v>70</v>
      </c>
      <c r="B1" s="18"/>
      <c r="C1" s="18"/>
      <c r="D1" s="18"/>
      <c r="E1" s="98"/>
    </row>
    <row r="2" spans="1:16" ht="16.2" thickBot="1" x14ac:dyDescent="0.35">
      <c r="A2" s="165" t="s">
        <v>68</v>
      </c>
      <c r="B2" s="166">
        <v>0.05</v>
      </c>
      <c r="C2" s="187" t="s">
        <v>50</v>
      </c>
      <c r="D2" s="188">
        <f>F58*I57/(H58*H57)</f>
        <v>1.6642776881411308</v>
      </c>
      <c r="E2" s="185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</row>
    <row r="3" spans="1:16" ht="14.4" thickBot="1" x14ac:dyDescent="0.3">
      <c r="A3" s="271"/>
      <c r="B3" s="271"/>
      <c r="C3" s="190" t="s">
        <v>78</v>
      </c>
      <c r="D3" s="189">
        <f>FINV(B2,2*H58,2*F58)</f>
        <v>1.7720664771705754</v>
      </c>
      <c r="E3" s="186"/>
      <c r="F3" s="146"/>
      <c r="G3" s="146"/>
      <c r="H3" s="146"/>
      <c r="I3" s="146"/>
      <c r="J3" s="146"/>
      <c r="K3" s="150"/>
      <c r="L3" s="150"/>
      <c r="M3" s="150"/>
      <c r="N3" s="150"/>
      <c r="O3" s="150"/>
      <c r="P3" s="150"/>
    </row>
    <row r="4" spans="1:16" ht="14.4" thickBot="1" x14ac:dyDescent="0.3">
      <c r="A4" s="204"/>
      <c r="B4" s="205" t="s">
        <v>75</v>
      </c>
      <c r="C4" s="206">
        <v>50</v>
      </c>
      <c r="D4" s="182" t="str">
        <f>IF(D2&gt;D3,"The Weibull distribution is rejected","")</f>
        <v/>
      </c>
      <c r="E4" s="167"/>
      <c r="F4" s="151"/>
      <c r="G4" s="146"/>
      <c r="H4" s="146"/>
      <c r="I4" s="146"/>
      <c r="J4" s="146"/>
      <c r="K4" s="150"/>
      <c r="L4" s="150"/>
      <c r="M4" s="150"/>
      <c r="N4" s="150"/>
      <c r="O4" s="150"/>
      <c r="P4" s="150"/>
    </row>
    <row r="5" spans="1:16" ht="14.4" thickBot="1" x14ac:dyDescent="0.3">
      <c r="A5" s="156"/>
      <c r="B5" s="207" t="s">
        <v>67</v>
      </c>
      <c r="C5" s="181"/>
      <c r="E5" s="167"/>
      <c r="F5" s="146"/>
      <c r="G5" s="146"/>
      <c r="H5" s="146"/>
      <c r="I5" s="146"/>
      <c r="J5" s="146"/>
      <c r="K5" s="150"/>
      <c r="L5" s="150"/>
      <c r="M5" s="150"/>
      <c r="N5" s="150"/>
      <c r="O5" s="150"/>
      <c r="P5" s="150"/>
    </row>
    <row r="6" spans="1:16" ht="14.4" thickBot="1" x14ac:dyDescent="0.3">
      <c r="A6" s="76" t="s">
        <v>26</v>
      </c>
      <c r="B6" s="178" t="s">
        <v>27</v>
      </c>
      <c r="C6" s="179" t="s">
        <v>28</v>
      </c>
      <c r="D6" s="191" t="s">
        <v>73</v>
      </c>
      <c r="E6" s="192" t="s">
        <v>74</v>
      </c>
      <c r="F6" s="192" t="s">
        <v>76</v>
      </c>
      <c r="G6" s="193" t="s">
        <v>77</v>
      </c>
      <c r="H6" s="194"/>
      <c r="I6" s="195"/>
      <c r="J6" s="146"/>
      <c r="K6" s="150"/>
      <c r="L6" s="150"/>
      <c r="M6" s="150"/>
      <c r="N6" s="150"/>
      <c r="O6" s="150"/>
      <c r="P6" s="150"/>
    </row>
    <row r="7" spans="1:16" ht="13.8" x14ac:dyDescent="0.25">
      <c r="A7" s="16">
        <v>1</v>
      </c>
      <c r="B7" s="2">
        <v>1.3</v>
      </c>
      <c r="C7" s="174">
        <f t="shared" ref="C7:C56" si="0">IF(B7&gt;0,LN(B7),"")</f>
        <v>0.26236426446749106</v>
      </c>
      <c r="D7" s="146">
        <f t="shared" ref="D7:D38" si="1">IF(A8&lt;=$D$58,C8-C7,"")</f>
        <v>1.7255100836868544</v>
      </c>
      <c r="E7" s="183">
        <f t="shared" ref="E7:E38" si="2">IF(A7&lt;=$D$58,LN(-LN(1-(A7-0.5)/($C$4+0.25))),"")</f>
        <v>-4.6051618525644837</v>
      </c>
      <c r="F7" s="183">
        <f t="shared" ref="F7:F38" si="3">IF(A7&lt;$D$58,E8-E7,"")</f>
        <v>1.1087308215153309</v>
      </c>
      <c r="G7" s="184">
        <f t="shared" ref="G7:G38" si="4">IF(A7&lt;$D$58,D7/F7,"")</f>
        <v>1.5562930606804595</v>
      </c>
      <c r="H7" s="147">
        <f t="shared" ref="H7:H38" si="5">IF(A7&lt;=$F$58,G7,0)</f>
        <v>1.5562930606804595</v>
      </c>
      <c r="I7" s="146">
        <f t="shared" ref="I7:I38" si="6">IF(A7&gt;=$F$58+1,G7,0)</f>
        <v>0</v>
      </c>
      <c r="J7" s="146"/>
      <c r="K7" s="150"/>
      <c r="L7" s="150"/>
      <c r="M7" s="150"/>
      <c r="N7" s="150"/>
      <c r="O7" s="150"/>
      <c r="P7" s="150"/>
    </row>
    <row r="8" spans="1:16" ht="13.8" x14ac:dyDescent="0.25">
      <c r="A8" s="16">
        <v>2</v>
      </c>
      <c r="B8" s="2">
        <v>7.3</v>
      </c>
      <c r="C8" s="175">
        <f t="shared" si="0"/>
        <v>1.9878743481543455</v>
      </c>
      <c r="D8" s="146">
        <f t="shared" si="1"/>
        <v>6.6249385541200745E-2</v>
      </c>
      <c r="E8" s="183">
        <f t="shared" si="2"/>
        <v>-3.4964310310491529</v>
      </c>
      <c r="F8" s="183">
        <f t="shared" si="3"/>
        <v>0.52111844951373731</v>
      </c>
      <c r="G8" s="184">
        <f t="shared" si="4"/>
        <v>0.12712922676796215</v>
      </c>
      <c r="H8" s="147">
        <f t="shared" si="5"/>
        <v>0.12712922676796215</v>
      </c>
      <c r="I8" s="146">
        <f t="shared" si="6"/>
        <v>0</v>
      </c>
      <c r="J8" s="146"/>
      <c r="K8" s="150"/>
      <c r="L8" s="150"/>
      <c r="M8" s="150"/>
      <c r="N8" s="150"/>
      <c r="O8" s="150"/>
      <c r="P8" s="150"/>
    </row>
    <row r="9" spans="1:16" ht="13.8" x14ac:dyDescent="0.25">
      <c r="A9" s="16">
        <v>3</v>
      </c>
      <c r="B9" s="2">
        <v>7.8</v>
      </c>
      <c r="C9" s="175">
        <f t="shared" si="0"/>
        <v>2.0541237336955462</v>
      </c>
      <c r="D9" s="146">
        <f t="shared" si="1"/>
        <v>0.53364030153216202</v>
      </c>
      <c r="E9" s="183">
        <f t="shared" si="2"/>
        <v>-2.9753125815354156</v>
      </c>
      <c r="F9" s="183">
        <f t="shared" si="3"/>
        <v>0.34694597877378364</v>
      </c>
      <c r="G9" s="184">
        <f t="shared" si="4"/>
        <v>1.5381077579230489</v>
      </c>
      <c r="H9" s="147">
        <f t="shared" si="5"/>
        <v>1.5381077579230489</v>
      </c>
      <c r="I9" s="146">
        <f t="shared" si="6"/>
        <v>0</v>
      </c>
      <c r="J9" s="146"/>
      <c r="K9" s="150"/>
      <c r="L9" s="150"/>
      <c r="M9" s="150"/>
      <c r="N9" s="150"/>
      <c r="O9" s="150"/>
      <c r="P9" s="150"/>
    </row>
    <row r="10" spans="1:16" ht="13.8" x14ac:dyDescent="0.25">
      <c r="A10" s="16">
        <v>4</v>
      </c>
      <c r="B10" s="2">
        <v>13.3</v>
      </c>
      <c r="C10" s="175">
        <f t="shared" si="0"/>
        <v>2.5877640352277083</v>
      </c>
      <c r="D10" s="146">
        <f t="shared" si="1"/>
        <v>4.4124804908937776E-2</v>
      </c>
      <c r="E10" s="183">
        <f t="shared" si="2"/>
        <v>-2.6283666027616319</v>
      </c>
      <c r="F10" s="183">
        <f t="shared" si="3"/>
        <v>0.26197610882004385</v>
      </c>
      <c r="G10" s="184">
        <f t="shared" si="4"/>
        <v>0.16843064471672073</v>
      </c>
      <c r="H10" s="147">
        <f t="shared" si="5"/>
        <v>0.16843064471672073</v>
      </c>
      <c r="I10" s="146">
        <f t="shared" si="6"/>
        <v>0</v>
      </c>
      <c r="J10" s="146"/>
      <c r="K10" s="150"/>
      <c r="L10" s="150"/>
      <c r="M10" s="150"/>
      <c r="N10" s="150"/>
      <c r="O10" s="150"/>
      <c r="P10" s="150"/>
    </row>
    <row r="11" spans="1:16" ht="13.8" x14ac:dyDescent="0.25">
      <c r="A11" s="16">
        <v>5</v>
      </c>
      <c r="B11" s="2">
        <v>13.9</v>
      </c>
      <c r="C11" s="175">
        <f t="shared" si="0"/>
        <v>2.631888840136646</v>
      </c>
      <c r="D11" s="146">
        <f t="shared" si="1"/>
        <v>0.33338422593263628</v>
      </c>
      <c r="E11" s="183">
        <f t="shared" si="2"/>
        <v>-2.3663904939415881</v>
      </c>
      <c r="F11" s="183">
        <f t="shared" si="3"/>
        <v>0.21152776810338336</v>
      </c>
      <c r="G11" s="184">
        <f t="shared" si="4"/>
        <v>1.5760778309242882</v>
      </c>
      <c r="H11" s="147">
        <f t="shared" si="5"/>
        <v>1.5760778309242882</v>
      </c>
      <c r="I11" s="146">
        <f t="shared" si="6"/>
        <v>0</v>
      </c>
      <c r="J11" s="146"/>
      <c r="K11" s="150"/>
      <c r="L11" s="150"/>
      <c r="M11" s="150"/>
      <c r="N11" s="150"/>
      <c r="O11" s="150"/>
      <c r="P11" s="150"/>
    </row>
    <row r="12" spans="1:16" ht="13.8" x14ac:dyDescent="0.25">
      <c r="A12" s="16">
        <v>6</v>
      </c>
      <c r="B12" s="2">
        <v>19.399999999999999</v>
      </c>
      <c r="C12" s="175">
        <f t="shared" si="0"/>
        <v>2.9652730660692823</v>
      </c>
      <c r="D12" s="146">
        <f t="shared" si="1"/>
        <v>1.5345569674660275E-2</v>
      </c>
      <c r="E12" s="183">
        <f t="shared" si="2"/>
        <v>-2.1548627258382047</v>
      </c>
      <c r="F12" s="183">
        <f t="shared" si="3"/>
        <v>0.17811447169970918</v>
      </c>
      <c r="G12" s="184">
        <f t="shared" si="4"/>
        <v>8.6155658932262555E-2</v>
      </c>
      <c r="H12" s="147">
        <f t="shared" si="5"/>
        <v>8.6155658932262555E-2</v>
      </c>
      <c r="I12" s="146">
        <f t="shared" si="6"/>
        <v>0</v>
      </c>
      <c r="J12" s="146"/>
      <c r="K12" s="150"/>
      <c r="L12" s="150"/>
      <c r="M12" s="150"/>
      <c r="N12" s="150"/>
      <c r="O12" s="150"/>
      <c r="P12" s="150"/>
    </row>
    <row r="13" spans="1:16" ht="13.8" x14ac:dyDescent="0.25">
      <c r="A13" s="16">
        <v>7</v>
      </c>
      <c r="B13" s="2">
        <v>19.7</v>
      </c>
      <c r="C13" s="175">
        <f t="shared" si="0"/>
        <v>2.9806186357439426</v>
      </c>
      <c r="D13" s="146">
        <f t="shared" si="1"/>
        <v>0.12396804272213036</v>
      </c>
      <c r="E13" s="183">
        <f t="shared" si="2"/>
        <v>-1.9767482541384955</v>
      </c>
      <c r="F13" s="183">
        <f t="shared" si="3"/>
        <v>0.15437297685367302</v>
      </c>
      <c r="G13" s="184">
        <f t="shared" si="4"/>
        <v>0.80304237988256921</v>
      </c>
      <c r="H13" s="147">
        <f t="shared" si="5"/>
        <v>0.80304237988256921</v>
      </c>
      <c r="I13" s="146">
        <f t="shared" si="6"/>
        <v>0</v>
      </c>
      <c r="J13" s="146"/>
      <c r="K13" s="150"/>
      <c r="L13" s="150"/>
      <c r="M13" s="150"/>
      <c r="N13" s="150"/>
      <c r="O13" s="150"/>
      <c r="P13" s="150"/>
    </row>
    <row r="14" spans="1:16" ht="13.8" x14ac:dyDescent="0.25">
      <c r="A14" s="16">
        <v>8</v>
      </c>
      <c r="B14" s="2">
        <v>22.3</v>
      </c>
      <c r="C14" s="175">
        <f t="shared" si="0"/>
        <v>3.1045866784660729</v>
      </c>
      <c r="D14" s="146">
        <f t="shared" si="1"/>
        <v>2.2173857494322213E-2</v>
      </c>
      <c r="E14" s="183">
        <f t="shared" si="2"/>
        <v>-1.8223752772848225</v>
      </c>
      <c r="F14" s="183">
        <f t="shared" si="3"/>
        <v>0.13665600914464182</v>
      </c>
      <c r="G14" s="184">
        <f t="shared" si="4"/>
        <v>0.16226039113181312</v>
      </c>
      <c r="H14" s="147">
        <f t="shared" si="5"/>
        <v>0.16226039113181312</v>
      </c>
      <c r="I14" s="146">
        <f t="shared" si="6"/>
        <v>0</v>
      </c>
      <c r="J14" s="146"/>
      <c r="K14" s="150"/>
      <c r="L14" s="150"/>
      <c r="M14" s="150"/>
      <c r="N14" s="150"/>
      <c r="O14" s="150"/>
      <c r="P14" s="150"/>
    </row>
    <row r="15" spans="1:16" ht="13.8" x14ac:dyDescent="0.25">
      <c r="A15" s="16">
        <v>9</v>
      </c>
      <c r="B15" s="2">
        <v>22.8</v>
      </c>
      <c r="C15" s="175">
        <f t="shared" si="0"/>
        <v>3.1267605359603952</v>
      </c>
      <c r="D15" s="146">
        <f t="shared" si="1"/>
        <v>0.15790302944580858</v>
      </c>
      <c r="E15" s="183">
        <f t="shared" si="2"/>
        <v>-1.6857192681401807</v>
      </c>
      <c r="F15" s="183">
        <f t="shared" si="3"/>
        <v>0.12294882690036379</v>
      </c>
      <c r="G15" s="184">
        <f t="shared" si="4"/>
        <v>1.2842987885827593</v>
      </c>
      <c r="H15" s="147">
        <f t="shared" si="5"/>
        <v>1.2842987885827593</v>
      </c>
      <c r="I15" s="146">
        <f t="shared" si="6"/>
        <v>0</v>
      </c>
      <c r="J15" s="146"/>
      <c r="K15" s="150"/>
      <c r="L15" s="150"/>
      <c r="M15" s="150"/>
      <c r="N15" s="150"/>
      <c r="O15" s="150"/>
      <c r="P15" s="150"/>
    </row>
    <row r="16" spans="1:16" ht="13.8" x14ac:dyDescent="0.25">
      <c r="A16" s="16">
        <v>10</v>
      </c>
      <c r="B16" s="2">
        <v>26.7</v>
      </c>
      <c r="C16" s="175">
        <f t="shared" si="0"/>
        <v>3.2846635654062037</v>
      </c>
      <c r="D16" s="146">
        <f t="shared" si="1"/>
        <v>0.10648348040245015</v>
      </c>
      <c r="E16" s="183">
        <f t="shared" si="2"/>
        <v>-1.5627704412398169</v>
      </c>
      <c r="F16" s="183">
        <f t="shared" si="3"/>
        <v>0.11204723121387117</v>
      </c>
      <c r="G16" s="184">
        <f t="shared" si="4"/>
        <v>0.95034459351520106</v>
      </c>
      <c r="H16" s="147">
        <f t="shared" si="5"/>
        <v>0.95034459351520106</v>
      </c>
      <c r="I16" s="146">
        <f t="shared" si="6"/>
        <v>0</v>
      </c>
      <c r="J16" s="146"/>
      <c r="K16" s="150"/>
      <c r="L16" s="150"/>
      <c r="M16" s="150"/>
      <c r="N16" s="150"/>
      <c r="O16" s="150"/>
      <c r="P16" s="150"/>
    </row>
    <row r="17" spans="1:16" ht="13.8" x14ac:dyDescent="0.25">
      <c r="A17" s="16">
        <v>11</v>
      </c>
      <c r="B17" s="2">
        <v>29.7</v>
      </c>
      <c r="C17" s="175">
        <f t="shared" si="0"/>
        <v>3.3911470458086539</v>
      </c>
      <c r="D17" s="146">
        <f t="shared" si="1"/>
        <v>1.6694878572169891E-2</v>
      </c>
      <c r="E17" s="183">
        <f t="shared" si="2"/>
        <v>-1.4507232100259457</v>
      </c>
      <c r="F17" s="183">
        <f t="shared" si="3"/>
        <v>0.10318711337653785</v>
      </c>
      <c r="G17" s="184">
        <f t="shared" si="4"/>
        <v>0.1617922822518445</v>
      </c>
      <c r="H17" s="147">
        <f t="shared" si="5"/>
        <v>0.1617922822518445</v>
      </c>
      <c r="I17" s="146">
        <f t="shared" si="6"/>
        <v>0</v>
      </c>
      <c r="J17" s="146"/>
      <c r="K17" s="150"/>
      <c r="L17" s="150"/>
      <c r="M17" s="150"/>
      <c r="N17" s="150"/>
      <c r="O17" s="150"/>
      <c r="P17" s="150"/>
    </row>
    <row r="18" spans="1:16" ht="13.8" x14ac:dyDescent="0.25">
      <c r="A18" s="16">
        <v>12</v>
      </c>
      <c r="B18" s="2">
        <v>30.2</v>
      </c>
      <c r="C18" s="175">
        <f t="shared" si="0"/>
        <v>3.4078419243808238</v>
      </c>
      <c r="D18" s="146">
        <f t="shared" si="1"/>
        <v>5.4764085409975127E-2</v>
      </c>
      <c r="E18" s="183">
        <f t="shared" si="2"/>
        <v>-1.3475360966494079</v>
      </c>
      <c r="F18" s="183">
        <f t="shared" si="3"/>
        <v>9.5860286337898781E-2</v>
      </c>
      <c r="G18" s="184">
        <f t="shared" si="4"/>
        <v>0.57129065123941647</v>
      </c>
      <c r="H18" s="147">
        <f t="shared" si="5"/>
        <v>0.57129065123941647</v>
      </c>
      <c r="I18" s="146">
        <f t="shared" si="6"/>
        <v>0</v>
      </c>
      <c r="J18" s="146"/>
      <c r="K18" s="150"/>
      <c r="L18" s="150"/>
      <c r="M18" s="150"/>
      <c r="N18" s="150"/>
      <c r="O18" s="150"/>
      <c r="P18" s="150"/>
    </row>
    <row r="19" spans="1:16" ht="13.8" x14ac:dyDescent="0.25">
      <c r="A19" s="16">
        <v>13</v>
      </c>
      <c r="B19" s="2">
        <v>31.9</v>
      </c>
      <c r="C19" s="175">
        <f t="shared" si="0"/>
        <v>3.4626060097907989</v>
      </c>
      <c r="D19" s="146">
        <f t="shared" si="1"/>
        <v>9.3604427595637141E-3</v>
      </c>
      <c r="E19" s="183">
        <f t="shared" si="2"/>
        <v>-1.2516758103115091</v>
      </c>
      <c r="F19" s="183">
        <f t="shared" si="3"/>
        <v>8.9715719415700335E-2</v>
      </c>
      <c r="G19" s="184">
        <f t="shared" si="4"/>
        <v>0.10433447806612169</v>
      </c>
      <c r="H19" s="147">
        <f t="shared" si="5"/>
        <v>0.10433447806612169</v>
      </c>
      <c r="I19" s="146">
        <f t="shared" si="6"/>
        <v>0</v>
      </c>
      <c r="J19" s="146"/>
      <c r="K19" s="150"/>
      <c r="L19" s="150"/>
      <c r="M19" s="150"/>
      <c r="N19" s="150"/>
      <c r="O19" s="150"/>
      <c r="P19" s="150"/>
    </row>
    <row r="20" spans="1:16" ht="13.8" x14ac:dyDescent="0.25">
      <c r="A20" s="16">
        <v>14</v>
      </c>
      <c r="B20" s="2">
        <v>32.200000000000003</v>
      </c>
      <c r="C20" s="175">
        <f t="shared" si="0"/>
        <v>3.4719664525503626</v>
      </c>
      <c r="D20" s="146">
        <f t="shared" si="1"/>
        <v>2.4541108916117604E-2</v>
      </c>
      <c r="E20" s="183">
        <f t="shared" si="2"/>
        <v>-1.1619600908958088</v>
      </c>
      <c r="F20" s="183">
        <f t="shared" si="3"/>
        <v>8.4503272252205441E-2</v>
      </c>
      <c r="G20" s="184">
        <f t="shared" si="4"/>
        <v>0.29041607812385167</v>
      </c>
      <c r="H20" s="147">
        <f t="shared" si="5"/>
        <v>0.29041607812385167</v>
      </c>
      <c r="I20" s="146">
        <f t="shared" si="6"/>
        <v>0</v>
      </c>
      <c r="J20" s="146"/>
      <c r="K20" s="150"/>
      <c r="L20" s="150"/>
      <c r="M20" s="150"/>
      <c r="N20" s="150"/>
      <c r="O20" s="150"/>
      <c r="P20" s="150"/>
    </row>
    <row r="21" spans="1:16" ht="13.8" x14ac:dyDescent="0.25">
      <c r="A21" s="16">
        <v>15</v>
      </c>
      <c r="B21" s="2">
        <v>33</v>
      </c>
      <c r="C21" s="175">
        <f t="shared" si="0"/>
        <v>3.4965075614664802</v>
      </c>
      <c r="D21" s="146">
        <f t="shared" si="1"/>
        <v>0.10899028370840513</v>
      </c>
      <c r="E21" s="183">
        <f t="shared" si="2"/>
        <v>-1.0774568186436033</v>
      </c>
      <c r="F21" s="183">
        <f t="shared" si="3"/>
        <v>8.0040016234602218E-2</v>
      </c>
      <c r="G21" s="184">
        <f t="shared" si="4"/>
        <v>1.3616974213117086</v>
      </c>
      <c r="H21" s="147">
        <f t="shared" si="5"/>
        <v>1.3616974213117086</v>
      </c>
      <c r="I21" s="146">
        <f t="shared" si="6"/>
        <v>0</v>
      </c>
      <c r="J21" s="146"/>
      <c r="K21" s="150"/>
      <c r="L21" s="150"/>
      <c r="M21" s="150"/>
      <c r="N21" s="150"/>
      <c r="O21" s="150"/>
      <c r="P21" s="150"/>
    </row>
    <row r="22" spans="1:16" ht="13.8" x14ac:dyDescent="0.25">
      <c r="A22" s="16">
        <v>16</v>
      </c>
      <c r="B22" s="2">
        <v>36.799999999999997</v>
      </c>
      <c r="C22" s="175">
        <f t="shared" si="0"/>
        <v>3.6054978451748854</v>
      </c>
      <c r="D22" s="146">
        <f t="shared" si="1"/>
        <v>5.420067469338985E-3</v>
      </c>
      <c r="E22" s="183">
        <f t="shared" si="2"/>
        <v>-0.9974168024090011</v>
      </c>
      <c r="F22" s="183">
        <f t="shared" si="3"/>
        <v>7.6189228410445398E-2</v>
      </c>
      <c r="G22" s="184">
        <f t="shared" si="4"/>
        <v>7.1139550595526235E-2</v>
      </c>
      <c r="H22" s="147">
        <f t="shared" si="5"/>
        <v>7.1139550595526235E-2</v>
      </c>
      <c r="I22" s="146">
        <f t="shared" si="6"/>
        <v>0</v>
      </c>
      <c r="J22" s="146"/>
      <c r="K22" s="150"/>
      <c r="L22" s="150"/>
      <c r="M22" s="150"/>
      <c r="N22" s="150"/>
      <c r="O22" s="150"/>
      <c r="P22" s="150"/>
    </row>
    <row r="23" spans="1:16" ht="13.8" x14ac:dyDescent="0.25">
      <c r="A23" s="16">
        <v>17</v>
      </c>
      <c r="B23" s="2">
        <v>37</v>
      </c>
      <c r="C23" s="175">
        <f t="shared" si="0"/>
        <v>3.6109179126442243</v>
      </c>
      <c r="D23" s="146">
        <f t="shared" si="1"/>
        <v>0.11958321616053169</v>
      </c>
      <c r="E23" s="183">
        <f t="shared" si="2"/>
        <v>-0.9212275739985557</v>
      </c>
      <c r="F23" s="183">
        <f t="shared" si="3"/>
        <v>7.2846825501429402E-2</v>
      </c>
      <c r="G23" s="184">
        <f t="shared" si="4"/>
        <v>1.6415707251125888</v>
      </c>
      <c r="H23" s="147">
        <f t="shared" si="5"/>
        <v>1.6415707251125888</v>
      </c>
      <c r="I23" s="146">
        <f t="shared" si="6"/>
        <v>0</v>
      </c>
      <c r="J23" s="146"/>
      <c r="K23" s="150"/>
      <c r="L23" s="150"/>
      <c r="M23" s="150"/>
      <c r="N23" s="150"/>
      <c r="O23" s="150"/>
      <c r="P23" s="150"/>
    </row>
    <row r="24" spans="1:16" ht="13.8" x14ac:dyDescent="0.25">
      <c r="A24" s="16">
        <v>18</v>
      </c>
      <c r="B24" s="2">
        <v>41.7</v>
      </c>
      <c r="C24" s="175">
        <f t="shared" si="0"/>
        <v>3.730501128804756</v>
      </c>
      <c r="D24" s="146">
        <f t="shared" si="1"/>
        <v>0.11324303587009554</v>
      </c>
      <c r="E24" s="183">
        <f t="shared" si="2"/>
        <v>-0.8483807484971263</v>
      </c>
      <c r="F24" s="183">
        <f t="shared" si="3"/>
        <v>6.9932338575848463E-2</v>
      </c>
      <c r="G24" s="184">
        <f t="shared" si="4"/>
        <v>1.6193228794611578</v>
      </c>
      <c r="H24" s="147">
        <f t="shared" si="5"/>
        <v>0</v>
      </c>
      <c r="I24" s="146">
        <f t="shared" si="6"/>
        <v>1.6193228794611578</v>
      </c>
      <c r="J24" s="146"/>
      <c r="K24" s="150"/>
      <c r="L24" s="150"/>
      <c r="M24" s="150"/>
      <c r="N24" s="150"/>
      <c r="O24" s="150"/>
      <c r="P24" s="150"/>
    </row>
    <row r="25" spans="1:16" ht="17.25" customHeight="1" x14ac:dyDescent="0.3">
      <c r="A25" s="16">
        <v>19</v>
      </c>
      <c r="B25" s="2">
        <v>46.7</v>
      </c>
      <c r="C25" s="175">
        <f t="shared" si="0"/>
        <v>3.8437441646748516</v>
      </c>
      <c r="D25" s="146">
        <f t="shared" si="1"/>
        <v>7.6247010402471282E-2</v>
      </c>
      <c r="E25" s="183">
        <f t="shared" si="2"/>
        <v>-0.77844840992127784</v>
      </c>
      <c r="F25" s="183">
        <f t="shared" si="3"/>
        <v>6.7382753417453367E-2</v>
      </c>
      <c r="G25" s="184">
        <f t="shared" si="4"/>
        <v>1.1315508277036646</v>
      </c>
      <c r="H25" s="147">
        <f t="shared" si="5"/>
        <v>0</v>
      </c>
      <c r="I25" s="146">
        <f t="shared" si="6"/>
        <v>1.1315508277036646</v>
      </c>
      <c r="J25" s="146"/>
      <c r="K25" s="155"/>
      <c r="L25" s="146"/>
      <c r="M25" s="146"/>
      <c r="N25" s="146"/>
      <c r="O25" s="146"/>
      <c r="P25" s="146"/>
    </row>
    <row r="26" spans="1:16" x14ac:dyDescent="0.25">
      <c r="A26" s="16">
        <v>20</v>
      </c>
      <c r="B26" s="2">
        <v>50.4</v>
      </c>
      <c r="C26" s="175">
        <f t="shared" si="0"/>
        <v>3.9199911750773229</v>
      </c>
      <c r="D26" s="146">
        <f t="shared" si="1"/>
        <v>1.9646997383796716E-2</v>
      </c>
      <c r="E26" s="183">
        <f t="shared" si="2"/>
        <v>-0.71106565650382447</v>
      </c>
      <c r="F26" s="183">
        <f t="shared" si="3"/>
        <v>6.5148213657235332E-2</v>
      </c>
      <c r="G26" s="184">
        <f t="shared" si="4"/>
        <v>0.30157384647821006</v>
      </c>
      <c r="H26" s="147">
        <f t="shared" si="5"/>
        <v>0</v>
      </c>
      <c r="I26" s="146">
        <f t="shared" si="6"/>
        <v>0.30157384647821006</v>
      </c>
    </row>
    <row r="27" spans="1:16" x14ac:dyDescent="0.25">
      <c r="A27" s="16">
        <v>21</v>
      </c>
      <c r="B27" s="2">
        <v>51.4</v>
      </c>
      <c r="C27" s="175">
        <f t="shared" si="0"/>
        <v>3.9396381724611196</v>
      </c>
      <c r="D27" s="146">
        <f t="shared" si="1"/>
        <v>0.15470638976098083</v>
      </c>
      <c r="E27" s="183">
        <f t="shared" si="2"/>
        <v>-0.64591744284658914</v>
      </c>
      <c r="F27" s="183">
        <f t="shared" si="3"/>
        <v>6.3188967161380227E-2</v>
      </c>
      <c r="G27" s="184">
        <f t="shared" si="4"/>
        <v>2.4483133165615998</v>
      </c>
      <c r="H27" s="147">
        <f t="shared" si="5"/>
        <v>0</v>
      </c>
      <c r="I27" s="146">
        <f t="shared" si="6"/>
        <v>2.4483133165615998</v>
      </c>
    </row>
    <row r="28" spans="1:16" x14ac:dyDescent="0.25">
      <c r="A28" s="16">
        <v>22</v>
      </c>
      <c r="B28" s="2">
        <v>60</v>
      </c>
      <c r="C28" s="175">
        <f t="shared" si="0"/>
        <v>4.0943445622221004</v>
      </c>
      <c r="D28" s="146">
        <f t="shared" si="1"/>
        <v>2.1435280720065286E-2</v>
      </c>
      <c r="E28" s="183">
        <f t="shared" si="2"/>
        <v>-0.58272847568520891</v>
      </c>
      <c r="F28" s="183">
        <f t="shared" si="3"/>
        <v>6.1473162549127269E-2</v>
      </c>
      <c r="G28" s="184">
        <f t="shared" si="4"/>
        <v>0.34869331316629326</v>
      </c>
      <c r="H28" s="147">
        <f t="shared" si="5"/>
        <v>0</v>
      </c>
      <c r="I28" s="146">
        <f t="shared" si="6"/>
        <v>0.34869331316629326</v>
      </c>
    </row>
    <row r="29" spans="1:16" x14ac:dyDescent="0.25">
      <c r="A29" s="16">
        <v>23</v>
      </c>
      <c r="B29" s="2">
        <v>61.3</v>
      </c>
      <c r="C29" s="175">
        <f t="shared" si="0"/>
        <v>4.1157798429421657</v>
      </c>
      <c r="D29" s="146">
        <f t="shared" si="1"/>
        <v>1.6299922109306308E-3</v>
      </c>
      <c r="E29" s="183">
        <f t="shared" si="2"/>
        <v>-0.52125531313608164</v>
      </c>
      <c r="F29" s="183">
        <f t="shared" si="3"/>
        <v>5.9975240539370644E-2</v>
      </c>
      <c r="G29" s="184">
        <f t="shared" si="4"/>
        <v>2.7177751956836676E-2</v>
      </c>
      <c r="H29" s="147">
        <f t="shared" si="5"/>
        <v>0</v>
      </c>
      <c r="I29" s="146">
        <f t="shared" si="6"/>
        <v>2.7177751956836676E-2</v>
      </c>
    </row>
    <row r="30" spans="1:16" x14ac:dyDescent="0.25">
      <c r="A30" s="16">
        <v>24</v>
      </c>
      <c r="B30" s="2">
        <v>61.4</v>
      </c>
      <c r="C30" s="175">
        <f t="shared" si="0"/>
        <v>4.1174098351530963</v>
      </c>
      <c r="D30" s="146">
        <f t="shared" si="1"/>
        <v>6.6165860796947307E-2</v>
      </c>
      <c r="E30" s="183">
        <f t="shared" si="2"/>
        <v>-0.461280072596711</v>
      </c>
      <c r="F30" s="183">
        <f t="shared" si="3"/>
        <v>5.8674751141996273E-2</v>
      </c>
      <c r="G30" s="184">
        <f t="shared" si="4"/>
        <v>1.1276717754937233</v>
      </c>
      <c r="H30" s="147">
        <f t="shared" si="5"/>
        <v>0</v>
      </c>
      <c r="I30" s="146">
        <f t="shared" si="6"/>
        <v>1.1276717754937233</v>
      </c>
    </row>
    <row r="31" spans="1:16" x14ac:dyDescent="0.25">
      <c r="A31" s="16">
        <v>25</v>
      </c>
      <c r="B31" s="2">
        <v>65.599999999999994</v>
      </c>
      <c r="C31" s="175">
        <f t="shared" si="0"/>
        <v>4.1835756959500436</v>
      </c>
      <c r="D31" s="146">
        <f t="shared" si="1"/>
        <v>3.0441423812277435E-3</v>
      </c>
      <c r="E31" s="183">
        <f t="shared" si="2"/>
        <v>-0.40260532145471473</v>
      </c>
      <c r="F31" s="183">
        <f t="shared" si="3"/>
        <v>5.7555483261443829E-2</v>
      </c>
      <c r="G31" s="184">
        <f t="shared" si="4"/>
        <v>5.289057112768613E-2</v>
      </c>
      <c r="H31" s="147">
        <f t="shared" si="5"/>
        <v>0</v>
      </c>
      <c r="I31" s="146">
        <f t="shared" si="6"/>
        <v>5.289057112768613E-2</v>
      </c>
    </row>
    <row r="32" spans="1:16" x14ac:dyDescent="0.25">
      <c r="A32" s="16">
        <v>26</v>
      </c>
      <c r="B32" s="2">
        <v>65.8</v>
      </c>
      <c r="C32" s="175">
        <f t="shared" si="0"/>
        <v>4.1866198383312714</v>
      </c>
      <c r="D32" s="146">
        <f t="shared" si="1"/>
        <v>9.8345083499478569E-2</v>
      </c>
      <c r="E32" s="183">
        <f t="shared" si="2"/>
        <v>-0.3450498381932709</v>
      </c>
      <c r="F32" s="183">
        <f t="shared" si="3"/>
        <v>5.6604830058107736E-2</v>
      </c>
      <c r="G32" s="184">
        <f t="shared" si="4"/>
        <v>1.7373973810807726</v>
      </c>
      <c r="H32" s="147">
        <f t="shared" si="5"/>
        <v>0</v>
      </c>
      <c r="I32" s="146">
        <f t="shared" si="6"/>
        <v>1.7373973810807726</v>
      </c>
    </row>
    <row r="33" spans="1:9" x14ac:dyDescent="0.25">
      <c r="A33" s="16">
        <v>27</v>
      </c>
      <c r="B33" s="2">
        <v>72.599999999999994</v>
      </c>
      <c r="C33" s="175">
        <f t="shared" si="0"/>
        <v>4.28496492183075</v>
      </c>
      <c r="D33" s="146">
        <f t="shared" si="1"/>
        <v>7.6859005525612645E-2</v>
      </c>
      <c r="E33" s="183">
        <f t="shared" si="2"/>
        <v>-0.28844500813516316</v>
      </c>
      <c r="F33" s="183">
        <f t="shared" si="3"/>
        <v>5.5813338578136834E-2</v>
      </c>
      <c r="G33" s="184">
        <f t="shared" si="4"/>
        <v>1.3770723537351661</v>
      </c>
      <c r="H33" s="147">
        <f t="shared" si="5"/>
        <v>0</v>
      </c>
      <c r="I33" s="146">
        <f t="shared" si="6"/>
        <v>1.3770723537351661</v>
      </c>
    </row>
    <row r="34" spans="1:9" x14ac:dyDescent="0.25">
      <c r="A34" s="16">
        <v>28</v>
      </c>
      <c r="B34" s="2">
        <v>78.400000000000006</v>
      </c>
      <c r="C34" s="175">
        <f t="shared" si="0"/>
        <v>4.3618239273563626</v>
      </c>
      <c r="D34" s="146">
        <f t="shared" si="1"/>
        <v>0.24733827990126667</v>
      </c>
      <c r="E34" s="183">
        <f t="shared" si="2"/>
        <v>-0.23263166955702633</v>
      </c>
      <c r="F34" s="183">
        <f t="shared" si="3"/>
        <v>5.5174410147915492E-2</v>
      </c>
      <c r="G34" s="184">
        <f t="shared" si="4"/>
        <v>4.4828441162884127</v>
      </c>
      <c r="H34" s="147">
        <f t="shared" si="5"/>
        <v>0</v>
      </c>
      <c r="I34" s="146">
        <f t="shared" si="6"/>
        <v>4.4828441162884127</v>
      </c>
    </row>
    <row r="35" spans="1:9" x14ac:dyDescent="0.25">
      <c r="A35" s="16">
        <v>29</v>
      </c>
      <c r="B35" s="2">
        <v>100.4</v>
      </c>
      <c r="C35" s="175">
        <f t="shared" si="0"/>
        <v>4.6091622072576293</v>
      </c>
      <c r="D35" s="146">
        <f t="shared" si="1"/>
        <v>9.6757881830605186E-2</v>
      </c>
      <c r="E35" s="183">
        <f t="shared" si="2"/>
        <v>-0.17745725940911083</v>
      </c>
      <c r="F35" s="183">
        <f t="shared" si="3"/>
        <v>5.4684131722699703E-2</v>
      </c>
      <c r="G35" s="184">
        <f t="shared" si="4"/>
        <v>1.7693959615425405</v>
      </c>
      <c r="H35" s="147">
        <f t="shared" si="5"/>
        <v>0</v>
      </c>
      <c r="I35" s="146">
        <f t="shared" si="6"/>
        <v>1.7693959615425405</v>
      </c>
    </row>
    <row r="36" spans="1:9" x14ac:dyDescent="0.25">
      <c r="A36" s="16">
        <v>30</v>
      </c>
      <c r="B36" s="2">
        <v>110.6</v>
      </c>
      <c r="C36" s="175">
        <f t="shared" si="0"/>
        <v>4.7059200890882344</v>
      </c>
      <c r="D36" s="146">
        <f t="shared" si="1"/>
        <v>7.207238404949301E-3</v>
      </c>
      <c r="E36" s="183">
        <f t="shared" si="2"/>
        <v>-0.12277312768641113</v>
      </c>
      <c r="F36" s="183">
        <f t="shared" si="3"/>
        <v>5.4341229815820957E-2</v>
      </c>
      <c r="G36" s="184">
        <f t="shared" si="4"/>
        <v>0.13262928405148053</v>
      </c>
      <c r="H36" s="147">
        <f t="shared" si="5"/>
        <v>0</v>
      </c>
      <c r="I36" s="146">
        <f t="shared" si="6"/>
        <v>0.13262928405148053</v>
      </c>
    </row>
    <row r="37" spans="1:9" x14ac:dyDescent="0.25">
      <c r="A37" s="16">
        <v>31</v>
      </c>
      <c r="B37" s="2">
        <v>111.4</v>
      </c>
      <c r="C37" s="175">
        <f t="shared" si="0"/>
        <v>4.7131273274931837</v>
      </c>
      <c r="D37" s="146">
        <f t="shared" si="1"/>
        <v>5.9250777478814243E-2</v>
      </c>
      <c r="E37" s="183">
        <f t="shared" si="2"/>
        <v>-6.8431897870590175E-2</v>
      </c>
      <c r="F37" s="183">
        <f t="shared" si="3"/>
        <v>5.4147149454828479E-2</v>
      </c>
      <c r="G37" s="184">
        <f t="shared" si="4"/>
        <v>1.0942547867315415</v>
      </c>
      <c r="H37" s="147">
        <f t="shared" si="5"/>
        <v>0</v>
      </c>
      <c r="I37" s="146">
        <f t="shared" si="6"/>
        <v>1.0942547867315415</v>
      </c>
    </row>
    <row r="38" spans="1:9" x14ac:dyDescent="0.25">
      <c r="A38" s="16">
        <v>32</v>
      </c>
      <c r="B38" s="2">
        <v>118.2</v>
      </c>
      <c r="C38" s="175">
        <f t="shared" si="0"/>
        <v>4.772378104971998</v>
      </c>
      <c r="D38" s="146">
        <f t="shared" si="1"/>
        <v>1.0101095986503772E-2</v>
      </c>
      <c r="E38" s="183">
        <f t="shared" si="2"/>
        <v>-1.4284748415761698E-2</v>
      </c>
      <c r="F38" s="183">
        <f t="shared" si="3"/>
        <v>5.410627240928978E-2</v>
      </c>
      <c r="G38" s="184">
        <f t="shared" si="4"/>
        <v>0.18668992589423816</v>
      </c>
      <c r="H38" s="147">
        <f t="shared" si="5"/>
        <v>0</v>
      </c>
      <c r="I38" s="146">
        <f t="shared" si="6"/>
        <v>0.18668992589423816</v>
      </c>
    </row>
    <row r="39" spans="1:9" x14ac:dyDescent="0.25">
      <c r="A39" s="16">
        <v>33</v>
      </c>
      <c r="B39" s="2">
        <v>119.4</v>
      </c>
      <c r="C39" s="175">
        <f t="shared" si="0"/>
        <v>4.7824792009585018</v>
      </c>
      <c r="D39" s="146">
        <f t="shared" ref="D39:D55" si="7">IF(A40&lt;=$D$58,C40-C39,"")</f>
        <v>0.10108001056977756</v>
      </c>
      <c r="E39" s="183">
        <f t="shared" ref="E39:E56" si="8">IF(A39&lt;=$D$58,LN(-LN(1-(A39-0.5)/($C$4+0.25))),"")</f>
        <v>3.9821523993528084E-2</v>
      </c>
      <c r="F39" s="183">
        <f t="shared" ref="F39:F56" si="9">IF(A39&lt;$D$58,E40-E39,"")</f>
        <v>5.4226303623170817E-2</v>
      </c>
      <c r="G39" s="184">
        <f t="shared" ref="G39:G56" si="10">IF(A39&lt;$D$58,D39/F39,"")</f>
        <v>1.8640402132552185</v>
      </c>
      <c r="H39" s="147">
        <f t="shared" ref="H39:H56" si="11">IF(A39&lt;=$F$58,G39,0)</f>
        <v>0</v>
      </c>
      <c r="I39" s="146">
        <f t="shared" ref="I39:I56" si="12">IF(A39&gt;=$F$58+1,G39,0)</f>
        <v>1.8640402132552185</v>
      </c>
    </row>
    <row r="40" spans="1:9" x14ac:dyDescent="0.25">
      <c r="A40" s="16">
        <v>34</v>
      </c>
      <c r="B40" s="2">
        <v>132.1</v>
      </c>
      <c r="C40" s="175">
        <f t="shared" si="0"/>
        <v>4.8835592115282793</v>
      </c>
      <c r="D40" s="146">
        <f t="shared" si="7"/>
        <v>5.5938054734636644E-2</v>
      </c>
      <c r="E40" s="183">
        <f t="shared" si="8"/>
        <v>9.4047827616698901E-2</v>
      </c>
      <c r="F40" s="183">
        <f t="shared" si="9"/>
        <v>5.4518875075047893E-2</v>
      </c>
      <c r="G40" s="184">
        <f t="shared" si="10"/>
        <v>1.0260309784021622</v>
      </c>
      <c r="H40" s="147">
        <f t="shared" si="11"/>
        <v>0</v>
      </c>
      <c r="I40" s="146">
        <f t="shared" si="12"/>
        <v>1.0260309784021622</v>
      </c>
    </row>
    <row r="41" spans="1:9" x14ac:dyDescent="0.25">
      <c r="A41" s="16">
        <v>35</v>
      </c>
      <c r="B41" s="2">
        <v>139.69999999999999</v>
      </c>
      <c r="C41" s="175">
        <f t="shared" si="0"/>
        <v>4.939497266262916</v>
      </c>
      <c r="D41" s="146" t="str">
        <f t="shared" si="7"/>
        <v/>
      </c>
      <c r="E41" s="183">
        <f t="shared" si="8"/>
        <v>0.14856670269174679</v>
      </c>
      <c r="F41" s="183" t="str">
        <f t="shared" si="9"/>
        <v/>
      </c>
      <c r="G41" s="184" t="str">
        <f t="shared" si="10"/>
        <v/>
      </c>
      <c r="H41" s="147">
        <f t="shared" si="11"/>
        <v>0</v>
      </c>
      <c r="I41" s="146" t="str">
        <f t="shared" si="12"/>
        <v/>
      </c>
    </row>
    <row r="42" spans="1:9" x14ac:dyDescent="0.25">
      <c r="A42" s="16">
        <v>36</v>
      </c>
      <c r="B42" s="2"/>
      <c r="C42" s="175" t="str">
        <f t="shared" si="0"/>
        <v/>
      </c>
      <c r="D42" s="146" t="str">
        <f t="shared" si="7"/>
        <v/>
      </c>
      <c r="E42" s="183" t="str">
        <f t="shared" si="8"/>
        <v/>
      </c>
      <c r="F42" s="183" t="str">
        <f t="shared" si="9"/>
        <v/>
      </c>
      <c r="G42" s="184" t="str">
        <f t="shared" si="10"/>
        <v/>
      </c>
      <c r="H42" s="147">
        <f t="shared" si="11"/>
        <v>0</v>
      </c>
      <c r="I42" s="146" t="str">
        <f t="shared" si="12"/>
        <v/>
      </c>
    </row>
    <row r="43" spans="1:9" x14ac:dyDescent="0.25">
      <c r="A43" s="16">
        <v>37</v>
      </c>
      <c r="B43" s="2"/>
      <c r="C43" s="175" t="str">
        <f t="shared" si="0"/>
        <v/>
      </c>
      <c r="D43" s="146" t="str">
        <f t="shared" si="7"/>
        <v/>
      </c>
      <c r="E43" s="183" t="str">
        <f t="shared" si="8"/>
        <v/>
      </c>
      <c r="F43" s="183" t="str">
        <f t="shared" si="9"/>
        <v/>
      </c>
      <c r="G43" s="184" t="str">
        <f t="shared" si="10"/>
        <v/>
      </c>
      <c r="H43" s="147">
        <f t="shared" si="11"/>
        <v>0</v>
      </c>
      <c r="I43" s="146" t="str">
        <f t="shared" si="12"/>
        <v/>
      </c>
    </row>
    <row r="44" spans="1:9" x14ac:dyDescent="0.25">
      <c r="A44" s="16">
        <v>38</v>
      </c>
      <c r="B44" s="2"/>
      <c r="C44" s="175" t="str">
        <f t="shared" si="0"/>
        <v/>
      </c>
      <c r="D44" s="146" t="str">
        <f t="shared" si="7"/>
        <v/>
      </c>
      <c r="E44" s="183" t="str">
        <f t="shared" si="8"/>
        <v/>
      </c>
      <c r="F44" s="183" t="str">
        <f t="shared" si="9"/>
        <v/>
      </c>
      <c r="G44" s="184" t="str">
        <f t="shared" si="10"/>
        <v/>
      </c>
      <c r="H44" s="147">
        <f t="shared" si="11"/>
        <v>0</v>
      </c>
      <c r="I44" s="146" t="str">
        <f t="shared" si="12"/>
        <v/>
      </c>
    </row>
    <row r="45" spans="1:9" x14ac:dyDescent="0.25">
      <c r="A45" s="16">
        <v>39</v>
      </c>
      <c r="B45" s="2"/>
      <c r="C45" s="175" t="str">
        <f t="shared" si="0"/>
        <v/>
      </c>
      <c r="D45" s="146" t="str">
        <f t="shared" si="7"/>
        <v/>
      </c>
      <c r="E45" s="183" t="str">
        <f t="shared" si="8"/>
        <v/>
      </c>
      <c r="F45" s="183" t="str">
        <f t="shared" si="9"/>
        <v/>
      </c>
      <c r="G45" s="184" t="str">
        <f t="shared" si="10"/>
        <v/>
      </c>
      <c r="H45" s="147">
        <f t="shared" si="11"/>
        <v>0</v>
      </c>
      <c r="I45" s="146" t="str">
        <f t="shared" si="12"/>
        <v/>
      </c>
    </row>
    <row r="46" spans="1:9" x14ac:dyDescent="0.25">
      <c r="A46" s="16">
        <v>40</v>
      </c>
      <c r="B46" s="2"/>
      <c r="C46" s="175" t="str">
        <f t="shared" si="0"/>
        <v/>
      </c>
      <c r="D46" s="146" t="str">
        <f t="shared" si="7"/>
        <v/>
      </c>
      <c r="E46" s="183" t="str">
        <f t="shared" si="8"/>
        <v/>
      </c>
      <c r="F46" s="183" t="str">
        <f t="shared" si="9"/>
        <v/>
      </c>
      <c r="G46" s="184" t="str">
        <f t="shared" si="10"/>
        <v/>
      </c>
      <c r="H46" s="147">
        <f t="shared" si="11"/>
        <v>0</v>
      </c>
      <c r="I46" s="146" t="str">
        <f t="shared" si="12"/>
        <v/>
      </c>
    </row>
    <row r="47" spans="1:9" x14ac:dyDescent="0.25">
      <c r="A47" s="16">
        <v>41</v>
      </c>
      <c r="B47" s="2"/>
      <c r="C47" s="175" t="str">
        <f t="shared" si="0"/>
        <v/>
      </c>
      <c r="D47" s="146" t="str">
        <f t="shared" si="7"/>
        <v/>
      </c>
      <c r="E47" s="183" t="str">
        <f t="shared" si="8"/>
        <v/>
      </c>
      <c r="F47" s="183" t="str">
        <f t="shared" si="9"/>
        <v/>
      </c>
      <c r="G47" s="184" t="str">
        <f t="shared" si="10"/>
        <v/>
      </c>
      <c r="H47" s="147">
        <f t="shared" si="11"/>
        <v>0</v>
      </c>
      <c r="I47" s="146" t="str">
        <f t="shared" si="12"/>
        <v/>
      </c>
    </row>
    <row r="48" spans="1:9" x14ac:dyDescent="0.25">
      <c r="A48" s="16">
        <v>42</v>
      </c>
      <c r="B48" s="2"/>
      <c r="C48" s="175" t="str">
        <f t="shared" si="0"/>
        <v/>
      </c>
      <c r="D48" s="146" t="str">
        <f t="shared" si="7"/>
        <v/>
      </c>
      <c r="E48" s="183" t="str">
        <f t="shared" si="8"/>
        <v/>
      </c>
      <c r="F48" s="183" t="str">
        <f t="shared" si="9"/>
        <v/>
      </c>
      <c r="G48" s="184" t="str">
        <f t="shared" si="10"/>
        <v/>
      </c>
      <c r="H48" s="147">
        <f t="shared" si="11"/>
        <v>0</v>
      </c>
      <c r="I48" s="146" t="str">
        <f t="shared" si="12"/>
        <v/>
      </c>
    </row>
    <row r="49" spans="1:9" x14ac:dyDescent="0.25">
      <c r="A49" s="16">
        <v>43</v>
      </c>
      <c r="B49" s="2"/>
      <c r="C49" s="175" t="str">
        <f t="shared" si="0"/>
        <v/>
      </c>
      <c r="D49" s="146" t="str">
        <f t="shared" si="7"/>
        <v/>
      </c>
      <c r="E49" s="183" t="str">
        <f t="shared" si="8"/>
        <v/>
      </c>
      <c r="F49" s="183" t="str">
        <f t="shared" si="9"/>
        <v/>
      </c>
      <c r="G49" s="184" t="str">
        <f t="shared" si="10"/>
        <v/>
      </c>
      <c r="H49" s="147">
        <f t="shared" si="11"/>
        <v>0</v>
      </c>
      <c r="I49" s="146" t="str">
        <f t="shared" si="12"/>
        <v/>
      </c>
    </row>
    <row r="50" spans="1:9" x14ac:dyDescent="0.25">
      <c r="A50" s="16">
        <v>44</v>
      </c>
      <c r="B50" s="2"/>
      <c r="C50" s="175" t="str">
        <f t="shared" si="0"/>
        <v/>
      </c>
      <c r="D50" s="146" t="str">
        <f t="shared" si="7"/>
        <v/>
      </c>
      <c r="E50" s="183" t="str">
        <f t="shared" si="8"/>
        <v/>
      </c>
      <c r="F50" s="183" t="str">
        <f t="shared" si="9"/>
        <v/>
      </c>
      <c r="G50" s="184" t="str">
        <f t="shared" si="10"/>
        <v/>
      </c>
      <c r="H50" s="147">
        <f t="shared" si="11"/>
        <v>0</v>
      </c>
      <c r="I50" s="146" t="str">
        <f t="shared" si="12"/>
        <v/>
      </c>
    </row>
    <row r="51" spans="1:9" x14ac:dyDescent="0.25">
      <c r="A51" s="16">
        <v>45</v>
      </c>
      <c r="B51" s="2"/>
      <c r="C51" s="175" t="str">
        <f t="shared" si="0"/>
        <v/>
      </c>
      <c r="D51" s="146" t="str">
        <f t="shared" si="7"/>
        <v/>
      </c>
      <c r="E51" s="183" t="str">
        <f t="shared" si="8"/>
        <v/>
      </c>
      <c r="F51" s="183" t="str">
        <f t="shared" si="9"/>
        <v/>
      </c>
      <c r="G51" s="184" t="str">
        <f t="shared" si="10"/>
        <v/>
      </c>
      <c r="H51" s="147">
        <f t="shared" si="11"/>
        <v>0</v>
      </c>
      <c r="I51" s="146" t="str">
        <f t="shared" si="12"/>
        <v/>
      </c>
    </row>
    <row r="52" spans="1:9" x14ac:dyDescent="0.25">
      <c r="A52" s="16">
        <v>46</v>
      </c>
      <c r="B52" s="2"/>
      <c r="C52" s="175" t="str">
        <f t="shared" si="0"/>
        <v/>
      </c>
      <c r="D52" s="146" t="str">
        <f t="shared" si="7"/>
        <v/>
      </c>
      <c r="E52" s="183" t="str">
        <f t="shared" si="8"/>
        <v/>
      </c>
      <c r="F52" s="183" t="str">
        <f t="shared" si="9"/>
        <v/>
      </c>
      <c r="G52" s="184" t="str">
        <f t="shared" si="10"/>
        <v/>
      </c>
      <c r="H52" s="147">
        <f t="shared" si="11"/>
        <v>0</v>
      </c>
      <c r="I52" s="146" t="str">
        <f t="shared" si="12"/>
        <v/>
      </c>
    </row>
    <row r="53" spans="1:9" x14ac:dyDescent="0.25">
      <c r="A53" s="16">
        <v>47</v>
      </c>
      <c r="B53" s="2"/>
      <c r="C53" s="175" t="str">
        <f t="shared" si="0"/>
        <v/>
      </c>
      <c r="D53" s="146" t="str">
        <f t="shared" si="7"/>
        <v/>
      </c>
      <c r="E53" s="183" t="str">
        <f t="shared" si="8"/>
        <v/>
      </c>
      <c r="F53" s="183" t="str">
        <f t="shared" si="9"/>
        <v/>
      </c>
      <c r="G53" s="184" t="str">
        <f t="shared" si="10"/>
        <v/>
      </c>
      <c r="H53" s="147">
        <f t="shared" si="11"/>
        <v>0</v>
      </c>
      <c r="I53" s="146" t="str">
        <f t="shared" si="12"/>
        <v/>
      </c>
    </row>
    <row r="54" spans="1:9" x14ac:dyDescent="0.25">
      <c r="A54" s="16">
        <v>48</v>
      </c>
      <c r="B54" s="2"/>
      <c r="C54" s="175" t="str">
        <f t="shared" si="0"/>
        <v/>
      </c>
      <c r="D54" s="146" t="str">
        <f t="shared" si="7"/>
        <v/>
      </c>
      <c r="E54" s="183" t="str">
        <f t="shared" si="8"/>
        <v/>
      </c>
      <c r="F54" s="183" t="str">
        <f t="shared" si="9"/>
        <v/>
      </c>
      <c r="G54" s="184" t="str">
        <f t="shared" si="10"/>
        <v/>
      </c>
      <c r="H54" s="147">
        <f t="shared" si="11"/>
        <v>0</v>
      </c>
      <c r="I54" s="146" t="str">
        <f t="shared" si="12"/>
        <v/>
      </c>
    </row>
    <row r="55" spans="1:9" x14ac:dyDescent="0.25">
      <c r="A55" s="16">
        <v>49</v>
      </c>
      <c r="B55" s="2"/>
      <c r="C55" s="175" t="str">
        <f t="shared" si="0"/>
        <v/>
      </c>
      <c r="D55" s="146" t="str">
        <f t="shared" si="7"/>
        <v/>
      </c>
      <c r="E55" s="183" t="str">
        <f t="shared" si="8"/>
        <v/>
      </c>
      <c r="F55" s="183" t="str">
        <f t="shared" si="9"/>
        <v/>
      </c>
      <c r="G55" s="184" t="str">
        <f t="shared" si="10"/>
        <v/>
      </c>
      <c r="H55" s="147">
        <f t="shared" si="11"/>
        <v>0</v>
      </c>
      <c r="I55" s="146" t="str">
        <f t="shared" si="12"/>
        <v/>
      </c>
    </row>
    <row r="56" spans="1:9" x14ac:dyDescent="0.25">
      <c r="A56" s="16">
        <v>50</v>
      </c>
      <c r="B56" s="2"/>
      <c r="C56" s="175" t="str">
        <f t="shared" si="0"/>
        <v/>
      </c>
      <c r="D56" s="146" t="str">
        <f>IF(A57&lt;=$D$58,E58-C56,"")</f>
        <v/>
      </c>
      <c r="E56" s="183" t="str">
        <f t="shared" si="8"/>
        <v/>
      </c>
      <c r="F56" s="183" t="str">
        <f t="shared" si="9"/>
        <v/>
      </c>
      <c r="G56" s="184" t="str">
        <f t="shared" si="10"/>
        <v/>
      </c>
      <c r="H56" s="147">
        <f t="shared" si="11"/>
        <v>0</v>
      </c>
      <c r="I56" s="146" t="str">
        <f t="shared" si="12"/>
        <v/>
      </c>
    </row>
    <row r="57" spans="1:9" x14ac:dyDescent="0.25">
      <c r="A57" s="196" t="s">
        <v>29</v>
      </c>
      <c r="B57" s="197">
        <f t="shared" ref="B57:I57" si="13">SUM(B7:B56)</f>
        <v>1872.4</v>
      </c>
      <c r="C57" s="197">
        <f t="shared" si="13"/>
        <v>127.61691912750844</v>
      </c>
      <c r="D57" s="197">
        <f t="shared" si="13"/>
        <v>4.6771330017954256</v>
      </c>
      <c r="E57" s="197">
        <f t="shared" si="13"/>
        <v>-39.400453867034507</v>
      </c>
      <c r="F57" s="197">
        <f t="shared" si="13"/>
        <v>4.7537285552562292</v>
      </c>
      <c r="G57" s="197">
        <f t="shared" si="13"/>
        <v>33.181930802688846</v>
      </c>
      <c r="H57" s="197">
        <f t="shared" si="13"/>
        <v>12.454381519758142</v>
      </c>
      <c r="I57" s="198">
        <f t="shared" si="13"/>
        <v>20.727549282930703</v>
      </c>
    </row>
    <row r="58" spans="1:9" ht="13.8" x14ac:dyDescent="0.25">
      <c r="A58" s="199" t="s">
        <v>69</v>
      </c>
      <c r="B58" s="200">
        <f>SUM(C7:C56)</f>
        <v>127.61691912750844</v>
      </c>
      <c r="C58" s="201" t="s">
        <v>63</v>
      </c>
      <c r="D58" s="202">
        <f>COUNT(B7:B56)</f>
        <v>35</v>
      </c>
      <c r="E58" s="201" t="s">
        <v>72</v>
      </c>
      <c r="F58" s="200">
        <f>INT(D58/2)</f>
        <v>17</v>
      </c>
      <c r="G58" s="201" t="s">
        <v>71</v>
      </c>
      <c r="H58" s="200">
        <f>INT((D58-1)/2)</f>
        <v>17</v>
      </c>
      <c r="I58" s="203"/>
    </row>
    <row r="59" spans="1:9" x14ac:dyDescent="0.25">
      <c r="E59" s="146"/>
      <c r="F59" s="62"/>
    </row>
    <row r="60" spans="1:9" x14ac:dyDescent="0.25">
      <c r="B60" s="152"/>
      <c r="C60" s="146"/>
      <c r="D60" s="152"/>
      <c r="E60" s="146"/>
      <c r="F60" s="62"/>
    </row>
  </sheetData>
  <sheetProtection password="DC2F" sheet="1" objects="1" scenarios="1" formatCells="0"/>
  <protectedRanges>
    <protectedRange sqref="C4" name="Range3"/>
    <protectedRange sqref="B2" name="Range1"/>
    <protectedRange sqref="B7:B56" name="Range2"/>
  </protectedRange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E1" sqref="E1:E65536"/>
    </sheetView>
  </sheetViews>
  <sheetFormatPr defaultRowHeight="13.2" x14ac:dyDescent="0.25"/>
  <cols>
    <col min="1" max="1" width="6.6640625" customWidth="1"/>
    <col min="2" max="2" width="11.6640625" customWidth="1"/>
    <col min="3" max="3" width="10" customWidth="1"/>
    <col min="4" max="4" width="8.88671875" customWidth="1"/>
    <col min="5" max="5" width="10.88671875" style="218" customWidth="1"/>
    <col min="6" max="6" width="10" customWidth="1"/>
    <col min="7" max="7" width="10.44140625" customWidth="1"/>
    <col min="8" max="8" width="10.109375" style="218" customWidth="1"/>
    <col min="9" max="9" width="10" customWidth="1"/>
    <col min="10" max="10" width="9.109375" customWidth="1"/>
    <col min="12" max="12" width="13.6640625" bestFit="1" customWidth="1"/>
  </cols>
  <sheetData>
    <row r="1" spans="1:16" ht="15.6" thickBot="1" x14ac:dyDescent="0.3">
      <c r="A1" s="232" t="s">
        <v>79</v>
      </c>
      <c r="B1" s="233"/>
      <c r="C1" s="233"/>
      <c r="D1" s="233"/>
      <c r="E1" s="227"/>
      <c r="F1" s="228"/>
      <c r="G1" s="222"/>
      <c r="H1" s="258"/>
      <c r="I1" s="228"/>
      <c r="J1" s="245"/>
    </row>
    <row r="2" spans="1:16" ht="16.2" thickBot="1" x14ac:dyDescent="0.35">
      <c r="A2" s="234"/>
      <c r="B2" s="235"/>
      <c r="C2" s="236"/>
      <c r="D2" s="237"/>
      <c r="E2" s="231" t="s">
        <v>88</v>
      </c>
      <c r="F2" s="173">
        <f>MAX(F57:G57)</f>
        <v>0.23207790020144559</v>
      </c>
      <c r="G2" s="229"/>
      <c r="H2" s="172" t="s">
        <v>88</v>
      </c>
      <c r="I2" s="244">
        <f>MAX(I57:J57)</f>
        <v>7.5835869208721318E-2</v>
      </c>
      <c r="J2" s="246"/>
      <c r="K2" s="146"/>
      <c r="L2" s="146"/>
      <c r="M2" s="146"/>
      <c r="N2" s="146"/>
      <c r="O2" s="146"/>
      <c r="P2" s="146"/>
    </row>
    <row r="3" spans="1:16" ht="14.4" thickBot="1" x14ac:dyDescent="0.3">
      <c r="A3" s="238"/>
      <c r="B3" s="248" t="s">
        <v>80</v>
      </c>
      <c r="C3" s="249"/>
      <c r="D3" s="239"/>
      <c r="E3" s="268" t="s">
        <v>91</v>
      </c>
      <c r="G3" s="230"/>
      <c r="H3" s="219" t="s">
        <v>92</v>
      </c>
      <c r="I3" s="146"/>
      <c r="J3" s="247"/>
      <c r="K3" s="150"/>
      <c r="L3" s="150"/>
      <c r="M3" s="150"/>
      <c r="N3" s="150"/>
      <c r="O3" s="150"/>
      <c r="P3" s="150"/>
    </row>
    <row r="4" spans="1:16" ht="14.4" thickBot="1" x14ac:dyDescent="0.3">
      <c r="A4" s="240"/>
      <c r="B4" s="241"/>
      <c r="C4" s="242"/>
      <c r="D4" s="243"/>
      <c r="E4" s="221" t="s">
        <v>82</v>
      </c>
      <c r="F4" s="209">
        <f>AVERAGE(B7:B56)</f>
        <v>1017.02</v>
      </c>
      <c r="G4" s="230"/>
      <c r="H4" s="221" t="s">
        <v>82</v>
      </c>
      <c r="I4" s="213">
        <f>AVERAGE(C7:C56)</f>
        <v>6.6403407600221716</v>
      </c>
      <c r="J4" s="89" t="s">
        <v>90</v>
      </c>
      <c r="K4" s="150"/>
      <c r="L4" s="150"/>
      <c r="M4" s="150"/>
      <c r="N4" s="150"/>
      <c r="O4" s="150"/>
      <c r="P4" s="150"/>
    </row>
    <row r="5" spans="1:16" ht="14.4" thickBot="1" x14ac:dyDescent="0.3">
      <c r="A5" s="72"/>
      <c r="B5" s="225"/>
      <c r="C5" s="225"/>
      <c r="D5" s="259" t="s">
        <v>87</v>
      </c>
      <c r="E5" s="223" t="s">
        <v>81</v>
      </c>
      <c r="F5" s="210">
        <f>STDEVP(B7:B56)</f>
        <v>947.64177831077097</v>
      </c>
      <c r="G5" s="230"/>
      <c r="H5" s="215" t="s">
        <v>81</v>
      </c>
      <c r="I5" s="214">
        <f>STDEVP(C7:C56)</f>
        <v>0.72494106629658239</v>
      </c>
      <c r="J5" s="212">
        <f>EXP(I4)</f>
        <v>765.35575123228671</v>
      </c>
      <c r="K5" s="150"/>
      <c r="L5" s="150"/>
      <c r="M5" s="150"/>
      <c r="N5" s="150"/>
      <c r="O5" s="150"/>
      <c r="P5" s="150"/>
    </row>
    <row r="6" spans="1:16" ht="14.4" thickBot="1" x14ac:dyDescent="0.3">
      <c r="A6" s="76" t="s">
        <v>26</v>
      </c>
      <c r="B6" s="226" t="s">
        <v>27</v>
      </c>
      <c r="C6" s="179" t="s">
        <v>28</v>
      </c>
      <c r="D6" s="224" t="s">
        <v>86</v>
      </c>
      <c r="E6" s="216" t="s">
        <v>83</v>
      </c>
      <c r="F6" s="192" t="s">
        <v>84</v>
      </c>
      <c r="G6" s="264" t="s">
        <v>85</v>
      </c>
      <c r="H6" s="216" t="s">
        <v>89</v>
      </c>
      <c r="I6" s="192" t="s">
        <v>84</v>
      </c>
      <c r="J6" s="193" t="s">
        <v>85</v>
      </c>
      <c r="M6" s="150"/>
      <c r="N6" s="150"/>
      <c r="O6" s="150"/>
      <c r="P6" s="150"/>
    </row>
    <row r="7" spans="1:16" ht="13.8" x14ac:dyDescent="0.25">
      <c r="A7" s="16">
        <v>1</v>
      </c>
      <c r="B7" s="2">
        <v>220.2</v>
      </c>
      <c r="C7" s="265">
        <f t="shared" ref="C7:C21" si="0">IF(B7&gt;0,LN(B7),"")</f>
        <v>5.3945362242885793</v>
      </c>
      <c r="D7" s="211">
        <f t="shared" ref="D7:D38" si="1">IF(B7&gt;0,(A7)/$D$57,"")</f>
        <v>0.04</v>
      </c>
      <c r="E7" s="266">
        <f t="shared" ref="E7:E38" si="2">IF(B7&gt;0,NORMDIST(B7,$F$4,$F$5,TRUE),"")</f>
        <v>0.20021734279793546</v>
      </c>
      <c r="F7" s="211">
        <f>IF(B7&gt;0,E7,"")</f>
        <v>0.20021734279793546</v>
      </c>
      <c r="G7" s="208">
        <f t="shared" ref="G7:G21" si="3">IF(B7&gt;0,D7-E7,"")</f>
        <v>-0.16021734279793545</v>
      </c>
      <c r="H7" s="220">
        <f t="shared" ref="H7:H38" si="4">IF(B7&gt;0,NORMDIST(C7,$I$4,$I$5,TRUE),"")</f>
        <v>4.2853567719176623E-2</v>
      </c>
      <c r="I7" s="211">
        <f>IF(B7&gt;0,H7,"")</f>
        <v>4.2853567719176623E-2</v>
      </c>
      <c r="J7" s="208">
        <f>IF(B7&gt;0,D7-H7,"")</f>
        <v>-2.8535677191766223E-3</v>
      </c>
      <c r="M7" s="150"/>
      <c r="N7" s="150"/>
      <c r="O7" s="150"/>
      <c r="P7" s="150"/>
    </row>
    <row r="8" spans="1:16" ht="13.8" x14ac:dyDescent="0.25">
      <c r="A8" s="16">
        <v>2</v>
      </c>
      <c r="B8" s="2">
        <v>240.5</v>
      </c>
      <c r="C8" s="267">
        <f t="shared" si="0"/>
        <v>5.4827200895458157</v>
      </c>
      <c r="D8" s="211">
        <f t="shared" si="1"/>
        <v>0.08</v>
      </c>
      <c r="E8" s="266">
        <f t="shared" si="2"/>
        <v>0.2062723986496085</v>
      </c>
      <c r="F8" s="211">
        <f t="shared" ref="F8:F21" si="5">IF(B8&gt;0,E8-D7,"")</f>
        <v>0.16627239864960849</v>
      </c>
      <c r="G8" s="208">
        <f t="shared" si="3"/>
        <v>-0.12627239864960849</v>
      </c>
      <c r="H8" s="220">
        <f t="shared" si="4"/>
        <v>5.5149799965588192E-2</v>
      </c>
      <c r="I8" s="211">
        <f>IF(B8&gt;0,H8-D7,"")</f>
        <v>1.5149799965588191E-2</v>
      </c>
      <c r="J8" s="208">
        <f t="shared" ref="J8:J56" si="6">IF(B8&gt;0,D8-H8,"")</f>
        <v>2.485020003441181E-2</v>
      </c>
      <c r="M8" s="150"/>
      <c r="N8" s="150"/>
      <c r="O8" s="150"/>
      <c r="P8" s="150"/>
    </row>
    <row r="9" spans="1:16" ht="13.8" x14ac:dyDescent="0.25">
      <c r="A9" s="16">
        <v>3</v>
      </c>
      <c r="B9" s="2">
        <v>282.3</v>
      </c>
      <c r="C9" s="267">
        <f t="shared" si="0"/>
        <v>5.6429703352594434</v>
      </c>
      <c r="D9" s="211">
        <f t="shared" si="1"/>
        <v>0.12</v>
      </c>
      <c r="E9" s="266">
        <f t="shared" si="2"/>
        <v>0.21907704993664204</v>
      </c>
      <c r="F9" s="211">
        <f t="shared" si="5"/>
        <v>0.13907704993664205</v>
      </c>
      <c r="G9" s="208">
        <f t="shared" si="3"/>
        <v>-9.9077049936642042E-2</v>
      </c>
      <c r="H9" s="220">
        <f t="shared" si="4"/>
        <v>8.4442527079384419E-2</v>
      </c>
      <c r="I9" s="211">
        <f t="shared" ref="I9:I56" si="7">IF(B9&gt;0,H9-D8,"")</f>
        <v>4.4425270793844174E-3</v>
      </c>
      <c r="J9" s="208">
        <f t="shared" si="6"/>
        <v>3.5557472920615577E-2</v>
      </c>
      <c r="M9" s="150"/>
      <c r="N9" s="150"/>
      <c r="O9" s="150"/>
      <c r="P9" s="150"/>
    </row>
    <row r="10" spans="1:16" ht="13.8" x14ac:dyDescent="0.25">
      <c r="A10" s="16">
        <v>4</v>
      </c>
      <c r="B10" s="2">
        <v>326.89999999999998</v>
      </c>
      <c r="C10" s="267">
        <f t="shared" si="0"/>
        <v>5.789654313730165</v>
      </c>
      <c r="D10" s="211">
        <f t="shared" si="1"/>
        <v>0.16</v>
      </c>
      <c r="E10" s="266">
        <f t="shared" si="2"/>
        <v>0.2332303221582416</v>
      </c>
      <c r="F10" s="211">
        <f t="shared" si="5"/>
        <v>0.11323032215824161</v>
      </c>
      <c r="G10" s="208">
        <f t="shared" si="3"/>
        <v>-7.3230322158241601E-2</v>
      </c>
      <c r="H10" s="220">
        <f t="shared" si="4"/>
        <v>0.1203064951607456</v>
      </c>
      <c r="I10" s="211">
        <f t="shared" si="7"/>
        <v>3.0649516074560124E-4</v>
      </c>
      <c r="J10" s="208">
        <f t="shared" si="6"/>
        <v>3.9693504839254407E-2</v>
      </c>
      <c r="M10" s="150"/>
      <c r="N10" s="150"/>
      <c r="O10" s="150"/>
      <c r="P10" s="150"/>
    </row>
    <row r="11" spans="1:16" ht="13.8" x14ac:dyDescent="0.25">
      <c r="A11" s="16">
        <v>5</v>
      </c>
      <c r="B11" s="2">
        <v>338.8</v>
      </c>
      <c r="C11" s="267">
        <f t="shared" si="0"/>
        <v>5.8254099627778997</v>
      </c>
      <c r="D11" s="211">
        <f t="shared" si="1"/>
        <v>0.2</v>
      </c>
      <c r="E11" s="266">
        <f t="shared" si="2"/>
        <v>0.23709065839754662</v>
      </c>
      <c r="F11" s="211">
        <f t="shared" si="5"/>
        <v>7.7090658397546613E-2</v>
      </c>
      <c r="G11" s="208">
        <f t="shared" si="3"/>
        <v>-3.7090658397546605E-2</v>
      </c>
      <c r="H11" s="220">
        <f t="shared" si="4"/>
        <v>0.13047812194121652</v>
      </c>
      <c r="I11" s="211">
        <f t="shared" si="7"/>
        <v>-2.9521878058783479E-2</v>
      </c>
      <c r="J11" s="208">
        <f t="shared" si="6"/>
        <v>6.9521878058783487E-2</v>
      </c>
      <c r="M11" s="150"/>
      <c r="N11" s="150"/>
      <c r="O11" s="150"/>
      <c r="P11" s="150"/>
    </row>
    <row r="12" spans="1:16" ht="13.8" x14ac:dyDescent="0.25">
      <c r="A12" s="16">
        <v>6</v>
      </c>
      <c r="B12" s="2">
        <v>452</v>
      </c>
      <c r="C12" s="267">
        <f t="shared" si="0"/>
        <v>6.1136821798322316</v>
      </c>
      <c r="D12" s="211">
        <f t="shared" si="1"/>
        <v>0.24</v>
      </c>
      <c r="E12" s="266">
        <f t="shared" si="2"/>
        <v>0.27550813522157303</v>
      </c>
      <c r="F12" s="211">
        <f t="shared" si="5"/>
        <v>7.5508135221573014E-2</v>
      </c>
      <c r="G12" s="208">
        <f t="shared" si="3"/>
        <v>-3.5508135221573034E-2</v>
      </c>
      <c r="H12" s="220">
        <f t="shared" si="4"/>
        <v>0.23377084725080197</v>
      </c>
      <c r="I12" s="211">
        <f t="shared" si="7"/>
        <v>3.3770847250801955E-2</v>
      </c>
      <c r="J12" s="208">
        <f t="shared" si="6"/>
        <v>6.2291527491980248E-3</v>
      </c>
      <c r="M12" s="150"/>
      <c r="N12" s="150"/>
      <c r="O12" s="150"/>
      <c r="P12" s="150"/>
    </row>
    <row r="13" spans="1:16" ht="13.8" x14ac:dyDescent="0.25">
      <c r="A13" s="16">
        <v>7</v>
      </c>
      <c r="B13" s="2">
        <v>464.9</v>
      </c>
      <c r="C13" s="267">
        <f t="shared" si="0"/>
        <v>6.1418223286965388</v>
      </c>
      <c r="D13" s="211">
        <f t="shared" si="1"/>
        <v>0.28000000000000003</v>
      </c>
      <c r="E13" s="266">
        <f t="shared" si="2"/>
        <v>0.28007281178047855</v>
      </c>
      <c r="F13" s="211">
        <f t="shared" si="5"/>
        <v>4.0072811780478557E-2</v>
      </c>
      <c r="G13" s="208">
        <f t="shared" si="3"/>
        <v>-7.2811780478521104E-5</v>
      </c>
      <c r="H13" s="220">
        <f t="shared" si="4"/>
        <v>0.24583108639375323</v>
      </c>
      <c r="I13" s="211">
        <f t="shared" si="7"/>
        <v>5.8310863937532376E-3</v>
      </c>
      <c r="J13" s="208">
        <f t="shared" si="6"/>
        <v>3.4168913606246798E-2</v>
      </c>
      <c r="M13" s="150"/>
      <c r="N13" s="150"/>
      <c r="O13" s="150"/>
      <c r="P13" s="150"/>
    </row>
    <row r="14" spans="1:16" ht="13.8" x14ac:dyDescent="0.25">
      <c r="A14" s="16">
        <v>8</v>
      </c>
      <c r="B14" s="2">
        <v>511.8</v>
      </c>
      <c r="C14" s="267">
        <f t="shared" si="0"/>
        <v>6.2379339237256888</v>
      </c>
      <c r="D14" s="211">
        <f t="shared" si="1"/>
        <v>0.32</v>
      </c>
      <c r="E14" s="266">
        <f t="shared" si="2"/>
        <v>0.29697043127810346</v>
      </c>
      <c r="F14" s="211">
        <f t="shared" si="5"/>
        <v>1.6970431278103437E-2</v>
      </c>
      <c r="G14" s="208">
        <f t="shared" si="3"/>
        <v>2.3029568721896543E-2</v>
      </c>
      <c r="H14" s="220">
        <f t="shared" si="4"/>
        <v>0.28941688149769695</v>
      </c>
      <c r="I14" s="211">
        <f t="shared" si="7"/>
        <v>9.4168814976969273E-3</v>
      </c>
      <c r="J14" s="208">
        <f t="shared" si="6"/>
        <v>3.0583118502303053E-2</v>
      </c>
      <c r="M14" s="150"/>
      <c r="N14" s="150"/>
      <c r="O14" s="150"/>
      <c r="P14" s="150"/>
    </row>
    <row r="15" spans="1:16" ht="13.8" x14ac:dyDescent="0.25">
      <c r="A15" s="16">
        <v>9</v>
      </c>
      <c r="B15" s="2">
        <v>629.4</v>
      </c>
      <c r="C15" s="267">
        <f t="shared" si="0"/>
        <v>6.4447669846303066</v>
      </c>
      <c r="D15" s="211">
        <f t="shared" si="1"/>
        <v>0.36</v>
      </c>
      <c r="E15" s="266">
        <f t="shared" si="2"/>
        <v>0.34125646718562019</v>
      </c>
      <c r="F15" s="211">
        <f t="shared" si="5"/>
        <v>2.1256467185620187E-2</v>
      </c>
      <c r="G15" s="208">
        <f t="shared" si="3"/>
        <v>1.8743532814379793E-2</v>
      </c>
      <c r="H15" s="220">
        <f t="shared" si="4"/>
        <v>0.39366519313275078</v>
      </c>
      <c r="I15" s="211">
        <f t="shared" si="7"/>
        <v>7.3665193132750773E-2</v>
      </c>
      <c r="J15" s="208">
        <f t="shared" si="6"/>
        <v>-3.3665193132750793E-2</v>
      </c>
      <c r="M15" s="150"/>
      <c r="N15" s="150"/>
      <c r="O15" s="150"/>
      <c r="P15" s="150"/>
    </row>
    <row r="16" spans="1:16" ht="13.8" x14ac:dyDescent="0.25">
      <c r="A16" s="16">
        <v>10</v>
      </c>
      <c r="B16" s="2">
        <v>639.20000000000005</v>
      </c>
      <c r="C16" s="267">
        <f t="shared" si="0"/>
        <v>6.4602173944520649</v>
      </c>
      <c r="D16" s="211">
        <f t="shared" si="1"/>
        <v>0.4</v>
      </c>
      <c r="E16" s="266">
        <f t="shared" si="2"/>
        <v>0.34505899133041007</v>
      </c>
      <c r="F16" s="211">
        <f t="shared" si="5"/>
        <v>-1.4941008669589917E-2</v>
      </c>
      <c r="G16" s="208">
        <f t="shared" si="3"/>
        <v>5.4941008669589952E-2</v>
      </c>
      <c r="H16" s="220">
        <f t="shared" si="4"/>
        <v>0.40188685210464054</v>
      </c>
      <c r="I16" s="211">
        <f t="shared" si="7"/>
        <v>4.1886852104640548E-2</v>
      </c>
      <c r="J16" s="208">
        <f t="shared" si="6"/>
        <v>-1.8868521046405129E-3</v>
      </c>
      <c r="M16" s="150"/>
      <c r="N16" s="150"/>
      <c r="O16" s="150"/>
      <c r="P16" s="150"/>
    </row>
    <row r="17" spans="1:16" ht="13.8" x14ac:dyDescent="0.25">
      <c r="A17" s="16">
        <v>11</v>
      </c>
      <c r="B17" s="2">
        <v>652.29999999999995</v>
      </c>
      <c r="C17" s="267">
        <f t="shared" si="0"/>
        <v>6.4805045788020506</v>
      </c>
      <c r="D17" s="211">
        <f t="shared" si="1"/>
        <v>0.44</v>
      </c>
      <c r="E17" s="266">
        <f t="shared" si="2"/>
        <v>0.35016643332686381</v>
      </c>
      <c r="F17" s="211">
        <f t="shared" si="5"/>
        <v>-4.9833566673136209E-2</v>
      </c>
      <c r="G17" s="208">
        <f t="shared" si="3"/>
        <v>8.9833566673136189E-2</v>
      </c>
      <c r="H17" s="220">
        <f t="shared" si="4"/>
        <v>0.41274804237763579</v>
      </c>
      <c r="I17" s="211">
        <f t="shared" si="7"/>
        <v>1.2748042377635771E-2</v>
      </c>
      <c r="J17" s="208">
        <f t="shared" si="6"/>
        <v>2.7251957622364209E-2</v>
      </c>
      <c r="M17" s="150"/>
      <c r="N17" s="150"/>
      <c r="O17" s="150"/>
      <c r="P17" s="150"/>
    </row>
    <row r="18" spans="1:16" ht="13.8" x14ac:dyDescent="0.25">
      <c r="A18" s="16">
        <v>12</v>
      </c>
      <c r="B18" s="2">
        <v>670.8</v>
      </c>
      <c r="C18" s="267">
        <f t="shared" si="0"/>
        <v>6.508471029949054</v>
      </c>
      <c r="D18" s="211">
        <f t="shared" si="1"/>
        <v>0.48</v>
      </c>
      <c r="E18" s="266">
        <f t="shared" si="2"/>
        <v>0.35742544350205485</v>
      </c>
      <c r="F18" s="211">
        <f t="shared" si="5"/>
        <v>-8.2574556497945151E-2</v>
      </c>
      <c r="G18" s="208">
        <f t="shared" si="3"/>
        <v>0.12257455649794513</v>
      </c>
      <c r="H18" s="220">
        <f t="shared" si="4"/>
        <v>0.42782900540989732</v>
      </c>
      <c r="I18" s="211">
        <f t="shared" si="7"/>
        <v>-1.2170994590102679E-2</v>
      </c>
      <c r="J18" s="208">
        <f t="shared" si="6"/>
        <v>5.2170994590102659E-2</v>
      </c>
      <c r="M18" s="150"/>
      <c r="N18" s="150"/>
      <c r="O18" s="150"/>
      <c r="P18" s="150"/>
    </row>
    <row r="19" spans="1:16" ht="13.8" x14ac:dyDescent="0.25">
      <c r="A19" s="16">
        <v>13</v>
      </c>
      <c r="B19" s="2">
        <v>734.9</v>
      </c>
      <c r="C19" s="267">
        <f t="shared" si="0"/>
        <v>6.5997344355348257</v>
      </c>
      <c r="D19" s="211">
        <f t="shared" si="1"/>
        <v>0.52</v>
      </c>
      <c r="E19" s="266">
        <f t="shared" si="2"/>
        <v>0.38296323540508065</v>
      </c>
      <c r="F19" s="211">
        <f t="shared" si="5"/>
        <v>-9.7036764594919334E-2</v>
      </c>
      <c r="G19" s="208">
        <f t="shared" si="3"/>
        <v>0.13703676459491937</v>
      </c>
      <c r="H19" s="220">
        <f t="shared" si="4"/>
        <v>0.47766561527265861</v>
      </c>
      <c r="I19" s="211">
        <f t="shared" si="7"/>
        <v>-2.3343847273413765E-3</v>
      </c>
      <c r="J19" s="208">
        <f t="shared" si="6"/>
        <v>4.2334384727341412E-2</v>
      </c>
      <c r="M19" s="150"/>
      <c r="N19" s="150"/>
      <c r="O19" s="150"/>
      <c r="P19" s="150"/>
    </row>
    <row r="20" spans="1:16" ht="13.8" x14ac:dyDescent="0.25">
      <c r="A20" s="16">
        <v>14</v>
      </c>
      <c r="B20" s="2">
        <v>818.1</v>
      </c>
      <c r="C20" s="267">
        <f t="shared" si="0"/>
        <v>6.7069845785196529</v>
      </c>
      <c r="D20" s="211">
        <f t="shared" si="1"/>
        <v>0.56000000000000005</v>
      </c>
      <c r="E20" s="266">
        <f t="shared" si="2"/>
        <v>0.41686874681795089</v>
      </c>
      <c r="F20" s="211">
        <f t="shared" si="5"/>
        <v>-0.10313125318204913</v>
      </c>
      <c r="G20" s="208">
        <f t="shared" si="3"/>
        <v>0.14313125318204917</v>
      </c>
      <c r="H20" s="220">
        <f t="shared" si="4"/>
        <v>0.53662316456499992</v>
      </c>
      <c r="I20" s="211">
        <f t="shared" si="7"/>
        <v>1.6623164564999904E-2</v>
      </c>
      <c r="J20" s="208">
        <f t="shared" si="6"/>
        <v>2.3376835435000132E-2</v>
      </c>
      <c r="M20" s="150"/>
      <c r="N20" s="150"/>
      <c r="O20" s="150"/>
      <c r="P20" s="150"/>
    </row>
    <row r="21" spans="1:16" ht="13.8" x14ac:dyDescent="0.25">
      <c r="A21" s="16">
        <v>15</v>
      </c>
      <c r="B21" s="2">
        <v>821.3</v>
      </c>
      <c r="C21" s="267">
        <f t="shared" si="0"/>
        <v>6.7108884507461468</v>
      </c>
      <c r="D21" s="211">
        <f t="shared" si="1"/>
        <v>0.6</v>
      </c>
      <c r="E21" s="266">
        <f t="shared" si="2"/>
        <v>0.41818700632489875</v>
      </c>
      <c r="F21" s="211">
        <f t="shared" si="5"/>
        <v>-0.14181299367510131</v>
      </c>
      <c r="G21" s="208">
        <f t="shared" si="3"/>
        <v>0.18181299367510123</v>
      </c>
      <c r="H21" s="220">
        <f t="shared" si="4"/>
        <v>0.53876190572419236</v>
      </c>
      <c r="I21" s="211">
        <f t="shared" si="7"/>
        <v>-2.1238094275807695E-2</v>
      </c>
      <c r="J21" s="208">
        <f t="shared" si="6"/>
        <v>6.123809427580762E-2</v>
      </c>
      <c r="M21" s="150"/>
      <c r="N21" s="150"/>
      <c r="O21" s="150"/>
      <c r="P21" s="150"/>
    </row>
    <row r="22" spans="1:16" ht="13.8" x14ac:dyDescent="0.25">
      <c r="A22" s="16">
        <v>16</v>
      </c>
      <c r="B22" s="2">
        <v>964.8</v>
      </c>
      <c r="C22" s="267">
        <f t="shared" ref="C22:C56" si="8">IF(B22&gt;0,LN(B22),"")</f>
        <v>6.8719208259729205</v>
      </c>
      <c r="D22" s="211">
        <f t="shared" si="1"/>
        <v>0.64</v>
      </c>
      <c r="E22" s="266">
        <f t="shared" si="2"/>
        <v>0.4780273224000674</v>
      </c>
      <c r="F22" s="211">
        <f t="shared" ref="F22:F56" si="9">IF(B22&gt;0,E22-D21,"")</f>
        <v>-0.12197267759993258</v>
      </c>
      <c r="G22" s="208">
        <f t="shared" ref="G22:G56" si="10">IF(B22&gt;0,D22-E22,"")</f>
        <v>0.16197267759993261</v>
      </c>
      <c r="H22" s="220">
        <f t="shared" si="4"/>
        <v>0.62530611668505354</v>
      </c>
      <c r="I22" s="211">
        <f t="shared" si="7"/>
        <v>2.5306116685053559E-2</v>
      </c>
      <c r="J22" s="208">
        <f t="shared" si="6"/>
        <v>1.4693883314946476E-2</v>
      </c>
      <c r="K22" s="150"/>
      <c r="L22" s="150"/>
      <c r="M22" s="150"/>
      <c r="N22" s="150"/>
      <c r="O22" s="150"/>
      <c r="P22" s="150"/>
    </row>
    <row r="23" spans="1:16" ht="13.8" x14ac:dyDescent="0.25">
      <c r="A23" s="16">
        <v>17</v>
      </c>
      <c r="B23" s="2">
        <v>1077.3</v>
      </c>
      <c r="C23" s="267">
        <f t="shared" si="8"/>
        <v>6.9822131899001469</v>
      </c>
      <c r="D23" s="211">
        <f t="shared" si="1"/>
        <v>0.68</v>
      </c>
      <c r="E23" s="266">
        <f t="shared" si="2"/>
        <v>0.52535982827908878</v>
      </c>
      <c r="F23" s="211">
        <f t="shared" si="9"/>
        <v>-0.11464017172091123</v>
      </c>
      <c r="G23" s="208">
        <f t="shared" si="10"/>
        <v>0.15464017172091127</v>
      </c>
      <c r="H23" s="220">
        <f t="shared" si="4"/>
        <v>0.68138902249987821</v>
      </c>
      <c r="I23" s="211">
        <f t="shared" si="7"/>
        <v>4.1389022499878192E-2</v>
      </c>
      <c r="J23" s="208">
        <f t="shared" si="6"/>
        <v>-1.3890224998781564E-3</v>
      </c>
      <c r="K23" s="150"/>
      <c r="L23" s="150"/>
      <c r="M23" s="150"/>
      <c r="N23" s="150"/>
      <c r="O23" s="150"/>
      <c r="P23" s="150"/>
    </row>
    <row r="24" spans="1:16" ht="13.8" x14ac:dyDescent="0.25">
      <c r="A24" s="16">
        <v>18</v>
      </c>
      <c r="B24" s="2">
        <v>1078.0999999999999</v>
      </c>
      <c r="C24" s="267">
        <f t="shared" si="8"/>
        <v>6.9829555115450725</v>
      </c>
      <c r="D24" s="211">
        <f t="shared" si="1"/>
        <v>0.72</v>
      </c>
      <c r="E24" s="266">
        <f t="shared" si="2"/>
        <v>0.52569592594660053</v>
      </c>
      <c r="F24" s="211">
        <f t="shared" si="9"/>
        <v>-0.15430407405339952</v>
      </c>
      <c r="G24" s="208">
        <f t="shared" si="10"/>
        <v>0.19430407405339944</v>
      </c>
      <c r="H24" s="220">
        <f t="shared" si="4"/>
        <v>0.68175445094366649</v>
      </c>
      <c r="I24" s="211">
        <f t="shared" si="7"/>
        <v>1.7544509436664413E-3</v>
      </c>
      <c r="J24" s="208">
        <f t="shared" si="6"/>
        <v>3.8245549056333483E-2</v>
      </c>
      <c r="K24" s="150"/>
      <c r="L24" s="150"/>
      <c r="M24" s="150"/>
      <c r="N24" s="150"/>
      <c r="O24" s="150"/>
      <c r="P24" s="150"/>
    </row>
    <row r="25" spans="1:16" ht="17.25" customHeight="1" x14ac:dyDescent="0.3">
      <c r="A25" s="16">
        <v>19</v>
      </c>
      <c r="B25" s="2">
        <v>1083.4000000000001</v>
      </c>
      <c r="C25" s="267">
        <f t="shared" si="8"/>
        <v>6.9878595232237988</v>
      </c>
      <c r="D25" s="211">
        <f t="shared" si="1"/>
        <v>0.76</v>
      </c>
      <c r="E25" s="266">
        <f t="shared" si="2"/>
        <v>0.52792209979855442</v>
      </c>
      <c r="F25" s="211">
        <f t="shared" si="9"/>
        <v>-0.19207790020144555</v>
      </c>
      <c r="G25" s="208">
        <f t="shared" si="10"/>
        <v>0.23207790020144559</v>
      </c>
      <c r="H25" s="220">
        <f t="shared" si="4"/>
        <v>0.68416413079127869</v>
      </c>
      <c r="I25" s="211">
        <f t="shared" si="7"/>
        <v>-3.5835869208721283E-2</v>
      </c>
      <c r="J25" s="208">
        <f t="shared" si="6"/>
        <v>7.5835869208721318E-2</v>
      </c>
      <c r="K25" s="155"/>
      <c r="L25" s="146"/>
      <c r="M25" s="146"/>
      <c r="N25" s="146"/>
      <c r="O25" s="146"/>
      <c r="P25" s="146"/>
    </row>
    <row r="26" spans="1:16" x14ac:dyDescent="0.25">
      <c r="A26" s="16">
        <v>20</v>
      </c>
      <c r="B26" s="2">
        <v>1407.5</v>
      </c>
      <c r="C26" s="267">
        <f t="shared" si="8"/>
        <v>7.2495703600138457</v>
      </c>
      <c r="D26" s="211">
        <f t="shared" si="1"/>
        <v>0.8</v>
      </c>
      <c r="E26" s="266">
        <f t="shared" si="2"/>
        <v>0.65985023846570168</v>
      </c>
      <c r="F26" s="211">
        <f t="shared" si="9"/>
        <v>-0.10014976153429833</v>
      </c>
      <c r="G26" s="208">
        <f t="shared" si="10"/>
        <v>0.14014976153429837</v>
      </c>
      <c r="H26" s="220">
        <f t="shared" si="4"/>
        <v>0.79965372242336563</v>
      </c>
      <c r="I26" s="211">
        <f t="shared" si="7"/>
        <v>3.9653722423365623E-2</v>
      </c>
      <c r="J26" s="208">
        <f t="shared" si="6"/>
        <v>3.4627757663441283E-4</v>
      </c>
    </row>
    <row r="27" spans="1:16" x14ac:dyDescent="0.25">
      <c r="A27" s="16">
        <v>21</v>
      </c>
      <c r="B27" s="2">
        <v>1677.8</v>
      </c>
      <c r="C27" s="267">
        <f t="shared" si="8"/>
        <v>7.4252386904121943</v>
      </c>
      <c r="D27" s="211">
        <f t="shared" si="1"/>
        <v>0.84</v>
      </c>
      <c r="E27" s="266">
        <f t="shared" si="2"/>
        <v>0.75718896262245816</v>
      </c>
      <c r="F27" s="211">
        <f t="shared" si="9"/>
        <v>-4.2811037377541883E-2</v>
      </c>
      <c r="G27" s="208">
        <f t="shared" si="10"/>
        <v>8.2811037377541807E-2</v>
      </c>
      <c r="H27" s="220">
        <f t="shared" si="4"/>
        <v>0.86053049578707941</v>
      </c>
      <c r="I27" s="211">
        <f t="shared" si="7"/>
        <v>6.0530495787079364E-2</v>
      </c>
      <c r="J27" s="208">
        <f t="shared" si="6"/>
        <v>-2.0530495787079439E-2</v>
      </c>
    </row>
    <row r="28" spans="1:16" x14ac:dyDescent="0.25">
      <c r="A28" s="16">
        <v>22</v>
      </c>
      <c r="B28" s="2">
        <v>1721.4</v>
      </c>
      <c r="C28" s="267">
        <f t="shared" si="8"/>
        <v>7.4508931922153741</v>
      </c>
      <c r="D28" s="211">
        <f t="shared" si="1"/>
        <v>0.88</v>
      </c>
      <c r="E28" s="266">
        <f t="shared" si="2"/>
        <v>0.7713492827292121</v>
      </c>
      <c r="F28" s="211">
        <f t="shared" si="9"/>
        <v>-6.8650717270787864E-2</v>
      </c>
      <c r="G28" s="208">
        <f t="shared" si="10"/>
        <v>0.1086507172707879</v>
      </c>
      <c r="H28" s="220">
        <f t="shared" si="4"/>
        <v>0.86823662736098883</v>
      </c>
      <c r="I28" s="211">
        <f t="shared" si="7"/>
        <v>2.8236627360988864E-2</v>
      </c>
      <c r="J28" s="208">
        <f t="shared" si="6"/>
        <v>1.1763372639011171E-2</v>
      </c>
    </row>
    <row r="29" spans="1:16" x14ac:dyDescent="0.25">
      <c r="A29" s="16">
        <v>23</v>
      </c>
      <c r="B29" s="2">
        <v>1773</v>
      </c>
      <c r="C29" s="267">
        <f t="shared" si="8"/>
        <v>7.4804283060742076</v>
      </c>
      <c r="D29" s="211">
        <f t="shared" si="1"/>
        <v>0.92</v>
      </c>
      <c r="E29" s="266">
        <f t="shared" si="2"/>
        <v>0.78749183272592138</v>
      </c>
      <c r="F29" s="211">
        <f t="shared" si="9"/>
        <v>-9.2508167274078623E-2</v>
      </c>
      <c r="G29" s="208">
        <f t="shared" si="10"/>
        <v>0.13250816727407866</v>
      </c>
      <c r="H29" s="220">
        <f t="shared" si="4"/>
        <v>0.87673840690470906</v>
      </c>
      <c r="I29" s="211">
        <f t="shared" si="7"/>
        <v>-3.2615930952909489E-3</v>
      </c>
      <c r="J29" s="208">
        <f t="shared" si="6"/>
        <v>4.3261593095290984E-2</v>
      </c>
    </row>
    <row r="30" spans="1:16" x14ac:dyDescent="0.25">
      <c r="A30" s="16">
        <v>24</v>
      </c>
      <c r="B30" s="2">
        <v>1847.8</v>
      </c>
      <c r="C30" s="267">
        <f t="shared" si="8"/>
        <v>7.5217510212366445</v>
      </c>
      <c r="D30" s="211">
        <f t="shared" si="1"/>
        <v>0.96</v>
      </c>
      <c r="E30" s="266">
        <f t="shared" si="2"/>
        <v>0.80967016655061397</v>
      </c>
      <c r="F30" s="211">
        <f t="shared" si="9"/>
        <v>-0.11032983344938607</v>
      </c>
      <c r="G30" s="208">
        <f t="shared" si="10"/>
        <v>0.150329833449386</v>
      </c>
      <c r="H30" s="220">
        <f t="shared" si="4"/>
        <v>0.88797651314171111</v>
      </c>
      <c r="I30" s="211">
        <f t="shared" si="7"/>
        <v>-3.202348685828893E-2</v>
      </c>
      <c r="J30" s="208">
        <f t="shared" si="6"/>
        <v>7.2023486858288854E-2</v>
      </c>
    </row>
    <row r="31" spans="1:16" x14ac:dyDescent="0.25">
      <c r="A31" s="16">
        <v>25</v>
      </c>
      <c r="B31" s="2">
        <v>4991</v>
      </c>
      <c r="C31" s="267">
        <f t="shared" si="8"/>
        <v>8.5153915694696085</v>
      </c>
      <c r="D31" s="211">
        <f t="shared" si="1"/>
        <v>1</v>
      </c>
      <c r="E31" s="266">
        <f t="shared" si="2"/>
        <v>0.99998626867130636</v>
      </c>
      <c r="F31" s="211">
        <f t="shared" si="9"/>
        <v>3.9986268671306391E-2</v>
      </c>
      <c r="G31" s="208">
        <f t="shared" si="10"/>
        <v>1.3731328693644684E-5</v>
      </c>
      <c r="H31" s="220">
        <f t="shared" si="4"/>
        <v>0.99515201182253887</v>
      </c>
      <c r="I31" s="211">
        <f t="shared" si="7"/>
        <v>3.5152011822538909E-2</v>
      </c>
      <c r="J31" s="208">
        <f t="shared" si="6"/>
        <v>4.8479881774611266E-3</v>
      </c>
    </row>
    <row r="32" spans="1:16" x14ac:dyDescent="0.25">
      <c r="A32" s="16">
        <v>26</v>
      </c>
      <c r="B32" s="2"/>
      <c r="C32" s="267" t="str">
        <f t="shared" si="8"/>
        <v/>
      </c>
      <c r="D32" s="211" t="str">
        <f t="shared" si="1"/>
        <v/>
      </c>
      <c r="E32" s="266" t="str">
        <f t="shared" si="2"/>
        <v/>
      </c>
      <c r="F32" s="211" t="str">
        <f t="shared" si="9"/>
        <v/>
      </c>
      <c r="G32" s="208" t="str">
        <f t="shared" si="10"/>
        <v/>
      </c>
      <c r="H32" s="220" t="str">
        <f t="shared" si="4"/>
        <v/>
      </c>
      <c r="I32" s="211" t="str">
        <f t="shared" si="7"/>
        <v/>
      </c>
      <c r="J32" s="208" t="str">
        <f t="shared" si="6"/>
        <v/>
      </c>
    </row>
    <row r="33" spans="1:10" x14ac:dyDescent="0.25">
      <c r="A33" s="16">
        <v>27</v>
      </c>
      <c r="B33" s="2"/>
      <c r="C33" s="267" t="str">
        <f t="shared" si="8"/>
        <v/>
      </c>
      <c r="D33" s="211" t="str">
        <f t="shared" si="1"/>
        <v/>
      </c>
      <c r="E33" s="266" t="str">
        <f t="shared" si="2"/>
        <v/>
      </c>
      <c r="F33" s="211" t="str">
        <f t="shared" si="9"/>
        <v/>
      </c>
      <c r="G33" s="208" t="str">
        <f t="shared" si="10"/>
        <v/>
      </c>
      <c r="H33" s="220" t="str">
        <f t="shared" si="4"/>
        <v/>
      </c>
      <c r="I33" s="211" t="str">
        <f t="shared" si="7"/>
        <v/>
      </c>
      <c r="J33" s="208" t="str">
        <f t="shared" si="6"/>
        <v/>
      </c>
    </row>
    <row r="34" spans="1:10" x14ac:dyDescent="0.25">
      <c r="A34" s="16">
        <v>28</v>
      </c>
      <c r="B34" s="2"/>
      <c r="C34" s="267" t="str">
        <f t="shared" si="8"/>
        <v/>
      </c>
      <c r="D34" s="211" t="str">
        <f t="shared" si="1"/>
        <v/>
      </c>
      <c r="E34" s="266" t="str">
        <f t="shared" si="2"/>
        <v/>
      </c>
      <c r="F34" s="211" t="str">
        <f t="shared" si="9"/>
        <v/>
      </c>
      <c r="G34" s="208" t="str">
        <f t="shared" si="10"/>
        <v/>
      </c>
      <c r="H34" s="220" t="str">
        <f t="shared" si="4"/>
        <v/>
      </c>
      <c r="I34" s="211" t="str">
        <f t="shared" si="7"/>
        <v/>
      </c>
      <c r="J34" s="208" t="str">
        <f t="shared" si="6"/>
        <v/>
      </c>
    </row>
    <row r="35" spans="1:10" x14ac:dyDescent="0.25">
      <c r="A35" s="16">
        <v>29</v>
      </c>
      <c r="B35" s="2"/>
      <c r="C35" s="267" t="str">
        <f t="shared" si="8"/>
        <v/>
      </c>
      <c r="D35" s="211" t="str">
        <f t="shared" si="1"/>
        <v/>
      </c>
      <c r="E35" s="266" t="str">
        <f t="shared" si="2"/>
        <v/>
      </c>
      <c r="F35" s="211" t="str">
        <f t="shared" si="9"/>
        <v/>
      </c>
      <c r="G35" s="208" t="str">
        <f t="shared" si="10"/>
        <v/>
      </c>
      <c r="H35" s="220" t="str">
        <f t="shared" si="4"/>
        <v/>
      </c>
      <c r="I35" s="211" t="str">
        <f t="shared" si="7"/>
        <v/>
      </c>
      <c r="J35" s="208" t="str">
        <f t="shared" si="6"/>
        <v/>
      </c>
    </row>
    <row r="36" spans="1:10" x14ac:dyDescent="0.25">
      <c r="A36" s="16">
        <v>30</v>
      </c>
      <c r="B36" s="2"/>
      <c r="C36" s="267" t="str">
        <f t="shared" si="8"/>
        <v/>
      </c>
      <c r="D36" s="211" t="str">
        <f t="shared" si="1"/>
        <v/>
      </c>
      <c r="E36" s="266" t="str">
        <f t="shared" si="2"/>
        <v/>
      </c>
      <c r="F36" s="211" t="str">
        <f t="shared" si="9"/>
        <v/>
      </c>
      <c r="G36" s="208" t="str">
        <f t="shared" si="10"/>
        <v/>
      </c>
      <c r="H36" s="220" t="str">
        <f t="shared" si="4"/>
        <v/>
      </c>
      <c r="I36" s="211" t="str">
        <f t="shared" si="7"/>
        <v/>
      </c>
      <c r="J36" s="208" t="str">
        <f t="shared" si="6"/>
        <v/>
      </c>
    </row>
    <row r="37" spans="1:10" x14ac:dyDescent="0.25">
      <c r="A37" s="16">
        <v>31</v>
      </c>
      <c r="B37" s="2"/>
      <c r="C37" s="267" t="str">
        <f t="shared" si="8"/>
        <v/>
      </c>
      <c r="D37" s="211" t="str">
        <f t="shared" si="1"/>
        <v/>
      </c>
      <c r="E37" s="266" t="str">
        <f t="shared" si="2"/>
        <v/>
      </c>
      <c r="F37" s="211" t="str">
        <f t="shared" si="9"/>
        <v/>
      </c>
      <c r="G37" s="208" t="str">
        <f t="shared" si="10"/>
        <v/>
      </c>
      <c r="H37" s="220" t="str">
        <f t="shared" si="4"/>
        <v/>
      </c>
      <c r="I37" s="211" t="str">
        <f t="shared" si="7"/>
        <v/>
      </c>
      <c r="J37" s="208" t="str">
        <f t="shared" si="6"/>
        <v/>
      </c>
    </row>
    <row r="38" spans="1:10" x14ac:dyDescent="0.25">
      <c r="A38" s="16">
        <v>32</v>
      </c>
      <c r="B38" s="2"/>
      <c r="C38" s="267" t="str">
        <f t="shared" si="8"/>
        <v/>
      </c>
      <c r="D38" s="211" t="str">
        <f t="shared" si="1"/>
        <v/>
      </c>
      <c r="E38" s="266" t="str">
        <f t="shared" si="2"/>
        <v/>
      </c>
      <c r="F38" s="211" t="str">
        <f t="shared" si="9"/>
        <v/>
      </c>
      <c r="G38" s="208" t="str">
        <f t="shared" si="10"/>
        <v/>
      </c>
      <c r="H38" s="220" t="str">
        <f t="shared" si="4"/>
        <v/>
      </c>
      <c r="I38" s="211" t="str">
        <f t="shared" si="7"/>
        <v/>
      </c>
      <c r="J38" s="208" t="str">
        <f t="shared" si="6"/>
        <v/>
      </c>
    </row>
    <row r="39" spans="1:10" x14ac:dyDescent="0.25">
      <c r="A39" s="16">
        <v>33</v>
      </c>
      <c r="B39" s="2"/>
      <c r="C39" s="267" t="str">
        <f t="shared" si="8"/>
        <v/>
      </c>
      <c r="D39" s="211" t="str">
        <f t="shared" ref="D39:D56" si="11">IF(B39&gt;0,(A39)/$D$57,"")</f>
        <v/>
      </c>
      <c r="E39" s="266" t="str">
        <f t="shared" ref="E39:E56" si="12">IF(B39&gt;0,NORMDIST(B39,$F$4,$F$5,TRUE),"")</f>
        <v/>
      </c>
      <c r="F39" s="211" t="str">
        <f t="shared" si="9"/>
        <v/>
      </c>
      <c r="G39" s="208" t="str">
        <f t="shared" si="10"/>
        <v/>
      </c>
      <c r="H39" s="220" t="str">
        <f t="shared" ref="H39:H56" si="13">IF(B39&gt;0,NORMDIST(C39,$I$4,$I$5,TRUE),"")</f>
        <v/>
      </c>
      <c r="I39" s="211" t="str">
        <f t="shared" si="7"/>
        <v/>
      </c>
      <c r="J39" s="208" t="str">
        <f t="shared" si="6"/>
        <v/>
      </c>
    </row>
    <row r="40" spans="1:10" x14ac:dyDescent="0.25">
      <c r="A40" s="16">
        <v>34</v>
      </c>
      <c r="B40" s="2"/>
      <c r="C40" s="267" t="str">
        <f t="shared" si="8"/>
        <v/>
      </c>
      <c r="D40" s="211" t="str">
        <f t="shared" si="11"/>
        <v/>
      </c>
      <c r="E40" s="266" t="str">
        <f t="shared" si="12"/>
        <v/>
      </c>
      <c r="F40" s="211" t="str">
        <f t="shared" si="9"/>
        <v/>
      </c>
      <c r="G40" s="208" t="str">
        <f t="shared" si="10"/>
        <v/>
      </c>
      <c r="H40" s="220" t="str">
        <f t="shared" si="13"/>
        <v/>
      </c>
      <c r="I40" s="211" t="str">
        <f t="shared" si="7"/>
        <v/>
      </c>
      <c r="J40" s="208" t="str">
        <f t="shared" si="6"/>
        <v/>
      </c>
    </row>
    <row r="41" spans="1:10" x14ac:dyDescent="0.25">
      <c r="A41" s="16">
        <v>35</v>
      </c>
      <c r="B41" s="2"/>
      <c r="C41" s="267" t="str">
        <f t="shared" si="8"/>
        <v/>
      </c>
      <c r="D41" s="211" t="str">
        <f t="shared" si="11"/>
        <v/>
      </c>
      <c r="E41" s="266" t="str">
        <f t="shared" si="12"/>
        <v/>
      </c>
      <c r="F41" s="211" t="str">
        <f t="shared" si="9"/>
        <v/>
      </c>
      <c r="G41" s="208" t="str">
        <f t="shared" si="10"/>
        <v/>
      </c>
      <c r="H41" s="220" t="str">
        <f t="shared" si="13"/>
        <v/>
      </c>
      <c r="I41" s="211" t="str">
        <f t="shared" si="7"/>
        <v/>
      </c>
      <c r="J41" s="208" t="str">
        <f t="shared" si="6"/>
        <v/>
      </c>
    </row>
    <row r="42" spans="1:10" x14ac:dyDescent="0.25">
      <c r="A42" s="16">
        <v>36</v>
      </c>
      <c r="B42" s="2"/>
      <c r="C42" s="267" t="str">
        <f t="shared" si="8"/>
        <v/>
      </c>
      <c r="D42" s="211" t="str">
        <f t="shared" si="11"/>
        <v/>
      </c>
      <c r="E42" s="266" t="str">
        <f t="shared" si="12"/>
        <v/>
      </c>
      <c r="F42" s="211" t="str">
        <f t="shared" si="9"/>
        <v/>
      </c>
      <c r="G42" s="208" t="str">
        <f t="shared" si="10"/>
        <v/>
      </c>
      <c r="H42" s="220" t="str">
        <f t="shared" si="13"/>
        <v/>
      </c>
      <c r="I42" s="211" t="str">
        <f t="shared" si="7"/>
        <v/>
      </c>
      <c r="J42" s="208" t="str">
        <f t="shared" si="6"/>
        <v/>
      </c>
    </row>
    <row r="43" spans="1:10" x14ac:dyDescent="0.25">
      <c r="A43" s="16">
        <v>37</v>
      </c>
      <c r="B43" s="2"/>
      <c r="C43" s="267" t="str">
        <f t="shared" si="8"/>
        <v/>
      </c>
      <c r="D43" s="211" t="str">
        <f t="shared" si="11"/>
        <v/>
      </c>
      <c r="E43" s="266" t="str">
        <f t="shared" si="12"/>
        <v/>
      </c>
      <c r="F43" s="211" t="str">
        <f t="shared" si="9"/>
        <v/>
      </c>
      <c r="G43" s="208" t="str">
        <f t="shared" si="10"/>
        <v/>
      </c>
      <c r="H43" s="220" t="str">
        <f t="shared" si="13"/>
        <v/>
      </c>
      <c r="I43" s="211" t="str">
        <f t="shared" si="7"/>
        <v/>
      </c>
      <c r="J43" s="208" t="str">
        <f t="shared" si="6"/>
        <v/>
      </c>
    </row>
    <row r="44" spans="1:10" x14ac:dyDescent="0.25">
      <c r="A44" s="16">
        <v>38</v>
      </c>
      <c r="B44" s="2"/>
      <c r="C44" s="267" t="str">
        <f t="shared" si="8"/>
        <v/>
      </c>
      <c r="D44" s="211" t="str">
        <f t="shared" si="11"/>
        <v/>
      </c>
      <c r="E44" s="266" t="str">
        <f t="shared" si="12"/>
        <v/>
      </c>
      <c r="F44" s="211" t="str">
        <f t="shared" si="9"/>
        <v/>
      </c>
      <c r="G44" s="208" t="str">
        <f t="shared" si="10"/>
        <v/>
      </c>
      <c r="H44" s="220" t="str">
        <f t="shared" si="13"/>
        <v/>
      </c>
      <c r="I44" s="211" t="str">
        <f t="shared" si="7"/>
        <v/>
      </c>
      <c r="J44" s="208" t="str">
        <f t="shared" si="6"/>
        <v/>
      </c>
    </row>
    <row r="45" spans="1:10" x14ac:dyDescent="0.25">
      <c r="A45" s="16">
        <v>39</v>
      </c>
      <c r="B45" s="2"/>
      <c r="C45" s="267" t="str">
        <f t="shared" si="8"/>
        <v/>
      </c>
      <c r="D45" s="211" t="str">
        <f t="shared" si="11"/>
        <v/>
      </c>
      <c r="E45" s="266" t="str">
        <f t="shared" si="12"/>
        <v/>
      </c>
      <c r="F45" s="211" t="str">
        <f t="shared" si="9"/>
        <v/>
      </c>
      <c r="G45" s="208" t="str">
        <f t="shared" si="10"/>
        <v/>
      </c>
      <c r="H45" s="220" t="str">
        <f t="shared" si="13"/>
        <v/>
      </c>
      <c r="I45" s="211" t="str">
        <f t="shared" si="7"/>
        <v/>
      </c>
      <c r="J45" s="208" t="str">
        <f t="shared" si="6"/>
        <v/>
      </c>
    </row>
    <row r="46" spans="1:10" x14ac:dyDescent="0.25">
      <c r="A46" s="16">
        <v>40</v>
      </c>
      <c r="B46" s="2"/>
      <c r="C46" s="267" t="str">
        <f t="shared" si="8"/>
        <v/>
      </c>
      <c r="D46" s="211" t="str">
        <f t="shared" si="11"/>
        <v/>
      </c>
      <c r="E46" s="266" t="str">
        <f t="shared" si="12"/>
        <v/>
      </c>
      <c r="F46" s="211" t="str">
        <f t="shared" si="9"/>
        <v/>
      </c>
      <c r="G46" s="208" t="str">
        <f t="shared" si="10"/>
        <v/>
      </c>
      <c r="H46" s="220" t="str">
        <f t="shared" si="13"/>
        <v/>
      </c>
      <c r="I46" s="211" t="str">
        <f t="shared" si="7"/>
        <v/>
      </c>
      <c r="J46" s="208" t="str">
        <f t="shared" si="6"/>
        <v/>
      </c>
    </row>
    <row r="47" spans="1:10" x14ac:dyDescent="0.25">
      <c r="A47" s="16">
        <v>41</v>
      </c>
      <c r="B47" s="2"/>
      <c r="C47" s="267" t="str">
        <f t="shared" si="8"/>
        <v/>
      </c>
      <c r="D47" s="211" t="str">
        <f t="shared" si="11"/>
        <v/>
      </c>
      <c r="E47" s="266" t="str">
        <f t="shared" si="12"/>
        <v/>
      </c>
      <c r="F47" s="211" t="str">
        <f t="shared" si="9"/>
        <v/>
      </c>
      <c r="G47" s="208" t="str">
        <f t="shared" si="10"/>
        <v/>
      </c>
      <c r="H47" s="220" t="str">
        <f t="shared" si="13"/>
        <v/>
      </c>
      <c r="I47" s="211" t="str">
        <f t="shared" si="7"/>
        <v/>
      </c>
      <c r="J47" s="208" t="str">
        <f t="shared" si="6"/>
        <v/>
      </c>
    </row>
    <row r="48" spans="1:10" x14ac:dyDescent="0.25">
      <c r="A48" s="16">
        <v>42</v>
      </c>
      <c r="B48" s="2"/>
      <c r="C48" s="267" t="str">
        <f t="shared" si="8"/>
        <v/>
      </c>
      <c r="D48" s="211" t="str">
        <f t="shared" si="11"/>
        <v/>
      </c>
      <c r="E48" s="266" t="str">
        <f t="shared" si="12"/>
        <v/>
      </c>
      <c r="F48" s="211" t="str">
        <f t="shared" si="9"/>
        <v/>
      </c>
      <c r="G48" s="208" t="str">
        <f t="shared" si="10"/>
        <v/>
      </c>
      <c r="H48" s="220" t="str">
        <f t="shared" si="13"/>
        <v/>
      </c>
      <c r="I48" s="211" t="str">
        <f t="shared" si="7"/>
        <v/>
      </c>
      <c r="J48" s="208" t="str">
        <f t="shared" si="6"/>
        <v/>
      </c>
    </row>
    <row r="49" spans="1:10" x14ac:dyDescent="0.25">
      <c r="A49" s="16">
        <v>43</v>
      </c>
      <c r="B49" s="2"/>
      <c r="C49" s="267" t="str">
        <f t="shared" si="8"/>
        <v/>
      </c>
      <c r="D49" s="211" t="str">
        <f t="shared" si="11"/>
        <v/>
      </c>
      <c r="E49" s="266" t="str">
        <f t="shared" si="12"/>
        <v/>
      </c>
      <c r="F49" s="211" t="str">
        <f t="shared" si="9"/>
        <v/>
      </c>
      <c r="G49" s="208" t="str">
        <f t="shared" si="10"/>
        <v/>
      </c>
      <c r="H49" s="220" t="str">
        <f t="shared" si="13"/>
        <v/>
      </c>
      <c r="I49" s="211" t="str">
        <f t="shared" si="7"/>
        <v/>
      </c>
      <c r="J49" s="208" t="str">
        <f t="shared" si="6"/>
        <v/>
      </c>
    </row>
    <row r="50" spans="1:10" x14ac:dyDescent="0.25">
      <c r="A50" s="16">
        <v>44</v>
      </c>
      <c r="B50" s="2"/>
      <c r="C50" s="267" t="str">
        <f t="shared" si="8"/>
        <v/>
      </c>
      <c r="D50" s="211" t="str">
        <f t="shared" si="11"/>
        <v/>
      </c>
      <c r="E50" s="266" t="str">
        <f t="shared" si="12"/>
        <v/>
      </c>
      <c r="F50" s="211" t="str">
        <f t="shared" si="9"/>
        <v/>
      </c>
      <c r="G50" s="208" t="str">
        <f t="shared" si="10"/>
        <v/>
      </c>
      <c r="H50" s="220" t="str">
        <f t="shared" si="13"/>
        <v/>
      </c>
      <c r="I50" s="211" t="str">
        <f t="shared" si="7"/>
        <v/>
      </c>
      <c r="J50" s="208" t="str">
        <f t="shared" si="6"/>
        <v/>
      </c>
    </row>
    <row r="51" spans="1:10" x14ac:dyDescent="0.25">
      <c r="A51" s="16">
        <v>45</v>
      </c>
      <c r="B51" s="2"/>
      <c r="C51" s="267" t="str">
        <f t="shared" si="8"/>
        <v/>
      </c>
      <c r="D51" s="211" t="str">
        <f t="shared" si="11"/>
        <v/>
      </c>
      <c r="E51" s="266" t="str">
        <f t="shared" si="12"/>
        <v/>
      </c>
      <c r="F51" s="211" t="str">
        <f t="shared" si="9"/>
        <v/>
      </c>
      <c r="G51" s="208" t="str">
        <f t="shared" si="10"/>
        <v/>
      </c>
      <c r="H51" s="220" t="str">
        <f t="shared" si="13"/>
        <v/>
      </c>
      <c r="I51" s="211" t="str">
        <f t="shared" si="7"/>
        <v/>
      </c>
      <c r="J51" s="208" t="str">
        <f t="shared" si="6"/>
        <v/>
      </c>
    </row>
    <row r="52" spans="1:10" x14ac:dyDescent="0.25">
      <c r="A52" s="16">
        <v>46</v>
      </c>
      <c r="B52" s="2"/>
      <c r="C52" s="267" t="str">
        <f t="shared" si="8"/>
        <v/>
      </c>
      <c r="D52" s="211" t="str">
        <f t="shared" si="11"/>
        <v/>
      </c>
      <c r="E52" s="266" t="str">
        <f t="shared" si="12"/>
        <v/>
      </c>
      <c r="F52" s="211" t="str">
        <f t="shared" si="9"/>
        <v/>
      </c>
      <c r="G52" s="208" t="str">
        <f t="shared" si="10"/>
        <v/>
      </c>
      <c r="H52" s="220" t="str">
        <f t="shared" si="13"/>
        <v/>
      </c>
      <c r="I52" s="211" t="str">
        <f t="shared" si="7"/>
        <v/>
      </c>
      <c r="J52" s="208" t="str">
        <f t="shared" si="6"/>
        <v/>
      </c>
    </row>
    <row r="53" spans="1:10" x14ac:dyDescent="0.25">
      <c r="A53" s="16">
        <v>47</v>
      </c>
      <c r="B53" s="2"/>
      <c r="C53" s="267" t="str">
        <f t="shared" si="8"/>
        <v/>
      </c>
      <c r="D53" s="211" t="str">
        <f t="shared" si="11"/>
        <v/>
      </c>
      <c r="E53" s="266" t="str">
        <f t="shared" si="12"/>
        <v/>
      </c>
      <c r="F53" s="211" t="str">
        <f t="shared" si="9"/>
        <v/>
      </c>
      <c r="G53" s="208" t="str">
        <f t="shared" si="10"/>
        <v/>
      </c>
      <c r="H53" s="220" t="str">
        <f t="shared" si="13"/>
        <v/>
      </c>
      <c r="I53" s="211" t="str">
        <f t="shared" si="7"/>
        <v/>
      </c>
      <c r="J53" s="208" t="str">
        <f t="shared" si="6"/>
        <v/>
      </c>
    </row>
    <row r="54" spans="1:10" x14ac:dyDescent="0.25">
      <c r="A54" s="16">
        <v>48</v>
      </c>
      <c r="B54" s="2"/>
      <c r="C54" s="267" t="str">
        <f t="shared" si="8"/>
        <v/>
      </c>
      <c r="D54" s="211" t="str">
        <f t="shared" si="11"/>
        <v/>
      </c>
      <c r="E54" s="266" t="str">
        <f t="shared" si="12"/>
        <v/>
      </c>
      <c r="F54" s="211" t="str">
        <f t="shared" si="9"/>
        <v/>
      </c>
      <c r="G54" s="208" t="str">
        <f t="shared" si="10"/>
        <v/>
      </c>
      <c r="H54" s="220" t="str">
        <f t="shared" si="13"/>
        <v/>
      </c>
      <c r="I54" s="211" t="str">
        <f t="shared" si="7"/>
        <v/>
      </c>
      <c r="J54" s="208" t="str">
        <f t="shared" si="6"/>
        <v/>
      </c>
    </row>
    <row r="55" spans="1:10" x14ac:dyDescent="0.25">
      <c r="A55" s="16">
        <v>49</v>
      </c>
      <c r="B55" s="2"/>
      <c r="C55" s="267" t="str">
        <f t="shared" si="8"/>
        <v/>
      </c>
      <c r="D55" s="211" t="str">
        <f t="shared" si="11"/>
        <v/>
      </c>
      <c r="E55" s="266" t="str">
        <f t="shared" si="12"/>
        <v/>
      </c>
      <c r="F55" s="211" t="str">
        <f t="shared" si="9"/>
        <v/>
      </c>
      <c r="G55" s="208" t="str">
        <f t="shared" si="10"/>
        <v/>
      </c>
      <c r="H55" s="220" t="str">
        <f t="shared" si="13"/>
        <v/>
      </c>
      <c r="I55" s="211" t="str">
        <f t="shared" si="7"/>
        <v/>
      </c>
      <c r="J55" s="208" t="str">
        <f t="shared" si="6"/>
        <v/>
      </c>
    </row>
    <row r="56" spans="1:10" ht="13.8" thickBot="1" x14ac:dyDescent="0.3">
      <c r="A56" s="16">
        <v>50</v>
      </c>
      <c r="B56" s="2"/>
      <c r="C56" s="267" t="str">
        <f t="shared" si="8"/>
        <v/>
      </c>
      <c r="D56" s="211" t="str">
        <f t="shared" si="11"/>
        <v/>
      </c>
      <c r="E56" s="266" t="str">
        <f t="shared" si="12"/>
        <v/>
      </c>
      <c r="F56" s="211" t="str">
        <f t="shared" si="9"/>
        <v/>
      </c>
      <c r="G56" s="208" t="str">
        <f t="shared" si="10"/>
        <v/>
      </c>
      <c r="H56" s="220" t="str">
        <f t="shared" si="13"/>
        <v/>
      </c>
      <c r="I56" s="211" t="str">
        <f t="shared" si="7"/>
        <v/>
      </c>
      <c r="J56" s="208" t="str">
        <f t="shared" si="6"/>
        <v/>
      </c>
    </row>
    <row r="57" spans="1:10" ht="14.4" thickBot="1" x14ac:dyDescent="0.3">
      <c r="A57" s="255"/>
      <c r="B57" s="250"/>
      <c r="C57" s="256" t="s">
        <v>30</v>
      </c>
      <c r="D57" s="257">
        <f>COUNT(B7:B56)</f>
        <v>25</v>
      </c>
      <c r="E57" s="251" t="s">
        <v>93</v>
      </c>
      <c r="F57" s="252">
        <f>MAX(F7:F56)</f>
        <v>0.20021734279793546</v>
      </c>
      <c r="G57" s="252">
        <f>MAX(G7:G56)</f>
        <v>0.23207790020144559</v>
      </c>
      <c r="H57" s="253" t="s">
        <v>93</v>
      </c>
      <c r="I57" s="252">
        <f>MAX(I7:I56)</f>
        <v>7.3665193132750773E-2</v>
      </c>
      <c r="J57" s="254">
        <f>MAX(J7:J56)</f>
        <v>7.5835869208721318E-2</v>
      </c>
    </row>
    <row r="58" spans="1:10" x14ac:dyDescent="0.25">
      <c r="A58" s="152"/>
      <c r="B58" s="262" t="s">
        <v>94</v>
      </c>
      <c r="C58" s="146"/>
      <c r="D58" s="146"/>
      <c r="E58" s="152"/>
      <c r="F58" s="167"/>
      <c r="G58" s="152"/>
      <c r="H58" s="167"/>
      <c r="I58" s="146"/>
      <c r="J58" s="146"/>
    </row>
    <row r="59" spans="1:10" ht="14.4" thickBot="1" x14ac:dyDescent="0.3">
      <c r="A59" s="146"/>
      <c r="B59" s="263" t="s">
        <v>27</v>
      </c>
      <c r="C59" s="146"/>
      <c r="D59" s="146"/>
      <c r="E59" s="146"/>
      <c r="F59" s="146"/>
      <c r="G59" s="146"/>
      <c r="H59" s="146"/>
      <c r="I59" s="146"/>
      <c r="J59" s="146"/>
    </row>
    <row r="60" spans="1:10" x14ac:dyDescent="0.25">
      <c r="B60" s="260">
        <v>61.6</v>
      </c>
      <c r="C60" s="146"/>
      <c r="D60" s="152"/>
      <c r="E60" s="217"/>
      <c r="F60" s="62"/>
    </row>
    <row r="61" spans="1:10" x14ac:dyDescent="0.25">
      <c r="B61" s="260">
        <v>63.4</v>
      </c>
    </row>
    <row r="62" spans="1:10" x14ac:dyDescent="0.25">
      <c r="B62" s="260">
        <v>65.099999999999994</v>
      </c>
    </row>
    <row r="63" spans="1:10" x14ac:dyDescent="0.25">
      <c r="B63" s="260">
        <v>65.5</v>
      </c>
    </row>
    <row r="64" spans="1:10" x14ac:dyDescent="0.25">
      <c r="B64" s="260">
        <v>70</v>
      </c>
    </row>
    <row r="65" spans="2:2" x14ac:dyDescent="0.25">
      <c r="B65" s="260">
        <v>72.3</v>
      </c>
    </row>
    <row r="66" spans="2:2" x14ac:dyDescent="0.25">
      <c r="B66" s="260">
        <v>72.5</v>
      </c>
    </row>
    <row r="67" spans="2:2" x14ac:dyDescent="0.25">
      <c r="B67" s="260">
        <v>72.7</v>
      </c>
    </row>
    <row r="68" spans="2:2" x14ac:dyDescent="0.25">
      <c r="B68" s="260">
        <v>73</v>
      </c>
    </row>
    <row r="69" spans="2:2" x14ac:dyDescent="0.25">
      <c r="B69" s="260">
        <v>75.3</v>
      </c>
    </row>
    <row r="70" spans="2:2" x14ac:dyDescent="0.25">
      <c r="B70" s="260">
        <v>77.099999999999994</v>
      </c>
    </row>
    <row r="71" spans="2:2" x14ac:dyDescent="0.25">
      <c r="B71" s="260">
        <v>78.400000000000006</v>
      </c>
    </row>
    <row r="72" spans="2:2" x14ac:dyDescent="0.25">
      <c r="B72" s="260">
        <v>83.2</v>
      </c>
    </row>
    <row r="73" spans="2:2" x14ac:dyDescent="0.25">
      <c r="B73" s="260">
        <v>83.5</v>
      </c>
    </row>
    <row r="74" spans="2:2" ht="13.8" thickBot="1" x14ac:dyDescent="0.3">
      <c r="B74" s="261">
        <v>84.3</v>
      </c>
    </row>
  </sheetData>
  <sheetProtection formatCells="0"/>
  <protectedRanges>
    <protectedRange sqref="C4" name="Range3"/>
    <protectedRange sqref="B2" name="Range1"/>
    <protectedRange sqref="B7:B56 B60:B74" name="Range2"/>
  </protectedRange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G24" sqref="G24"/>
    </sheetView>
  </sheetViews>
  <sheetFormatPr defaultRowHeight="13.2" x14ac:dyDescent="0.25"/>
  <cols>
    <col min="2" max="3" width="13.33203125" customWidth="1"/>
    <col min="4" max="4" width="12.5546875" customWidth="1"/>
    <col min="5" max="5" width="13.44140625" customWidth="1"/>
    <col min="7" max="7" width="17.6640625" customWidth="1"/>
    <col min="8" max="8" width="10.109375" customWidth="1"/>
    <col min="10" max="10" width="5.5546875" customWidth="1"/>
  </cols>
  <sheetData>
    <row r="1" spans="1:16" ht="15" x14ac:dyDescent="0.25">
      <c r="A1" s="11" t="s">
        <v>21</v>
      </c>
      <c r="B1" s="12"/>
      <c r="C1" s="12"/>
      <c r="D1" s="18"/>
      <c r="E1" s="98"/>
    </row>
    <row r="2" spans="1:16" ht="15.6" thickBot="1" x14ac:dyDescent="0.3">
      <c r="A2" s="79"/>
      <c r="B2" s="80" t="s">
        <v>35</v>
      </c>
      <c r="C2" s="109" t="s">
        <v>33</v>
      </c>
      <c r="D2" s="99" t="s">
        <v>53</v>
      </c>
      <c r="E2" s="100"/>
      <c r="K2" t="s">
        <v>57</v>
      </c>
      <c r="L2" t="s">
        <v>58</v>
      </c>
    </row>
    <row r="3" spans="1:16" ht="14.4" thickBot="1" x14ac:dyDescent="0.3">
      <c r="A3" s="69"/>
      <c r="B3" s="70" t="s">
        <v>22</v>
      </c>
      <c r="C3" s="84">
        <f>C60/(C60*LN(C5)-C59)</f>
        <v>0.28685048850106371</v>
      </c>
      <c r="D3" s="102" t="s">
        <v>52</v>
      </c>
      <c r="E3" s="101">
        <f>IF(E5=1,((C60-1)/C60)*C3,((C60-2)/C60)*C3)</f>
        <v>0.24860375670092189</v>
      </c>
      <c r="K3" s="135" t="s">
        <v>59</v>
      </c>
      <c r="L3" s="136">
        <v>0.2</v>
      </c>
      <c r="M3" s="136">
        <v>0.15</v>
      </c>
      <c r="N3" s="136">
        <v>0.1</v>
      </c>
      <c r="O3" s="136">
        <v>0.05</v>
      </c>
      <c r="P3" s="136">
        <v>0.01</v>
      </c>
    </row>
    <row r="4" spans="1:16" ht="14.4" thickBot="1" x14ac:dyDescent="0.3">
      <c r="A4" s="16"/>
      <c r="B4" s="71" t="s">
        <v>23</v>
      </c>
      <c r="C4" s="81">
        <f>C60/C5^C3</f>
        <v>1.0130089992562386</v>
      </c>
      <c r="D4" s="103" t="s">
        <v>24</v>
      </c>
      <c r="E4" s="91">
        <f>C4*C3</f>
        <v>0.2905821262926257</v>
      </c>
      <c r="K4" s="137">
        <v>2</v>
      </c>
      <c r="L4" s="138">
        <v>0.13800000000000001</v>
      </c>
      <c r="M4" s="138">
        <v>0.14899999999999999</v>
      </c>
      <c r="N4" s="138">
        <v>0.16200000000000001</v>
      </c>
      <c r="O4" s="138">
        <v>0.17499999999999999</v>
      </c>
      <c r="P4" s="138">
        <v>0.186</v>
      </c>
    </row>
    <row r="5" spans="1:16" ht="14.4" thickBot="1" x14ac:dyDescent="0.3">
      <c r="A5" s="72"/>
      <c r="B5" s="85" t="s">
        <v>36</v>
      </c>
      <c r="C5" s="85">
        <v>12035</v>
      </c>
      <c r="D5" s="103" t="s">
        <v>34</v>
      </c>
      <c r="E5" s="91">
        <f>IF(C5=MAX(B8:B57),2,1)</f>
        <v>2</v>
      </c>
      <c r="F5" s="86" t="str">
        <f>IF(C5&lt;MAX(B8:B57),"Invalid value for T","")</f>
        <v/>
      </c>
      <c r="G5" s="92" t="s">
        <v>38</v>
      </c>
      <c r="H5" s="93"/>
      <c r="I5" s="88"/>
      <c r="K5" s="137">
        <v>3</v>
      </c>
      <c r="L5" s="138">
        <v>0.121</v>
      </c>
      <c r="M5" s="138">
        <v>0.13500000000000001</v>
      </c>
      <c r="N5" s="138">
        <v>0.154</v>
      </c>
      <c r="O5" s="138">
        <v>0.184</v>
      </c>
      <c r="P5" s="138">
        <v>0.23</v>
      </c>
    </row>
    <row r="6" spans="1:16" ht="14.4" thickBot="1" x14ac:dyDescent="0.3">
      <c r="A6" s="73" t="s">
        <v>25</v>
      </c>
      <c r="B6" s="74"/>
      <c r="C6" s="75"/>
      <c r="D6" s="144" t="s">
        <v>50</v>
      </c>
      <c r="E6" s="145">
        <f>IF(E5=1,C60,C60-1)</f>
        <v>14</v>
      </c>
      <c r="G6" s="94" t="s">
        <v>44</v>
      </c>
      <c r="H6" s="83"/>
      <c r="I6" s="95"/>
      <c r="K6" s="137">
        <v>4</v>
      </c>
      <c r="L6" s="138">
        <v>0.121</v>
      </c>
      <c r="M6" s="138">
        <v>0.13400000000000001</v>
      </c>
      <c r="N6" s="138">
        <v>0.155</v>
      </c>
      <c r="O6" s="138">
        <v>0.191</v>
      </c>
      <c r="P6" s="138">
        <v>0.28000000000000003</v>
      </c>
    </row>
    <row r="7" spans="1:16" ht="14.4" thickBot="1" x14ac:dyDescent="0.3">
      <c r="A7" s="76" t="s">
        <v>26</v>
      </c>
      <c r="B7" s="87" t="s">
        <v>27</v>
      </c>
      <c r="C7" s="33" t="s">
        <v>28</v>
      </c>
      <c r="D7" s="117" t="s">
        <v>37</v>
      </c>
      <c r="E7" s="117" t="s">
        <v>51</v>
      </c>
      <c r="G7" s="94" t="s">
        <v>45</v>
      </c>
      <c r="H7" s="83"/>
      <c r="I7" s="95"/>
      <c r="K7" s="139">
        <v>5</v>
      </c>
      <c r="L7" s="140">
        <v>0.121</v>
      </c>
      <c r="M7" s="140">
        <v>0.13700000000000001</v>
      </c>
      <c r="N7" s="140">
        <v>0.16</v>
      </c>
      <c r="O7" s="140">
        <v>0.19900000000000001</v>
      </c>
      <c r="P7" s="140">
        <v>0.3</v>
      </c>
    </row>
    <row r="8" spans="1:16" ht="13.8" x14ac:dyDescent="0.25">
      <c r="A8" s="16">
        <v>1</v>
      </c>
      <c r="B8" s="2">
        <v>3</v>
      </c>
      <c r="C8" s="118">
        <f t="shared" ref="C8:C39" si="0">IF(B8&gt;0,LN(B8),"")</f>
        <v>1.0986122886681098</v>
      </c>
      <c r="D8" s="119">
        <f t="shared" ref="D8:D39" si="1">IF(B8&gt;0,(B8/$C$5)^$E$3,"")</f>
        <v>0.12711590922314797</v>
      </c>
      <c r="E8" s="120">
        <f>IF(B8&gt;0,(D8-(2*A8-1)/(2*$E$6))^2,"")</f>
        <v>8.3542567800558021E-3</v>
      </c>
      <c r="G8" s="104" t="s">
        <v>39</v>
      </c>
      <c r="H8" s="82">
        <f>2*C60/C3</f>
        <v>104.58409939186404</v>
      </c>
      <c r="I8" s="95"/>
      <c r="K8" s="137">
        <v>6</v>
      </c>
      <c r="L8" s="138">
        <v>0.123</v>
      </c>
      <c r="M8" s="138">
        <v>0.13900000000000001</v>
      </c>
      <c r="N8" s="138">
        <v>0.16200000000000001</v>
      </c>
      <c r="O8" s="138">
        <v>0.20399999999999999</v>
      </c>
      <c r="P8" s="138">
        <v>0.31</v>
      </c>
    </row>
    <row r="9" spans="1:16" ht="13.8" x14ac:dyDescent="0.25">
      <c r="A9" s="16">
        <v>2</v>
      </c>
      <c r="B9" s="2">
        <v>15</v>
      </c>
      <c r="C9" s="121">
        <f t="shared" si="0"/>
        <v>2.7080502011022101</v>
      </c>
      <c r="D9" s="62">
        <f t="shared" si="1"/>
        <v>0.1896559521352108</v>
      </c>
      <c r="E9" s="122">
        <f t="shared" ref="E9:E57" si="2">IF(B9&gt;0,(D9-(2*A9-1)/(2*$E$6))^2,"")</f>
        <v>6.8084108452171801E-3</v>
      </c>
      <c r="G9" s="104" t="s">
        <v>41</v>
      </c>
      <c r="H9" s="82">
        <f>IF(E5=1,2*C60,2*(C60-1))</f>
        <v>28</v>
      </c>
      <c r="I9" s="95"/>
      <c r="K9" s="137">
        <v>7</v>
      </c>
      <c r="L9" s="138">
        <v>0.124</v>
      </c>
      <c r="M9" s="138">
        <v>0.14000000000000001</v>
      </c>
      <c r="N9" s="138">
        <v>0.16500000000000001</v>
      </c>
      <c r="O9" s="138">
        <v>0.20799999999999999</v>
      </c>
      <c r="P9" s="138">
        <v>0.32</v>
      </c>
    </row>
    <row r="10" spans="1:16" ht="13.8" x14ac:dyDescent="0.25">
      <c r="A10" s="16">
        <v>3</v>
      </c>
      <c r="B10" s="2">
        <v>35</v>
      </c>
      <c r="C10" s="121">
        <f t="shared" si="0"/>
        <v>3.5553480614894135</v>
      </c>
      <c r="D10" s="62">
        <f t="shared" si="1"/>
        <v>0.23412451368932546</v>
      </c>
      <c r="E10" s="122">
        <f t="shared" si="2"/>
        <v>3.0861452661162967E-3</v>
      </c>
      <c r="G10" s="105" t="s">
        <v>40</v>
      </c>
      <c r="H10" s="107">
        <v>0.1</v>
      </c>
      <c r="I10" s="95"/>
      <c r="K10" s="137">
        <v>8</v>
      </c>
      <c r="L10" s="138">
        <v>0.124</v>
      </c>
      <c r="M10" s="138">
        <v>0.14099999999999999</v>
      </c>
      <c r="N10" s="138">
        <v>0.16500000000000001</v>
      </c>
      <c r="O10" s="138">
        <v>0.21</v>
      </c>
      <c r="P10" s="138">
        <v>0.32</v>
      </c>
    </row>
    <row r="11" spans="1:16" ht="13.8" x14ac:dyDescent="0.25">
      <c r="A11" s="16">
        <v>4</v>
      </c>
      <c r="B11" s="2">
        <v>58</v>
      </c>
      <c r="C11" s="121">
        <f t="shared" si="0"/>
        <v>4.0604430105464191</v>
      </c>
      <c r="D11" s="62">
        <f t="shared" si="1"/>
        <v>0.26544869569272589</v>
      </c>
      <c r="E11" s="122">
        <f t="shared" si="2"/>
        <v>2.3866219860644742E-4</v>
      </c>
      <c r="G11" s="94" t="s">
        <v>42</v>
      </c>
      <c r="H11" s="106">
        <f>CHIINV(1-H10/2,$H$9)</f>
        <v>16.927875044422496</v>
      </c>
      <c r="I11" s="95"/>
      <c r="K11" s="137">
        <v>9</v>
      </c>
      <c r="L11" s="138">
        <v>0.125</v>
      </c>
      <c r="M11" s="138">
        <v>0.14199999999999999</v>
      </c>
      <c r="N11" s="138">
        <v>0.16700000000000001</v>
      </c>
      <c r="O11" s="138">
        <v>0.21199999999999999</v>
      </c>
      <c r="P11" s="138">
        <v>0.32</v>
      </c>
    </row>
    <row r="12" spans="1:16" ht="13.8" x14ac:dyDescent="0.25">
      <c r="A12" s="16">
        <v>5</v>
      </c>
      <c r="B12" s="2">
        <v>113</v>
      </c>
      <c r="C12" s="121">
        <f t="shared" si="0"/>
        <v>4.7273878187123408</v>
      </c>
      <c r="D12" s="62">
        <f t="shared" si="1"/>
        <v>0.31332048181457706</v>
      </c>
      <c r="E12" s="122">
        <f t="shared" si="2"/>
        <v>6.5741117188563791E-5</v>
      </c>
      <c r="G12" s="94" t="s">
        <v>43</v>
      </c>
      <c r="H12" s="106">
        <f>CHIINV(H10/2,$H$9)</f>
        <v>41.337138151427396</v>
      </c>
      <c r="I12" s="95"/>
      <c r="K12" s="139">
        <v>10</v>
      </c>
      <c r="L12" s="140">
        <v>0.125</v>
      </c>
      <c r="M12" s="140">
        <v>0.14199999999999999</v>
      </c>
      <c r="N12" s="140">
        <v>0.16700000000000001</v>
      </c>
      <c r="O12" s="140">
        <v>0.21199999999999999</v>
      </c>
      <c r="P12" s="140">
        <v>0.32</v>
      </c>
    </row>
    <row r="13" spans="1:16" ht="13.8" x14ac:dyDescent="0.25">
      <c r="A13" s="16">
        <v>6</v>
      </c>
      <c r="B13" s="2">
        <v>187</v>
      </c>
      <c r="C13" s="121">
        <f t="shared" si="0"/>
        <v>5.2311086168545868</v>
      </c>
      <c r="D13" s="62">
        <f t="shared" si="1"/>
        <v>0.35511918055805058</v>
      </c>
      <c r="E13" s="122">
        <f t="shared" si="2"/>
        <v>1.4241537984877092E-3</v>
      </c>
      <c r="G13" s="96" t="str">
        <f>IF(H11&lt;=H8&lt;=H12,"cannot reject Ho","Reject Ho")</f>
        <v>Reject Ho</v>
      </c>
      <c r="H13" s="96"/>
      <c r="I13" s="97"/>
      <c r="K13" s="137">
        <v>11</v>
      </c>
      <c r="L13" s="138">
        <v>0.126</v>
      </c>
      <c r="M13" s="138">
        <v>0.14299999999999999</v>
      </c>
      <c r="N13" s="138">
        <v>0.16900000000000001</v>
      </c>
      <c r="O13" s="138">
        <v>0.214</v>
      </c>
      <c r="P13" s="138">
        <v>0.32</v>
      </c>
    </row>
    <row r="14" spans="1:16" ht="14.4" thickBot="1" x14ac:dyDescent="0.3">
      <c r="A14" s="16">
        <v>7</v>
      </c>
      <c r="B14" s="2">
        <v>225</v>
      </c>
      <c r="C14" s="121">
        <f t="shared" si="0"/>
        <v>5.4161004022044201</v>
      </c>
      <c r="D14" s="62">
        <f t="shared" si="1"/>
        <v>0.37183235935743958</v>
      </c>
      <c r="E14" s="122">
        <f t="shared" si="2"/>
        <v>8.5476228374935393E-3</v>
      </c>
      <c r="K14" s="137">
        <v>12</v>
      </c>
      <c r="L14" s="138">
        <v>0.126</v>
      </c>
      <c r="M14" s="138">
        <v>0.14399999999999999</v>
      </c>
      <c r="N14" s="138">
        <v>0.16900000000000001</v>
      </c>
      <c r="O14" s="138">
        <v>0.214</v>
      </c>
      <c r="P14" s="138">
        <v>0.32</v>
      </c>
    </row>
    <row r="15" spans="1:16" ht="13.8" x14ac:dyDescent="0.25">
      <c r="A15" s="16">
        <v>8</v>
      </c>
      <c r="B15" s="2">
        <v>465</v>
      </c>
      <c r="C15" s="121">
        <f t="shared" si="0"/>
        <v>6.1420374055873559</v>
      </c>
      <c r="D15" s="62">
        <f t="shared" si="1"/>
        <v>0.44537372981721896</v>
      </c>
      <c r="E15" s="122">
        <f t="shared" si="2"/>
        <v>8.1614160397910415E-3</v>
      </c>
      <c r="G15" s="126" t="s">
        <v>46</v>
      </c>
      <c r="H15" s="127"/>
      <c r="I15" s="128"/>
      <c r="K15" s="137">
        <v>13</v>
      </c>
      <c r="L15" s="138">
        <v>0.126</v>
      </c>
      <c r="M15" s="138">
        <v>0.14399999999999999</v>
      </c>
      <c r="N15" s="138">
        <v>0.16900000000000001</v>
      </c>
      <c r="O15" s="138">
        <v>0.214</v>
      </c>
      <c r="P15" s="138">
        <v>0.33</v>
      </c>
    </row>
    <row r="16" spans="1:16" ht="13.8" x14ac:dyDescent="0.25">
      <c r="A16" s="16">
        <v>9</v>
      </c>
      <c r="B16" s="2">
        <v>732</v>
      </c>
      <c r="C16" s="121">
        <f t="shared" si="0"/>
        <v>6.5957805139613113</v>
      </c>
      <c r="D16" s="62">
        <f t="shared" si="1"/>
        <v>0.49855604646404922</v>
      </c>
      <c r="E16" s="122">
        <f t="shared" si="2"/>
        <v>1.1791095453395264E-2</v>
      </c>
      <c r="G16" s="129" t="s">
        <v>48</v>
      </c>
      <c r="H16" s="83"/>
      <c r="I16" s="130"/>
      <c r="K16" s="137">
        <v>14</v>
      </c>
      <c r="L16" s="138">
        <v>0.126</v>
      </c>
      <c r="M16" s="138">
        <v>0.14399999999999999</v>
      </c>
      <c r="N16" s="138">
        <v>0.16900000000000001</v>
      </c>
      <c r="O16" s="138">
        <v>0.214</v>
      </c>
      <c r="P16" s="138">
        <v>0.33</v>
      </c>
    </row>
    <row r="17" spans="1:16" ht="13.8" x14ac:dyDescent="0.25">
      <c r="A17" s="16">
        <v>10</v>
      </c>
      <c r="B17" s="2">
        <v>1123</v>
      </c>
      <c r="C17" s="121">
        <f t="shared" si="0"/>
        <v>7.0237589547384429</v>
      </c>
      <c r="D17" s="62">
        <f t="shared" si="1"/>
        <v>0.55452564881026123</v>
      </c>
      <c r="E17" s="122">
        <f t="shared" si="2"/>
        <v>1.5387355476556041E-2</v>
      </c>
      <c r="G17" s="129" t="s">
        <v>47</v>
      </c>
      <c r="H17" s="83"/>
      <c r="I17" s="130"/>
      <c r="K17" s="139">
        <v>15</v>
      </c>
      <c r="L17" s="140">
        <v>0.126</v>
      </c>
      <c r="M17" s="140">
        <v>0.14399999999999999</v>
      </c>
      <c r="N17" s="140">
        <v>0.16900000000000001</v>
      </c>
      <c r="O17" s="140">
        <v>0.215</v>
      </c>
      <c r="P17" s="140">
        <v>0.33</v>
      </c>
    </row>
    <row r="18" spans="1:16" ht="13.8" x14ac:dyDescent="0.25">
      <c r="A18" s="16">
        <v>11</v>
      </c>
      <c r="B18" s="2">
        <v>1587</v>
      </c>
      <c r="C18" s="121">
        <f t="shared" si="0"/>
        <v>7.3696007205264094</v>
      </c>
      <c r="D18" s="62">
        <f t="shared" si="1"/>
        <v>0.60431200169635202</v>
      </c>
      <c r="E18" s="122">
        <f t="shared" si="2"/>
        <v>2.1224992849723737E-2</v>
      </c>
      <c r="G18" s="131" t="s">
        <v>49</v>
      </c>
      <c r="H18" s="108">
        <f>(1/(12*E6))+E61</f>
        <v>0.12714035290115897</v>
      </c>
      <c r="I18" s="130" t="s">
        <v>60</v>
      </c>
      <c r="K18" s="137">
        <v>16</v>
      </c>
      <c r="L18" s="138">
        <v>0.127</v>
      </c>
      <c r="M18" s="138">
        <v>0.14499999999999999</v>
      </c>
      <c r="N18" s="138">
        <v>0.17100000000000001</v>
      </c>
      <c r="O18" s="138">
        <v>0.216</v>
      </c>
      <c r="P18" s="138">
        <v>0.33</v>
      </c>
    </row>
    <row r="19" spans="1:16" ht="14.4" thickBot="1" x14ac:dyDescent="0.3">
      <c r="A19" s="16">
        <v>12</v>
      </c>
      <c r="B19" s="2">
        <v>2166</v>
      </c>
      <c r="C19" s="121">
        <f t="shared" si="0"/>
        <v>7.6806374275609359</v>
      </c>
      <c r="D19" s="62">
        <f t="shared" si="1"/>
        <v>0.65289447604023221</v>
      </c>
      <c r="E19" s="122">
        <f t="shared" si="2"/>
        <v>2.8403741308365812E-2</v>
      </c>
      <c r="G19" s="132" t="s">
        <v>56</v>
      </c>
      <c r="H19" s="133"/>
      <c r="I19" s="134"/>
      <c r="K19" s="137">
        <v>17</v>
      </c>
      <c r="L19" s="138">
        <v>0.127</v>
      </c>
      <c r="M19" s="138">
        <v>0.14499999999999999</v>
      </c>
      <c r="N19" s="138">
        <v>0.17100000000000001</v>
      </c>
      <c r="O19" s="138">
        <v>0.217</v>
      </c>
      <c r="P19" s="138">
        <v>0.33</v>
      </c>
    </row>
    <row r="20" spans="1:16" ht="13.8" x14ac:dyDescent="0.25">
      <c r="A20" s="16">
        <v>13</v>
      </c>
      <c r="B20" s="2">
        <v>5423</v>
      </c>
      <c r="C20" s="121">
        <f t="shared" si="0"/>
        <v>8.5984044468410605</v>
      </c>
      <c r="D20" s="62">
        <f t="shared" si="1"/>
        <v>0.82022266515891051</v>
      </c>
      <c r="E20" s="122">
        <f t="shared" si="2"/>
        <v>5.2757673504950182E-3</v>
      </c>
      <c r="K20" s="137">
        <v>18</v>
      </c>
      <c r="L20" s="138">
        <v>0.127</v>
      </c>
      <c r="M20" s="138">
        <v>0.14599999999999999</v>
      </c>
      <c r="N20" s="138">
        <v>0.17100000000000001</v>
      </c>
      <c r="O20" s="138">
        <v>0.217</v>
      </c>
      <c r="P20" s="138">
        <v>0.33</v>
      </c>
    </row>
    <row r="21" spans="1:16" ht="13.8" x14ac:dyDescent="0.25">
      <c r="A21" s="16">
        <v>14</v>
      </c>
      <c r="B21" s="2">
        <v>8423</v>
      </c>
      <c r="C21" s="121">
        <f t="shared" si="0"/>
        <v>9.038721338315364</v>
      </c>
      <c r="D21" s="62">
        <f t="shared" si="1"/>
        <v>0.91510634231650778</v>
      </c>
      <c r="E21" s="122">
        <f t="shared" si="2"/>
        <v>2.4186106272855762E-3</v>
      </c>
      <c r="K21" s="137">
        <v>19</v>
      </c>
      <c r="L21" s="138">
        <v>0.127</v>
      </c>
      <c r="M21" s="138">
        <v>0.14599999999999999</v>
      </c>
      <c r="N21" s="138">
        <v>0.17100000000000001</v>
      </c>
      <c r="O21" s="138">
        <v>0.217</v>
      </c>
      <c r="P21" s="138">
        <v>0.33</v>
      </c>
    </row>
    <row r="22" spans="1:16" ht="13.8" x14ac:dyDescent="0.25">
      <c r="A22" s="16">
        <v>15</v>
      </c>
      <c r="B22" s="2">
        <v>12035</v>
      </c>
      <c r="C22" s="121">
        <f t="shared" si="0"/>
        <v>9.3955743502171725</v>
      </c>
      <c r="D22" s="62">
        <f t="shared" si="1"/>
        <v>1</v>
      </c>
      <c r="E22" s="122">
        <f t="shared" si="2"/>
        <v>1.2755102040816395E-3</v>
      </c>
      <c r="K22" s="139">
        <v>20</v>
      </c>
      <c r="L22" s="140">
        <v>0.128</v>
      </c>
      <c r="M22" s="140">
        <v>0.14599999999999999</v>
      </c>
      <c r="N22" s="140">
        <v>0.17199999999999999</v>
      </c>
      <c r="O22" s="140">
        <v>0.217</v>
      </c>
      <c r="P22" s="140">
        <v>0.33</v>
      </c>
    </row>
    <row r="23" spans="1:16" ht="13.8" x14ac:dyDescent="0.25">
      <c r="A23" s="16">
        <v>16</v>
      </c>
      <c r="B23" s="2"/>
      <c r="C23" s="121" t="str">
        <f t="shared" si="0"/>
        <v/>
      </c>
      <c r="D23" s="62" t="str">
        <f t="shared" si="1"/>
        <v/>
      </c>
      <c r="E23" s="122" t="str">
        <f t="shared" si="2"/>
        <v/>
      </c>
      <c r="K23" s="137">
        <v>30</v>
      </c>
      <c r="L23" s="138">
        <v>0.128</v>
      </c>
      <c r="M23" s="138">
        <v>0.14599999999999999</v>
      </c>
      <c r="N23" s="138">
        <v>0.17199999999999999</v>
      </c>
      <c r="O23" s="138">
        <v>0.218</v>
      </c>
      <c r="P23" s="138">
        <v>0.33</v>
      </c>
    </row>
    <row r="24" spans="1:16" ht="13.8" x14ac:dyDescent="0.25">
      <c r="A24" s="16">
        <v>17</v>
      </c>
      <c r="B24" s="2"/>
      <c r="C24" s="121" t="str">
        <f t="shared" si="0"/>
        <v/>
      </c>
      <c r="D24" s="62" t="str">
        <f t="shared" si="1"/>
        <v/>
      </c>
      <c r="E24" s="122" t="str">
        <f t="shared" si="2"/>
        <v/>
      </c>
      <c r="K24" s="137">
        <v>60</v>
      </c>
      <c r="L24" s="138">
        <v>0.128</v>
      </c>
      <c r="M24" s="138">
        <v>0.14699999999999999</v>
      </c>
      <c r="N24" s="138">
        <v>0.17299999999999999</v>
      </c>
      <c r="O24" s="138">
        <v>0.22</v>
      </c>
      <c r="P24" s="138">
        <v>0.33</v>
      </c>
    </row>
    <row r="25" spans="1:16" ht="14.4" thickBot="1" x14ac:dyDescent="0.3">
      <c r="A25" s="16">
        <v>18</v>
      </c>
      <c r="B25" s="2"/>
      <c r="C25" s="121" t="str">
        <f t="shared" si="0"/>
        <v/>
      </c>
      <c r="D25" s="62" t="str">
        <f t="shared" si="1"/>
        <v/>
      </c>
      <c r="E25" s="122" t="str">
        <f t="shared" si="2"/>
        <v/>
      </c>
      <c r="K25" s="141">
        <v>100</v>
      </c>
      <c r="L25" s="142">
        <v>0.129</v>
      </c>
      <c r="M25" s="142">
        <v>0.14699999999999999</v>
      </c>
      <c r="N25" s="142">
        <v>0.17299999999999999</v>
      </c>
      <c r="O25" s="142">
        <v>0.22</v>
      </c>
      <c r="P25" s="142">
        <v>0.34</v>
      </c>
    </row>
    <row r="26" spans="1:16" ht="17.25" customHeight="1" x14ac:dyDescent="0.3">
      <c r="A26" s="16">
        <v>19</v>
      </c>
      <c r="B26" s="2"/>
      <c r="C26" s="121" t="str">
        <f t="shared" si="0"/>
        <v/>
      </c>
      <c r="D26" s="62" t="str">
        <f t="shared" si="1"/>
        <v/>
      </c>
      <c r="E26" s="122" t="str">
        <f t="shared" si="2"/>
        <v/>
      </c>
      <c r="K26" s="143" t="s">
        <v>61</v>
      </c>
    </row>
    <row r="27" spans="1:16" x14ac:dyDescent="0.25">
      <c r="A27" s="16">
        <v>20</v>
      </c>
      <c r="B27" s="2"/>
      <c r="C27" s="121" t="str">
        <f t="shared" si="0"/>
        <v/>
      </c>
      <c r="D27" s="62" t="str">
        <f t="shared" si="1"/>
        <v/>
      </c>
      <c r="E27" s="122" t="str">
        <f t="shared" si="2"/>
        <v/>
      </c>
    </row>
    <row r="28" spans="1:16" x14ac:dyDescent="0.25">
      <c r="A28" s="16">
        <v>21</v>
      </c>
      <c r="B28" s="2"/>
      <c r="C28" s="121" t="str">
        <f t="shared" si="0"/>
        <v/>
      </c>
      <c r="D28" s="62" t="str">
        <f t="shared" si="1"/>
        <v/>
      </c>
      <c r="E28" s="122" t="str">
        <f t="shared" si="2"/>
        <v/>
      </c>
    </row>
    <row r="29" spans="1:16" x14ac:dyDescent="0.25">
      <c r="A29" s="16">
        <v>22</v>
      </c>
      <c r="B29" s="2"/>
      <c r="C29" s="121" t="str">
        <f t="shared" si="0"/>
        <v/>
      </c>
      <c r="D29" s="62" t="str">
        <f t="shared" si="1"/>
        <v/>
      </c>
      <c r="E29" s="122" t="str">
        <f t="shared" si="2"/>
        <v/>
      </c>
    </row>
    <row r="30" spans="1:16" x14ac:dyDescent="0.25">
      <c r="A30" s="16">
        <v>23</v>
      </c>
      <c r="B30" s="2"/>
      <c r="C30" s="121" t="str">
        <f t="shared" si="0"/>
        <v/>
      </c>
      <c r="D30" s="62" t="str">
        <f t="shared" si="1"/>
        <v/>
      </c>
      <c r="E30" s="122" t="str">
        <f t="shared" si="2"/>
        <v/>
      </c>
    </row>
    <row r="31" spans="1:16" x14ac:dyDescent="0.25">
      <c r="A31" s="16">
        <v>24</v>
      </c>
      <c r="B31" s="2"/>
      <c r="C31" s="121" t="str">
        <f t="shared" si="0"/>
        <v/>
      </c>
      <c r="D31" s="62" t="str">
        <f t="shared" si="1"/>
        <v/>
      </c>
      <c r="E31" s="122" t="str">
        <f t="shared" si="2"/>
        <v/>
      </c>
    </row>
    <row r="32" spans="1:16" x14ac:dyDescent="0.25">
      <c r="A32" s="16">
        <v>25</v>
      </c>
      <c r="B32" s="2"/>
      <c r="C32" s="121" t="str">
        <f t="shared" si="0"/>
        <v/>
      </c>
      <c r="D32" s="62" t="str">
        <f t="shared" si="1"/>
        <v/>
      </c>
      <c r="E32" s="122" t="str">
        <f t="shared" si="2"/>
        <v/>
      </c>
    </row>
    <row r="33" spans="1:5" x14ac:dyDescent="0.25">
      <c r="A33" s="16">
        <v>26</v>
      </c>
      <c r="B33" s="2"/>
      <c r="C33" s="121" t="str">
        <f t="shared" si="0"/>
        <v/>
      </c>
      <c r="D33" s="62" t="str">
        <f t="shared" si="1"/>
        <v/>
      </c>
      <c r="E33" s="122" t="str">
        <f t="shared" si="2"/>
        <v/>
      </c>
    </row>
    <row r="34" spans="1:5" x14ac:dyDescent="0.25">
      <c r="A34" s="16">
        <v>27</v>
      </c>
      <c r="B34" s="2"/>
      <c r="C34" s="121" t="str">
        <f t="shared" si="0"/>
        <v/>
      </c>
      <c r="D34" s="62" t="str">
        <f t="shared" si="1"/>
        <v/>
      </c>
      <c r="E34" s="122" t="str">
        <f t="shared" si="2"/>
        <v/>
      </c>
    </row>
    <row r="35" spans="1:5" x14ac:dyDescent="0.25">
      <c r="A35" s="16">
        <v>28</v>
      </c>
      <c r="B35" s="2"/>
      <c r="C35" s="121" t="str">
        <f t="shared" si="0"/>
        <v/>
      </c>
      <c r="D35" s="62" t="str">
        <f t="shared" si="1"/>
        <v/>
      </c>
      <c r="E35" s="122" t="str">
        <f t="shared" si="2"/>
        <v/>
      </c>
    </row>
    <row r="36" spans="1:5" x14ac:dyDescent="0.25">
      <c r="A36" s="16">
        <v>29</v>
      </c>
      <c r="B36" s="2"/>
      <c r="C36" s="121" t="str">
        <f t="shared" si="0"/>
        <v/>
      </c>
      <c r="D36" s="62" t="str">
        <f t="shared" si="1"/>
        <v/>
      </c>
      <c r="E36" s="122" t="str">
        <f t="shared" si="2"/>
        <v/>
      </c>
    </row>
    <row r="37" spans="1:5" x14ac:dyDescent="0.25">
      <c r="A37" s="16">
        <v>30</v>
      </c>
      <c r="B37" s="2"/>
      <c r="C37" s="121" t="str">
        <f t="shared" si="0"/>
        <v/>
      </c>
      <c r="D37" s="62" t="str">
        <f t="shared" si="1"/>
        <v/>
      </c>
      <c r="E37" s="122" t="str">
        <f t="shared" si="2"/>
        <v/>
      </c>
    </row>
    <row r="38" spans="1:5" x14ac:dyDescent="0.25">
      <c r="A38" s="16">
        <v>31</v>
      </c>
      <c r="B38" s="2"/>
      <c r="C38" s="121" t="str">
        <f t="shared" si="0"/>
        <v/>
      </c>
      <c r="D38" s="62" t="str">
        <f t="shared" si="1"/>
        <v/>
      </c>
      <c r="E38" s="122" t="str">
        <f t="shared" si="2"/>
        <v/>
      </c>
    </row>
    <row r="39" spans="1:5" x14ac:dyDescent="0.25">
      <c r="A39" s="16">
        <v>32</v>
      </c>
      <c r="B39" s="2"/>
      <c r="C39" s="121" t="str">
        <f t="shared" si="0"/>
        <v/>
      </c>
      <c r="D39" s="62" t="str">
        <f t="shared" si="1"/>
        <v/>
      </c>
      <c r="E39" s="122" t="str">
        <f t="shared" si="2"/>
        <v/>
      </c>
    </row>
    <row r="40" spans="1:5" x14ac:dyDescent="0.25">
      <c r="A40" s="16">
        <v>33</v>
      </c>
      <c r="B40" s="2"/>
      <c r="C40" s="121" t="str">
        <f t="shared" ref="C40:C57" si="3">IF(B40&gt;0,LN(B40),"")</f>
        <v/>
      </c>
      <c r="D40" s="62" t="str">
        <f t="shared" ref="D40:D57" si="4">IF(B40&gt;0,(B40/$C$5)^$E$3,"")</f>
        <v/>
      </c>
      <c r="E40" s="122" t="str">
        <f t="shared" si="2"/>
        <v/>
      </c>
    </row>
    <row r="41" spans="1:5" x14ac:dyDescent="0.25">
      <c r="A41" s="16">
        <v>34</v>
      </c>
      <c r="B41" s="2"/>
      <c r="C41" s="121" t="str">
        <f t="shared" si="3"/>
        <v/>
      </c>
      <c r="D41" s="62" t="str">
        <f t="shared" si="4"/>
        <v/>
      </c>
      <c r="E41" s="122" t="str">
        <f t="shared" si="2"/>
        <v/>
      </c>
    </row>
    <row r="42" spans="1:5" x14ac:dyDescent="0.25">
      <c r="A42" s="16">
        <v>35</v>
      </c>
      <c r="B42" s="2"/>
      <c r="C42" s="121" t="str">
        <f t="shared" si="3"/>
        <v/>
      </c>
      <c r="D42" s="62" t="str">
        <f t="shared" si="4"/>
        <v/>
      </c>
      <c r="E42" s="122" t="str">
        <f t="shared" si="2"/>
        <v/>
      </c>
    </row>
    <row r="43" spans="1:5" x14ac:dyDescent="0.25">
      <c r="A43" s="16">
        <v>36</v>
      </c>
      <c r="B43" s="2"/>
      <c r="C43" s="121" t="str">
        <f t="shared" si="3"/>
        <v/>
      </c>
      <c r="D43" s="62" t="str">
        <f t="shared" si="4"/>
        <v/>
      </c>
      <c r="E43" s="122" t="str">
        <f t="shared" si="2"/>
        <v/>
      </c>
    </row>
    <row r="44" spans="1:5" x14ac:dyDescent="0.25">
      <c r="A44" s="16">
        <v>37</v>
      </c>
      <c r="B44" s="2"/>
      <c r="C44" s="121" t="str">
        <f t="shared" si="3"/>
        <v/>
      </c>
      <c r="D44" s="62" t="str">
        <f t="shared" si="4"/>
        <v/>
      </c>
      <c r="E44" s="122" t="str">
        <f t="shared" si="2"/>
        <v/>
      </c>
    </row>
    <row r="45" spans="1:5" x14ac:dyDescent="0.25">
      <c r="A45" s="16">
        <v>38</v>
      </c>
      <c r="B45" s="2"/>
      <c r="C45" s="121" t="str">
        <f t="shared" si="3"/>
        <v/>
      </c>
      <c r="D45" s="62" t="str">
        <f t="shared" si="4"/>
        <v/>
      </c>
      <c r="E45" s="122" t="str">
        <f t="shared" si="2"/>
        <v/>
      </c>
    </row>
    <row r="46" spans="1:5" x14ac:dyDescent="0.25">
      <c r="A46" s="16">
        <v>39</v>
      </c>
      <c r="B46" s="2"/>
      <c r="C46" s="121" t="str">
        <f t="shared" si="3"/>
        <v/>
      </c>
      <c r="D46" s="62" t="str">
        <f t="shared" si="4"/>
        <v/>
      </c>
      <c r="E46" s="122" t="str">
        <f t="shared" si="2"/>
        <v/>
      </c>
    </row>
    <row r="47" spans="1:5" x14ac:dyDescent="0.25">
      <c r="A47" s="16">
        <v>40</v>
      </c>
      <c r="B47" s="2"/>
      <c r="C47" s="121" t="str">
        <f t="shared" si="3"/>
        <v/>
      </c>
      <c r="D47" s="62" t="str">
        <f t="shared" si="4"/>
        <v/>
      </c>
      <c r="E47" s="122" t="str">
        <f t="shared" si="2"/>
        <v/>
      </c>
    </row>
    <row r="48" spans="1:5" x14ac:dyDescent="0.25">
      <c r="A48" s="16">
        <v>41</v>
      </c>
      <c r="B48" s="2"/>
      <c r="C48" s="121" t="str">
        <f t="shared" si="3"/>
        <v/>
      </c>
      <c r="D48" s="62" t="str">
        <f t="shared" si="4"/>
        <v/>
      </c>
      <c r="E48" s="122" t="str">
        <f t="shared" si="2"/>
        <v/>
      </c>
    </row>
    <row r="49" spans="1:5" x14ac:dyDescent="0.25">
      <c r="A49" s="16">
        <v>42</v>
      </c>
      <c r="B49" s="2"/>
      <c r="C49" s="121" t="str">
        <f t="shared" si="3"/>
        <v/>
      </c>
      <c r="D49" s="62" t="str">
        <f t="shared" si="4"/>
        <v/>
      </c>
      <c r="E49" s="122" t="str">
        <f t="shared" si="2"/>
        <v/>
      </c>
    </row>
    <row r="50" spans="1:5" x14ac:dyDescent="0.25">
      <c r="A50" s="16">
        <v>43</v>
      </c>
      <c r="B50" s="2"/>
      <c r="C50" s="121" t="str">
        <f t="shared" si="3"/>
        <v/>
      </c>
      <c r="D50" s="62" t="str">
        <f t="shared" si="4"/>
        <v/>
      </c>
      <c r="E50" s="122" t="str">
        <f t="shared" si="2"/>
        <v/>
      </c>
    </row>
    <row r="51" spans="1:5" x14ac:dyDescent="0.25">
      <c r="A51" s="16">
        <v>44</v>
      </c>
      <c r="B51" s="2"/>
      <c r="C51" s="121" t="str">
        <f t="shared" si="3"/>
        <v/>
      </c>
      <c r="D51" s="62" t="str">
        <f t="shared" si="4"/>
        <v/>
      </c>
      <c r="E51" s="122" t="str">
        <f t="shared" si="2"/>
        <v/>
      </c>
    </row>
    <row r="52" spans="1:5" x14ac:dyDescent="0.25">
      <c r="A52" s="16">
        <v>45</v>
      </c>
      <c r="B52" s="2"/>
      <c r="C52" s="121" t="str">
        <f t="shared" si="3"/>
        <v/>
      </c>
      <c r="D52" s="62" t="str">
        <f t="shared" si="4"/>
        <v/>
      </c>
      <c r="E52" s="122" t="str">
        <f t="shared" si="2"/>
        <v/>
      </c>
    </row>
    <row r="53" spans="1:5" x14ac:dyDescent="0.25">
      <c r="A53" s="16">
        <v>46</v>
      </c>
      <c r="B53" s="2"/>
      <c r="C53" s="121" t="str">
        <f t="shared" si="3"/>
        <v/>
      </c>
      <c r="D53" s="62" t="str">
        <f t="shared" si="4"/>
        <v/>
      </c>
      <c r="E53" s="122" t="str">
        <f t="shared" si="2"/>
        <v/>
      </c>
    </row>
    <row r="54" spans="1:5" x14ac:dyDescent="0.25">
      <c r="A54" s="16">
        <v>47</v>
      </c>
      <c r="B54" s="2"/>
      <c r="C54" s="121" t="str">
        <f t="shared" si="3"/>
        <v/>
      </c>
      <c r="D54" s="62" t="str">
        <f t="shared" si="4"/>
        <v/>
      </c>
      <c r="E54" s="122" t="str">
        <f t="shared" si="2"/>
        <v/>
      </c>
    </row>
    <row r="55" spans="1:5" x14ac:dyDescent="0.25">
      <c r="A55" s="16">
        <v>48</v>
      </c>
      <c r="B55" s="2"/>
      <c r="C55" s="121" t="str">
        <f t="shared" si="3"/>
        <v/>
      </c>
      <c r="D55" s="62" t="str">
        <f t="shared" si="4"/>
        <v/>
      </c>
      <c r="E55" s="122" t="str">
        <f t="shared" si="2"/>
        <v/>
      </c>
    </row>
    <row r="56" spans="1:5" x14ac:dyDescent="0.25">
      <c r="A56" s="16">
        <v>49</v>
      </c>
      <c r="B56" s="2"/>
      <c r="C56" s="121" t="str">
        <f t="shared" si="3"/>
        <v/>
      </c>
      <c r="D56" s="62" t="str">
        <f t="shared" si="4"/>
        <v/>
      </c>
      <c r="E56" s="122" t="str">
        <f t="shared" si="2"/>
        <v/>
      </c>
    </row>
    <row r="57" spans="1:5" ht="13.8" thickBot="1" x14ac:dyDescent="0.3">
      <c r="A57" s="16">
        <v>50</v>
      </c>
      <c r="B57" s="2"/>
      <c r="C57" s="123" t="str">
        <f t="shared" si="3"/>
        <v/>
      </c>
      <c r="D57" s="124" t="str">
        <f t="shared" si="4"/>
        <v/>
      </c>
      <c r="E57" s="125" t="str">
        <f t="shared" si="2"/>
        <v/>
      </c>
    </row>
    <row r="58" spans="1:5" x14ac:dyDescent="0.25">
      <c r="B58" s="77" t="s">
        <v>29</v>
      </c>
      <c r="C58" s="4">
        <f>SUM(B8:B57)</f>
        <v>32590</v>
      </c>
      <c r="D58" s="4">
        <f>SUM(D8:D57)</f>
        <v>7.3476080027740096</v>
      </c>
      <c r="E58" s="111">
        <f>SUM(E8:E57)</f>
        <v>0.12246348215285965</v>
      </c>
    </row>
    <row r="59" spans="1:5" x14ac:dyDescent="0.25">
      <c r="B59" s="112" t="s">
        <v>31</v>
      </c>
      <c r="C59" s="89">
        <f>SUM(C8:C57)</f>
        <v>88.641565557325563</v>
      </c>
      <c r="D59" s="90" t="s">
        <v>54</v>
      </c>
      <c r="E59" s="113">
        <f>INDEX(E8:E57,C60)</f>
        <v>1.2755102040816395E-3</v>
      </c>
    </row>
    <row r="60" spans="1:5" ht="13.8" x14ac:dyDescent="0.25">
      <c r="B60" s="114" t="s">
        <v>30</v>
      </c>
      <c r="C60" s="110">
        <f>COUNT(B8:B57)</f>
        <v>15</v>
      </c>
      <c r="D60" s="90" t="s">
        <v>55</v>
      </c>
      <c r="E60" s="113">
        <f>E58-E59</f>
        <v>0.12118797194877802</v>
      </c>
    </row>
    <row r="61" spans="1:5" ht="13.8" thickBot="1" x14ac:dyDescent="0.3">
      <c r="B61" s="115" t="s">
        <v>32</v>
      </c>
      <c r="C61" s="116">
        <f>LN(C5)</f>
        <v>9.3955743502171725</v>
      </c>
      <c r="D61" s="78" t="s">
        <v>50</v>
      </c>
      <c r="E61" s="8">
        <f>IF(E5=1,E58,E60)</f>
        <v>0.12118797194877802</v>
      </c>
    </row>
  </sheetData>
  <sheetProtection password="DC2F" sheet="1" formatCells="0"/>
  <protectedRanges>
    <protectedRange sqref="H10" name="Range3"/>
    <protectedRange sqref="C5" name="Range1_1"/>
    <protectedRange sqref="B8:B57" name="Range2"/>
  </protectedRanges>
  <pageMargins left="0.7" right="0.7" top="0.75" bottom="0.75" header="0.3" footer="0.3"/>
  <pageSetup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Equation.DSMT4" shapeId="2049" r:id="rId4">
          <objectPr defaultSize="0" autoPict="0" r:id="rId5">
            <anchor moveWithCells="1" sizeWithCells="1">
              <from>
                <xdr:col>5</xdr:col>
                <xdr:colOff>121920</xdr:colOff>
                <xdr:row>0</xdr:row>
                <xdr:rowOff>99060</xdr:rowOff>
              </from>
              <to>
                <xdr:col>8</xdr:col>
                <xdr:colOff>556260</xdr:colOff>
                <xdr:row>3</xdr:row>
                <xdr:rowOff>106680</xdr:rowOff>
              </to>
            </anchor>
          </objectPr>
        </oleObject>
      </mc:Choice>
      <mc:Fallback>
        <oleObject progId="Equation.DSMT4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Chi-Sq GOF</vt:lpstr>
      <vt:lpstr>Bartlett Test</vt:lpstr>
      <vt:lpstr>Mann Test</vt:lpstr>
      <vt:lpstr>KS Test</vt:lpstr>
      <vt:lpstr>Power-Law Process</vt:lpstr>
    </vt:vector>
  </TitlesOfParts>
  <Company>University of Dayton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Ebeling</dc:creator>
  <cp:lastModifiedBy>Jason Freels</cp:lastModifiedBy>
  <dcterms:created xsi:type="dcterms:W3CDTF">2008-12-06T17:52:57Z</dcterms:created>
  <dcterms:modified xsi:type="dcterms:W3CDTF">2017-09-18T01:14:35Z</dcterms:modified>
</cp:coreProperties>
</file>