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0A\"/>
    </mc:Choice>
  </mc:AlternateContent>
  <xr:revisionPtr revIDLastSave="566" documentId="8_{A3517650-07BD-419A-8823-9B249A139AA9}" xr6:coauthVersionLast="45" xr6:coauthVersionMax="45" xr10:uidLastSave="{D2A4A9A0-7BFF-4299-9BBC-9C646A55B11C}"/>
  <bookViews>
    <workbookView xWindow="-120" yWindow="-120" windowWidth="15600" windowHeight="11760" firstSheet="1" activeTab="2" xr2:uid="{00000000-000D-0000-FFFF-FFFF00000000}"/>
  </bookViews>
  <sheets>
    <sheet name="Data file" sheetId="3" r:id="rId1"/>
    <sheet name="Summary Statistics" sheetId="1" r:id="rId2"/>
    <sheet name="P&amp;L Statement Dashboard" sheetId="4" r:id="rId3"/>
    <sheet name="Forecast scenarios" sheetId="2" r:id="rId4"/>
  </sheets>
  <definedNames>
    <definedName name="_xlchart.v1.0" hidden="1">'Summary Statistics'!$P$1:$T$1</definedName>
    <definedName name="_xlchart.v1.1" hidden="1">'Summary Statistics'!$P$2:$T$2</definedName>
    <definedName name="_xlchart.v1.2" hidden="1">'Summary Statistics'!$P$3:$T$3</definedName>
    <definedName name="_xlchart.v1.3" hidden="1">'Summary Statistics'!$P$4:$T$4</definedName>
    <definedName name="_xlchart.v1.4" hidden="1">'Summary Statistics'!$P$5:$T$5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3" i="1" l="1"/>
  <c r="F33" i="1"/>
  <c r="E33" i="1"/>
  <c r="D33" i="1"/>
  <c r="C33" i="1"/>
  <c r="D32" i="1"/>
  <c r="E32" i="1"/>
  <c r="F32" i="1"/>
  <c r="G32" i="1"/>
  <c r="C32" i="1"/>
  <c r="G7" i="4" a="1"/>
  <c r="G7" i="4"/>
  <c r="H7" i="4" a="1"/>
  <c r="H7" i="4"/>
  <c r="I7" i="4" a="1"/>
  <c r="I7" i="4"/>
  <c r="G8" i="4" a="1"/>
  <c r="G8" i="4"/>
  <c r="H8" i="4" a="1"/>
  <c r="H8" i="4"/>
  <c r="I8" i="4" a="1"/>
  <c r="I8" i="4"/>
  <c r="G9" i="4" a="1"/>
  <c r="G9" i="4"/>
  <c r="H9" i="4" a="1"/>
  <c r="H9" i="4"/>
  <c r="I9" i="4" a="1"/>
  <c r="I9" i="4"/>
  <c r="F9" i="4" a="1"/>
  <c r="F9" i="4"/>
  <c r="F8" i="4" a="1"/>
  <c r="F8" i="4"/>
  <c r="F7" i="4" a="1"/>
  <c r="F7" i="4"/>
  <c r="F5" i="4" a="1"/>
  <c r="F5" i="4"/>
  <c r="G5" i="4" a="1"/>
  <c r="G5" i="4"/>
  <c r="H5" i="4" a="1"/>
  <c r="H5" i="4"/>
  <c r="I5" i="4" a="1"/>
  <c r="I5" i="4"/>
  <c r="F4" i="4" a="1"/>
  <c r="F4" i="4"/>
  <c r="G4" i="4" a="1"/>
  <c r="G4" i="4"/>
  <c r="H4" i="4" a="1"/>
  <c r="H4" i="4"/>
  <c r="I4" i="4" a="1"/>
  <c r="I4" i="4"/>
  <c r="I10" i="4"/>
  <c r="H10" i="4"/>
  <c r="G10" i="4"/>
  <c r="F10" i="4"/>
  <c r="H6" i="4"/>
  <c r="H11" i="4" s="1"/>
  <c r="G6" i="4"/>
  <c r="G11" i="4" s="1"/>
  <c r="F6" i="4"/>
  <c r="F11" i="4" s="1"/>
  <c r="I6" i="4" l="1"/>
  <c r="I11" i="4" s="1"/>
  <c r="F26" i="2" a="1"/>
  <c r="F26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F39" i="2" s="1" a="1"/>
  <c r="F39" i="2" s="1"/>
  <c r="N18" i="2"/>
  <c r="F40" i="2" s="1" a="1"/>
  <c r="F40" i="2" s="1"/>
  <c r="M19" i="2"/>
  <c r="G39" i="2" s="1" a="1"/>
  <c r="G39" i="2" s="1"/>
  <c r="N19" i="2"/>
  <c r="G40" i="2" s="1" a="1"/>
  <c r="G40" i="2" s="1"/>
  <c r="M20" i="2"/>
  <c r="H39" i="2" s="1" a="1"/>
  <c r="H39" i="2" s="1"/>
  <c r="N20" i="2"/>
  <c r="H40" i="2" s="1" a="1"/>
  <c r="H40" i="2" s="1"/>
  <c r="M21" i="2"/>
  <c r="I39" i="2" s="1" a="1"/>
  <c r="I39" i="2" s="1"/>
  <c r="N21" i="2"/>
  <c r="I40" i="2" s="1" a="1"/>
  <c r="I40" i="2" s="1"/>
  <c r="N2" i="2"/>
  <c r="M2" i="2"/>
  <c r="G27" i="2" a="1"/>
  <c r="G27" i="2"/>
  <c r="H27" i="2" a="1"/>
  <c r="H27" i="2"/>
  <c r="I27" i="2" a="1"/>
  <c r="I27" i="2"/>
  <c r="G29" i="2" a="1"/>
  <c r="G29" i="2"/>
  <c r="H29" i="2" a="1"/>
  <c r="H29" i="2"/>
  <c r="I29" i="2" a="1"/>
  <c r="I29" i="2"/>
  <c r="G30" i="2" a="1"/>
  <c r="G30" i="2"/>
  <c r="H30" i="2" a="1"/>
  <c r="H30" i="2"/>
  <c r="I30" i="2" a="1"/>
  <c r="I30" i="2"/>
  <c r="G31" i="2" a="1"/>
  <c r="G31" i="2"/>
  <c r="H31" i="2" a="1"/>
  <c r="H31" i="2"/>
  <c r="I31" i="2" a="1"/>
  <c r="I31" i="2"/>
  <c r="G32" i="2"/>
  <c r="H32" i="2"/>
  <c r="I32" i="2"/>
  <c r="F31" i="2" a="1"/>
  <c r="F31" i="2"/>
  <c r="F30" i="2" a="1"/>
  <c r="F30" i="2"/>
  <c r="F29" i="2" a="1"/>
  <c r="F29" i="2"/>
  <c r="F32" i="2" s="1"/>
  <c r="F27" i="2" a="1"/>
  <c r="F27" i="2"/>
  <c r="F28" i="2"/>
  <c r="F33" i="2" s="1"/>
  <c r="G26" i="2" a="1"/>
  <c r="G26" i="2"/>
  <c r="H26" i="2" a="1"/>
  <c r="H26" i="2"/>
  <c r="I26" i="2" a="1"/>
  <c r="I26" i="2"/>
  <c r="I27" i="1"/>
  <c r="J56" i="2" l="1"/>
  <c r="J52" i="2"/>
  <c r="I28" i="2"/>
  <c r="I33" i="2" s="1"/>
  <c r="I38" i="2"/>
  <c r="H28" i="2"/>
  <c r="H33" i="2" s="1"/>
  <c r="H38" i="2"/>
  <c r="G28" i="2"/>
  <c r="G33" i="2" s="1"/>
  <c r="G38" i="2"/>
  <c r="J48" i="2" s="1"/>
  <c r="J38" i="2" l="1" a="1"/>
  <c r="J38" i="2" s="1"/>
  <c r="J26" i="2" s="1"/>
  <c r="K48" i="2"/>
  <c r="K38" i="2" s="1" a="1"/>
  <c r="K38" i="2" s="1"/>
  <c r="J49" i="2"/>
  <c r="K49" i="2" s="1"/>
  <c r="J47" i="2"/>
  <c r="K47" i="2" s="1"/>
  <c r="J39" i="2" a="1"/>
  <c r="J39" i="2" s="1"/>
  <c r="K52" i="2"/>
  <c r="K39" i="2" s="1" a="1"/>
  <c r="K39" i="2" s="1"/>
  <c r="J53" i="2"/>
  <c r="K53" i="2" s="1"/>
  <c r="J51" i="2"/>
  <c r="K51" i="2" s="1"/>
  <c r="J40" i="2" a="1"/>
  <c r="J40" i="2" s="1"/>
  <c r="K56" i="2"/>
  <c r="K40" i="2" s="1" a="1"/>
  <c r="K40" i="2" s="1"/>
  <c r="J57" i="2"/>
  <c r="K57" i="2" s="1"/>
  <c r="J55" i="2"/>
  <c r="K55" i="2" s="1"/>
  <c r="J33" i="2"/>
  <c r="J29" i="2"/>
  <c r="K26" i="2"/>
  <c r="K33" i="2"/>
  <c r="K2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<sst xmlns="http://schemas.openxmlformats.org/spreadsheetml/2006/main" count="9228" uniqueCount="621">
  <si>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</si>
  <si>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</si>
  <si>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</si>
  <si>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</si>
  <si>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</si>
  <si>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</si>
  <si>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</si>
  <si>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</si>
  <si>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</si>
  <si>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</si>
  <si>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</si>
  <si>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</si>
  <si>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</si>
  <si>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</si>
  <si>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</si>
  <si>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</si>
  <si>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</si>
  <si>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</si>
  <si>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</si>
  <si>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</si>
  <si>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</si>
  <si>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</si>
  <si>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</si>
  <si>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</si>
  <si>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</si>
  <si>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</si>
  <si>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</si>
  <si>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</si>
  <si>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</si>
  <si>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</si>
  <si>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</si>
  <si>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</si>
  <si>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</si>
  <si>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</si>
  <si>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</si>
  <si>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</si>
  <si>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</si>
  <si>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</si>
  <si>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</si>
  <si>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</si>
  <si>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</si>
  <si>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</si>
  <si>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</si>
  <si>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</si>
  <si>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</si>
  <si>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</si>
  <si>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</si>
  <si>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</si>
  <si>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</si>
  <si>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</si>
  <si>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</si>
  <si>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</si>
  <si>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</si>
  <si>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</si>
  <si>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</si>
  <si>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</si>
  <si>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</si>
  <si>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</si>
  <si>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</si>
  <si>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</si>
  <si>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</si>
  <si>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</si>
  <si>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</si>
  <si>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</si>
  <si>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</si>
  <si>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</si>
  <si>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</si>
  <si>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</si>
  <si>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</si>
  <si>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</si>
  <si>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</si>
  <si>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</si>
  <si>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</si>
  <si>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</si>
  <si>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</si>
  <si>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</si>
  <si>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</si>
  <si>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</si>
  <si>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</si>
  <si>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</si>
  <si>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</si>
  <si>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</si>
  <si>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</si>
  <si>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</si>
  <si>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</si>
  <si>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</si>
  <si>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</si>
  <si>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</si>
  <si>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</si>
  <si>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</si>
  <si>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</si>
  <si>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</si>
  <si>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</si>
  <si>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</si>
  <si>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</si>
  <si>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</si>
  <si>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</si>
  <si>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</si>
  <si>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</si>
  <si>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</si>
  <si>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</si>
  <si>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</si>
  <si>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</si>
  <si>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</si>
  <si>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</si>
  <si>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</si>
  <si>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</si>
  <si>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</si>
  <si>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</si>
  <si>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</si>
  <si>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</si>
  <si>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</si>
  <si>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</si>
  <si>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</si>
  <si>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</si>
  <si>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</si>
  <si>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</si>
  <si>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</si>
  <si>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</si>
  <si>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</si>
  <si>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</si>
  <si>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</si>
  <si>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</si>
  <si>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</si>
  <si>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</si>
  <si>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</si>
  <si>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</si>
  <si>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</si>
  <si>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</si>
  <si>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</si>
  <si>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</si>
  <si>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</si>
  <si>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</si>
  <si>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</si>
  <si>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</si>
  <si>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</si>
  <si>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</si>
  <si>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</si>
  <si>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</si>
  <si>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</si>
  <si>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</si>
  <si>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</si>
  <si>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</si>
  <si>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</si>
  <si>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</si>
  <si>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</si>
  <si>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</si>
  <si>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</si>
  <si>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</si>
  <si>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</si>
  <si>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</si>
  <si>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</si>
  <si>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</si>
  <si>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</si>
  <si>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</si>
  <si>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</si>
  <si>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</si>
  <si>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</si>
  <si>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</si>
  <si>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</si>
  <si>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</si>
  <si>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</si>
  <si>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</si>
  <si>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</si>
  <si>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</si>
  <si>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</si>
  <si>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</si>
  <si>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</si>
  <si>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</si>
  <si>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</si>
  <si>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</si>
  <si>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</si>
  <si>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</si>
  <si>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</si>
  <si>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</si>
  <si>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</si>
  <si>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</si>
  <si>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</si>
  <si>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</si>
  <si>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</si>
  <si>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</si>
  <si>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</si>
  <si>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</si>
  <si>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</si>
  <si>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</si>
  <si>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</si>
  <si>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</si>
  <si>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</si>
  <si>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</si>
  <si>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</si>
  <si>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</si>
  <si>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</si>
  <si>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</si>
  <si>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</si>
  <si>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</si>
  <si>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</si>
  <si>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</si>
  <si>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</si>
  <si>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</si>
  <si>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</si>
  <si>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</si>
  <si>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</si>
  <si>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</si>
  <si>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</si>
  <si>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</si>
  <si>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</si>
  <si>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</si>
  <si>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</si>
  <si>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</si>
  <si>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</si>
  <si>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</si>
  <si>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</si>
  <si>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</si>
  <si>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</si>
  <si>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</si>
  <si>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</si>
  <si>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</si>
  <si>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</si>
  <si>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</si>
  <si>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</si>
  <si>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</si>
  <si>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</si>
  <si>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</si>
  <si>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</si>
  <si>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</si>
  <si>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</si>
  <si>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</si>
  <si>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</si>
  <si>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</si>
  <si>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</si>
  <si>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</si>
  <si>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</si>
  <si>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</si>
  <si>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</si>
  <si>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</si>
  <si>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</si>
  <si>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</si>
  <si>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</si>
  <si>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</si>
  <si>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</si>
  <si>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</si>
  <si>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</si>
  <si>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</si>
  <si>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</si>
  <si>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</si>
  <si>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</si>
  <si>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</si>
  <si>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</si>
  <si>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</si>
  <si>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</si>
  <si>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</si>
  <si>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</si>
  <si>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</si>
  <si>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</si>
  <si>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</si>
  <si>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</si>
  <si>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</si>
  <si>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</si>
  <si>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</si>
  <si>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</si>
  <si>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</si>
  <si>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</si>
  <si>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</si>
  <si>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</si>
  <si>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</si>
  <si>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</si>
  <si>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</si>
  <si>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</si>
  <si>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</si>
  <si>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</si>
  <si>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</si>
  <si>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</si>
  <si>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</si>
  <si>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</si>
  <si>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</si>
  <si>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</si>
  <si>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</si>
  <si>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</si>
  <si>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</si>
  <si>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</si>
  <si>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</si>
  <si>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</si>
  <si>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</si>
  <si>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</si>
  <si>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</si>
  <si>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</si>
  <si>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</si>
  <si>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</si>
  <si>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</si>
  <si>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</si>
  <si>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</si>
  <si>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</si>
  <si>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</si>
  <si>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</si>
  <si>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</si>
  <si>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</si>
  <si>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</si>
  <si>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</si>
  <si>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</si>
  <si>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</si>
  <si>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</si>
  <si>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</si>
  <si>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</si>
  <si>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</si>
  <si>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</si>
  <si>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</si>
  <si>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</si>
  <si>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</si>
  <si>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</si>
  <si>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</si>
  <si>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</si>
  <si>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</si>
  <si>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</si>
  <si>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</si>
  <si>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</si>
  <si>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</si>
  <si>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</si>
  <si>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</si>
  <si>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</si>
  <si>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</si>
  <si>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</si>
  <si>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</si>
  <si>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</si>
  <si>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</si>
  <si>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</si>
  <si>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</si>
  <si>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</si>
  <si>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</si>
  <si>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</si>
  <si>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</si>
  <si>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</si>
  <si>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</si>
  <si>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</si>
  <si>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</si>
  <si>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</si>
  <si>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</si>
  <si>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</si>
  <si>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</si>
  <si>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</si>
  <si>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</si>
  <si>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</si>
  <si>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</si>
  <si>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</si>
  <si>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</si>
  <si>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</si>
  <si>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</si>
  <si>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</si>
  <si>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</si>
  <si>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</si>
  <si>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</si>
  <si>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</si>
  <si>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</si>
  <si>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</si>
  <si>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</si>
  <si>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</si>
  <si>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</si>
  <si>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</si>
  <si>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</si>
  <si>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</si>
  <si>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</si>
  <si>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</si>
  <si>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</si>
  <si>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</si>
  <si>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</si>
  <si>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</si>
  <si>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</si>
  <si>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</si>
  <si>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</si>
  <si>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</si>
  <si>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</si>
  <si>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</si>
  <si>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</si>
  <si>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</si>
  <si>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</si>
  <si>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</si>
  <si>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</si>
  <si>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</si>
  <si>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</si>
  <si>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</si>
  <si>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</si>
  <si>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</si>
  <si>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</si>
  <si>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</si>
  <si>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</si>
  <si>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</si>
  <si>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</si>
  <si>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</si>
  <si>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</si>
  <si>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</si>
  <si>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</si>
  <si>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</si>
  <si>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</si>
  <si>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</si>
  <si>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</si>
  <si>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</si>
  <si>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</si>
  <si>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</si>
  <si>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</si>
  <si>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</si>
  <si>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</si>
  <si>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</si>
  <si>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</si>
  <si>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</si>
  <si>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</si>
  <si>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</si>
  <si>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</si>
  <si>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</si>
  <si>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</si>
  <si>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</si>
  <si>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</si>
  <si>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</si>
  <si>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</si>
  <si>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</si>
  <si>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</si>
  <si>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</si>
  <si>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</si>
  <si>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</si>
  <si>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</si>
  <si>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</si>
  <si>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</si>
  <si>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</si>
  <si>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</si>
  <si>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</si>
  <si>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</si>
  <si>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</si>
  <si>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</si>
  <si>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</si>
  <si>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</si>
  <si>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</si>
  <si>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</si>
  <si>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</si>
  <si>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</si>
  <si>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</si>
  <si>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</si>
  <si>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</si>
  <si>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</si>
  <si>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</si>
  <si>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</si>
  <si>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</si>
  <si>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</si>
  <si>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</si>
  <si>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</si>
  <si>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</si>
  <si>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</si>
  <si>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</si>
  <si>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</si>
  <si>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</si>
  <si>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</si>
  <si>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</si>
  <si>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</si>
  <si>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</si>
  <si>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</si>
  <si>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</si>
  <si>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</si>
  <si>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</si>
  <si>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</si>
  <si>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</si>
  <si>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</si>
  <si>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</si>
  <si>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</si>
  <si>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</si>
  <si>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</si>
  <si>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</si>
  <si>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</si>
  <si>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</si>
  <si>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</si>
  <si>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</si>
  <si>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</si>
  <si>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</si>
  <si>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</si>
  <si>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</si>
  <si>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</si>
  <si>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</si>
  <si>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</si>
  <si>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</si>
  <si>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</si>
  <si>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</si>
  <si>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</si>
  <si>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</si>
  <si>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</si>
  <si>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</si>
  <si>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</si>
  <si>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</si>
  <si>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</si>
  <si>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</si>
  <si>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</si>
  <si>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</si>
  <si>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</si>
  <si>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</si>
  <si>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</si>
  <si>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</si>
  <si>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</si>
  <si>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</si>
  <si>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</si>
  <si>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</si>
  <si>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</si>
  <si>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</si>
  <si>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</si>
  <si>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</si>
  <si>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</si>
  <si>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</si>
  <si>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</si>
  <si>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</si>
  <si>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</si>
  <si>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</si>
  <si>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</si>
  <si>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</si>
  <si>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</si>
  <si>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</si>
  <si>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</si>
  <si>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</si>
  <si>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</si>
  <si>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</si>
  <si>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</si>
  <si>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</si>
  <si>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</si>
  <si>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</si>
  <si>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</si>
  <si>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</si>
  <si>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</si>
  <si>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</si>
  <si>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</si>
  <si>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</si>
  <si>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</si>
  <si>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</si>
  <si>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</si>
  <si>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</si>
  <si>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</si>
  <si>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</si>
  <si>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</si>
  <si>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</si>
  <si>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</si>
  <si>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</si>
  <si>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</si>
  <si>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</si>
  <si>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</si>
  <si>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</si>
  <si>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</si>
  <si>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</si>
  <si>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</si>
  <si>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</si>
  <si>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</si>
  <si>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</si>
  <si>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</si>
  <si>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</si>
  <si>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</si>
  <si>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</si>
  <si>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</si>
  <si>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</si>
  <si>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</si>
  <si>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</si>
  <si>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</si>
  <si>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</si>
  <si>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</si>
  <si>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</si>
  <si>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</si>
  <si>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</si>
  <si>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</si>
  <si>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</si>
  <si>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</si>
  <si>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</si>
  <si>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</si>
  <si>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</si>
  <si>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</si>
  <si>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</si>
  <si>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</si>
  <si>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</si>
  <si>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</si>
  <si>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</si>
  <si>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</si>
  <si>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</si>
  <si>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</si>
  <si>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</si>
  <si>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</si>
  <si>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</si>
  <si>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</si>
  <si>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</si>
  <si>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</si>
  <si>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 xml:space="preserve"> Total_Revenue </t>
  </si>
  <si>
    <t>SGA</t>
  </si>
  <si>
    <t>RandD</t>
  </si>
  <si>
    <t xml:space="preserve"> Other_Operating Items </t>
  </si>
  <si>
    <t>GICS_Sector</t>
  </si>
  <si>
    <t>GICS_Sub_Industry</t>
  </si>
  <si>
    <t>Gross Profit</t>
  </si>
  <si>
    <t>Operating Profit</t>
  </si>
  <si>
    <t>5 Integrated Oil &amp; Gas Companies Annual Operating Profit (2012~2015) Box Plot</t>
  </si>
  <si>
    <t>min</t>
  </si>
  <si>
    <t>1/4 quartile</t>
  </si>
  <si>
    <t>median</t>
  </si>
  <si>
    <t>3/4 quartile</t>
  </si>
  <si>
    <t>max</t>
  </si>
  <si>
    <t>Range</t>
  </si>
  <si>
    <t>Std</t>
  </si>
  <si>
    <t>Profit and Loss Statement Dashboard</t>
  </si>
  <si>
    <t>Cheaspeake Energy</t>
  </si>
  <si>
    <t xml:space="preserve">Total_Revenue </t>
  </si>
  <si>
    <t>Chevron</t>
  </si>
  <si>
    <t xml:space="preserve">    COG </t>
  </si>
  <si>
    <t>Hess</t>
  </si>
  <si>
    <t>Murphy Oil</t>
  </si>
  <si>
    <t xml:space="preserve">    SGA</t>
  </si>
  <si>
    <t>ExxonMobil</t>
  </si>
  <si>
    <t xml:space="preserve">    RandD</t>
  </si>
  <si>
    <t xml:space="preserve">    Other_Operating Items </t>
  </si>
  <si>
    <t xml:space="preserve">    Total Operating Expenses</t>
  </si>
  <si>
    <t>Operating Profit/EBIT</t>
  </si>
  <si>
    <t>Gross Margin</t>
  </si>
  <si>
    <t>Operating Margin</t>
  </si>
  <si>
    <t>Historical Data</t>
  </si>
  <si>
    <t>Forecast</t>
  </si>
  <si>
    <t>Year 5</t>
  </si>
  <si>
    <t>Year 6</t>
  </si>
  <si>
    <t>Operating Statistics &amp; Assumptions</t>
  </si>
  <si>
    <t>Total_Revenue Growth</t>
  </si>
  <si>
    <t>Scenario</t>
  </si>
  <si>
    <t>Base case</t>
  </si>
  <si>
    <t>Operating Scenarios - sensitivity analysis</t>
  </si>
  <si>
    <t>Revenue growth (%)</t>
  </si>
  <si>
    <t>Strong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</si>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</sst>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_([$$-409]* #,##0_);_([$$-409]* \(#,##0\);_([$$-409]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548235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4B08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6" fontId="0" fillId="0" borderId="0" xfId="0" applyNumberFormat="1" applyBorder="1" applyAlignment="1">
      <alignment horizontal="center" vertical="center"/>
    </xf>
    <xf numFmtId="0" fontId="0" fillId="33" borderId="0" xfId="0" applyFill="1"/>
    <xf numFmtId="0" fontId="16" fillId="0" borderId="0" xfId="0" applyFont="1"/>
    <xf numFmtId="0" fontId="0" fillId="0" borderId="0" xfId="0" applyAlignment="1">
      <alignment horizontal="left"/>
    </xf>
    <xf numFmtId="0" fontId="19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14" fontId="0" fillId="0" borderId="0" xfId="0" applyNumberFormat="1" applyBorder="1"/>
    <xf numFmtId="6" fontId="0" fillId="0" borderId="0" xfId="0" applyNumberFormat="1" applyBorder="1"/>
    <xf numFmtId="0" fontId="0" fillId="0" borderId="15" xfId="0" applyBorder="1"/>
    <xf numFmtId="0" fontId="0" fillId="0" borderId="10" xfId="0" applyBorder="1"/>
    <xf numFmtId="14" fontId="0" fillId="0" borderId="10" xfId="0" applyNumberFormat="1" applyBorder="1"/>
    <xf numFmtId="6" fontId="0" fillId="0" borderId="10" xfId="0" applyNumberFormat="1" applyBorder="1"/>
    <xf numFmtId="6" fontId="0" fillId="0" borderId="17" xfId="0" applyNumberFormat="1" applyBorder="1"/>
    <xf numFmtId="6" fontId="0" fillId="0" borderId="18" xfId="0" applyNumberFormat="1" applyBorder="1"/>
    <xf numFmtId="0" fontId="0" fillId="0" borderId="17" xfId="0" applyBorder="1"/>
    <xf numFmtId="0" fontId="0" fillId="0" borderId="18" xfId="0" applyBorder="1"/>
    <xf numFmtId="0" fontId="0" fillId="33" borderId="16" xfId="0" applyFill="1" applyBorder="1"/>
    <xf numFmtId="0" fontId="0" fillId="0" borderId="19" xfId="0" applyBorder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2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5" borderId="0" xfId="0" applyNumberFormat="1" applyFill="1" applyAlignment="1">
      <alignment horizontal="center"/>
    </xf>
    <xf numFmtId="0" fontId="16" fillId="36" borderId="20" xfId="0" applyFont="1" applyFill="1" applyBorder="1"/>
    <xf numFmtId="0" fontId="0" fillId="36" borderId="20" xfId="0" applyFill="1" applyBorder="1"/>
    <xf numFmtId="164" fontId="0" fillId="36" borderId="20" xfId="0" applyNumberFormat="1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16" fillId="0" borderId="20" xfId="0" applyFont="1" applyBorder="1"/>
    <xf numFmtId="0" fontId="20" fillId="34" borderId="0" xfId="0" applyFont="1" applyFill="1" applyAlignment="1"/>
    <xf numFmtId="0" fontId="0" fillId="0" borderId="10" xfId="0" applyBorder="1" applyAlignment="1">
      <alignment horizontal="center" vertical="center"/>
    </xf>
    <xf numFmtId="6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6" fontId="0" fillId="0" borderId="0" xfId="0" applyNumberFormat="1" applyBorder="1" applyAlignment="1">
      <alignment horizontal="center"/>
    </xf>
    <xf numFmtId="6" fontId="0" fillId="0" borderId="20" xfId="0" applyNumberForma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0" fillId="34" borderId="0" xfId="0" applyFont="1" applyFill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16" fillId="0" borderId="0" xfId="0" applyFont="1" applyBorder="1"/>
    <xf numFmtId="165" fontId="0" fillId="0" borderId="0" xfId="0" applyNumberFormat="1" applyBorder="1" applyAlignment="1">
      <alignment horizontal="center"/>
    </xf>
    <xf numFmtId="0" fontId="16" fillId="0" borderId="10" xfId="0" applyFont="1" applyBorder="1"/>
    <xf numFmtId="165" fontId="0" fillId="0" borderId="10" xfId="0" applyNumberFormat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  <cx:data id="1">
      <cx:numDim type="val">
        <cx:f dir="row">_xlchart.v1.1</cx:f>
      </cx:numDim>
    </cx:data>
    <cx:data id="2">
      <cx:numDim type="val">
        <cx:f dir="row">_xlchart.v1.2</cx:f>
      </cx:numDim>
    </cx:data>
    <cx:data id="3">
      <cx:numDim type="val">
        <cx:f dir="row">_xlchart.v1.3</cx:f>
      </cx:numDim>
    </cx:data>
    <cx:data id="4">
      <cx:numDim type="val">
        <cx:f dir="row">_xlchart.v1.4</cx:f>
      </cx:numDim>
    </cx:data>
  </cx:chartData>
  <cx:chart>
    <cx:title pos="t" align="ctr" overlay="0">
      <cx:tx>
        <cx:txData>
          <cx:v>5 Integrated Oil &amp; Gas Companies Annual Operating Profit (2012~2015) Box Plot</cx:v>
        </cx:txData>
      </cx:tx>
    </cx:title>
    <cx:plotArea>
      <cx:plotAreaRegion>
        <cx:series layoutId="boxWhisker" uniqueId="{6F9CF636-A859-4209-BE35-B937AEE5A0F4}">
          <cx:tx>
            <cx:txData>
              <cx:v>CHK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5383D6B-6207-408F-A613-8D5E5EE2FCCA}">
          <cx:tx>
            <cx:txData>
              <cx:v>CVX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57BBF52-E9FD-477B-9B63-0004C15BA6AA}">
          <cx:tx>
            <cx:txData>
              <cx:v>HES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C5F20B9-812D-4A1F-874D-8CA85A101B59}">
          <cx:tx>
            <cx:txData>
              <cx:v>MUR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B403C1E-DE90-4F70-BF0E-751A62883289}">
          <cx:tx>
            <cx:txData>
              <cx:v>XOM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800000012"/>
        <cx:title>
          <cx:tx>
            <cx:txData>
              <cx:v>Company Stock Symbol</cx:v>
            </cx:txData>
          </cx:tx>
        </cx:title>
        <cx:tickLabels/>
      </cx:axis>
      <cx:axis id="1">
        <cx:valScaling/>
        <cx:title>
          <cx:tx>
            <cx:txData>
              <cx:v>Operating Income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0" i="0">
                  <a:solidFill>
                    <a:srgbClr val="595959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sz="1200"/>
                <a:t>Operating Income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sz="900"/>
          </a:p>
        </cx:txPr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22</xdr:row>
      <xdr:rowOff>152400</xdr:rowOff>
    </xdr:from>
    <xdr:to>
      <xdr:col>13</xdr:col>
      <xdr:colOff>628650</xdr:colOff>
      <xdr:row>43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Chart 9">
              <a:extLst>
                <a:ext uri="{FF2B5EF4-FFF2-40B4-BE49-F238E27FC236}">
                  <a16:creationId xmlns:a16="http://schemas.microsoft.com/office/drawing/2014/main" id="{4105E91E-866D-4065-A14D-6F6871B524B2}"/>
                </a:ext>
                <a:ext uri="{147F2762-F138-4A5C-976F-8EAC2B608ADB}">
                  <a16:predDERef xmlns:a16="http://schemas.microsoft.com/office/drawing/2014/main" pred="{1E103C80-569E-4287-BC42-DB4F7A39A8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此图表在你的 Excel 版本中不可用。
编辑此形状或将此工作簿保存到其他文件格式将永久性损坏图表。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DDE8-4195-4DB1-AD01-707E2F694909}">
  <dimension ref="A1:K1711"/>
  <sheetViews>
    <sheetView workbookViewId="0">
      <selection sqref="A1:K1711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opLeftCell="A18" workbookViewId="0">
      <selection activeCell="G33" sqref="B27:G33"/>
    </sheetView>
  </sheetViews>
  <sheetFormatPr defaultRowHeight="15"/>
  <cols>
    <col min="2" max="2" width="15.85546875" customWidth="1"/>
    <col min="3" max="3" width="15" customWidth="1"/>
    <col min="4" max="4" width="20.140625" customWidth="1"/>
    <col min="5" max="5" width="18.7109375" customWidth="1"/>
    <col min="6" max="6" width="18.85546875" customWidth="1"/>
    <col min="7" max="7" width="20.85546875" customWidth="1"/>
    <col min="9" max="9" width="18.28515625" customWidth="1"/>
    <col min="11" max="11" width="15.28515625" customWidth="1"/>
    <col min="12" max="12" width="21.5703125" customWidth="1"/>
    <col min="13" max="13" width="19" customWidth="1"/>
    <col min="14" max="14" width="16.28515625" customWidth="1"/>
    <col min="15" max="15" width="17.7109375" customWidth="1"/>
    <col min="20" max="20" width="19.140625" customWidth="1"/>
    <col min="21" max="21" width="17" customWidth="1"/>
    <col min="22" max="22" width="15.42578125" customWidth="1"/>
    <col min="23" max="23" width="18.28515625" customWidth="1"/>
    <col min="24" max="24" width="21" customWidth="1"/>
  </cols>
  <sheetData>
    <row r="1" spans="1:24">
      <c r="A1" s="12"/>
      <c r="B1" s="26" t="s">
        <v>576</v>
      </c>
      <c r="C1" s="13" t="s">
        <v>1</v>
      </c>
      <c r="D1" s="13" t="s">
        <v>577</v>
      </c>
      <c r="E1" s="13" t="s">
        <v>578</v>
      </c>
      <c r="F1" s="13" t="s">
        <v>162</v>
      </c>
      <c r="G1" s="13" t="s">
        <v>579</v>
      </c>
      <c r="H1" s="13" t="s">
        <v>580</v>
      </c>
      <c r="I1" s="13" t="s">
        <v>581</v>
      </c>
      <c r="J1" s="13" t="s">
        <v>582</v>
      </c>
      <c r="K1" s="26" t="s">
        <v>583</v>
      </c>
      <c r="L1" s="13" t="s">
        <v>584</v>
      </c>
      <c r="M1" s="26" t="s">
        <v>585</v>
      </c>
      <c r="O1" t="s">
        <v>143</v>
      </c>
      <c r="P1" s="2">
        <v>-94000000</v>
      </c>
      <c r="Q1" s="2">
        <v>1252250000</v>
      </c>
      <c r="R1" s="2">
        <v>2131000000</v>
      </c>
      <c r="S1" s="2">
        <v>2822500000</v>
      </c>
      <c r="T1" s="2">
        <v>3607000000</v>
      </c>
    </row>
    <row r="2" spans="1:24">
      <c r="A2" s="14">
        <v>302</v>
      </c>
      <c r="B2" s="24" t="s">
        <v>143</v>
      </c>
      <c r="C2" s="15" t="s">
        <v>11</v>
      </c>
      <c r="D2" s="16">
        <v>41274</v>
      </c>
      <c r="E2" s="17">
        <v>12316000000</v>
      </c>
      <c r="F2" s="17">
        <v>7081000000</v>
      </c>
      <c r="G2" s="17">
        <v>723000000</v>
      </c>
      <c r="H2" s="15">
        <v>0</v>
      </c>
      <c r="I2" s="17">
        <v>2811000000</v>
      </c>
      <c r="J2" s="15" t="s">
        <v>83</v>
      </c>
      <c r="K2" s="24" t="s">
        <v>144</v>
      </c>
      <c r="L2" s="17">
        <v>5235000000</v>
      </c>
      <c r="M2" s="22">
        <v>1701000000</v>
      </c>
      <c r="N2" s="2"/>
      <c r="O2" t="s">
        <v>188</v>
      </c>
      <c r="P2" s="2">
        <v>-370000000</v>
      </c>
      <c r="Q2" s="2">
        <v>16190750000</v>
      </c>
      <c r="R2" s="2">
        <v>25392500000</v>
      </c>
      <c r="S2" s="2">
        <v>30990750000</v>
      </c>
      <c r="T2" s="2">
        <v>36741000000</v>
      </c>
      <c r="U2" s="2"/>
      <c r="V2" s="2"/>
      <c r="W2" s="2"/>
      <c r="X2" s="2"/>
    </row>
    <row r="3" spans="1:24">
      <c r="A3" s="14">
        <v>303</v>
      </c>
      <c r="B3" s="24" t="s">
        <v>143</v>
      </c>
      <c r="C3" s="15" t="s">
        <v>15</v>
      </c>
      <c r="D3" s="16">
        <v>41639</v>
      </c>
      <c r="E3" s="17">
        <v>19080000000</v>
      </c>
      <c r="F3" s="17">
        <v>12930000000</v>
      </c>
      <c r="G3" s="17">
        <v>686000000</v>
      </c>
      <c r="H3" s="15">
        <v>0</v>
      </c>
      <c r="I3" s="17">
        <v>2903000000</v>
      </c>
      <c r="J3" s="15" t="s">
        <v>83</v>
      </c>
      <c r="K3" s="24" t="s">
        <v>144</v>
      </c>
      <c r="L3" s="17">
        <v>6150000000</v>
      </c>
      <c r="M3" s="22">
        <v>2561000000</v>
      </c>
      <c r="N3" s="2"/>
      <c r="O3" t="s">
        <v>295</v>
      </c>
      <c r="P3" s="2">
        <v>-1345000000</v>
      </c>
      <c r="Q3" s="2">
        <v>1836500000</v>
      </c>
      <c r="R3" s="2">
        <v>3550500000</v>
      </c>
      <c r="S3" s="2">
        <v>4332500000</v>
      </c>
      <c r="T3" s="2">
        <v>4718000000</v>
      </c>
      <c r="U3" s="2"/>
      <c r="V3" s="2"/>
      <c r="W3" s="2"/>
      <c r="X3" s="2"/>
    </row>
    <row r="4" spans="1:24">
      <c r="A4" s="14">
        <v>304</v>
      </c>
      <c r="B4" s="24" t="s">
        <v>143</v>
      </c>
      <c r="C4" s="15" t="s">
        <v>16</v>
      </c>
      <c r="D4" s="16">
        <v>42004</v>
      </c>
      <c r="E4" s="17">
        <v>23125000000</v>
      </c>
      <c r="F4" s="17">
        <v>16049000000</v>
      </c>
      <c r="G4" s="17">
        <v>554000000</v>
      </c>
      <c r="H4" s="15">
        <v>0</v>
      </c>
      <c r="I4" s="17">
        <v>2915000000</v>
      </c>
      <c r="J4" s="15" t="s">
        <v>83</v>
      </c>
      <c r="K4" s="24" t="s">
        <v>144</v>
      </c>
      <c r="L4" s="17">
        <v>7076000000</v>
      </c>
      <c r="M4" s="22">
        <v>3607000000</v>
      </c>
      <c r="N4" s="2"/>
      <c r="O4" t="s">
        <v>404</v>
      </c>
      <c r="P4" s="2">
        <v>-86136000</v>
      </c>
      <c r="Q4" s="2">
        <v>1306566750</v>
      </c>
      <c r="R4" s="2">
        <v>1861814000</v>
      </c>
      <c r="S4" s="2">
        <v>1962366750</v>
      </c>
      <c r="T4" s="2">
        <v>1990986000</v>
      </c>
      <c r="U4" s="2"/>
      <c r="V4" s="2"/>
      <c r="W4" s="2"/>
      <c r="X4" s="2"/>
    </row>
    <row r="5" spans="1:24">
      <c r="A5" s="14">
        <v>305</v>
      </c>
      <c r="B5" s="24" t="s">
        <v>143</v>
      </c>
      <c r="C5" s="15" t="s">
        <v>17</v>
      </c>
      <c r="D5" s="16">
        <v>42369</v>
      </c>
      <c r="E5" s="17">
        <v>12764000000</v>
      </c>
      <c r="F5" s="17">
        <v>10295000000</v>
      </c>
      <c r="G5" s="17">
        <v>334000000</v>
      </c>
      <c r="H5" s="15">
        <v>0</v>
      </c>
      <c r="I5" s="17">
        <v>2229000000</v>
      </c>
      <c r="J5" s="15" t="s">
        <v>83</v>
      </c>
      <c r="K5" s="24" t="s">
        <v>144</v>
      </c>
      <c r="L5" s="17">
        <v>2469000000</v>
      </c>
      <c r="M5" s="22">
        <v>-94000000</v>
      </c>
      <c r="N5" s="2"/>
      <c r="O5" t="s">
        <v>567</v>
      </c>
      <c r="P5" s="2">
        <v>14406000000</v>
      </c>
      <c r="Q5" s="2">
        <v>30414750000</v>
      </c>
      <c r="R5" s="2">
        <v>39014000000</v>
      </c>
      <c r="S5" s="2">
        <v>44638000000</v>
      </c>
      <c r="T5" s="2">
        <v>51721000000</v>
      </c>
      <c r="U5" s="2"/>
      <c r="V5" s="2"/>
      <c r="W5" s="2"/>
      <c r="X5" s="2"/>
    </row>
    <row r="6" spans="1:24">
      <c r="A6" s="14">
        <v>420</v>
      </c>
      <c r="B6" s="24" t="s">
        <v>188</v>
      </c>
      <c r="C6" s="15" t="s">
        <v>11</v>
      </c>
      <c r="D6" s="16">
        <v>41274</v>
      </c>
      <c r="E6" s="17">
        <v>230590000000</v>
      </c>
      <c r="F6" s="17">
        <v>163336000000</v>
      </c>
      <c r="G6" s="17">
        <v>17100000000</v>
      </c>
      <c r="H6" s="15">
        <v>0</v>
      </c>
      <c r="I6" s="17">
        <v>13413000000</v>
      </c>
      <c r="J6" s="15" t="s">
        <v>83</v>
      </c>
      <c r="K6" s="24" t="s">
        <v>144</v>
      </c>
      <c r="L6" s="17">
        <v>67254000000</v>
      </c>
      <c r="M6" s="22">
        <v>36741000000</v>
      </c>
    </row>
    <row r="7" spans="1:24">
      <c r="A7" s="14">
        <v>421</v>
      </c>
      <c r="B7" s="24" t="s">
        <v>188</v>
      </c>
      <c r="C7" s="15" t="s">
        <v>15</v>
      </c>
      <c r="D7" s="16">
        <v>41639</v>
      </c>
      <c r="E7" s="17">
        <v>220156000000</v>
      </c>
      <c r="F7" s="17">
        <v>159323000000</v>
      </c>
      <c r="G7" s="17">
        <v>17573000000</v>
      </c>
      <c r="H7" s="15">
        <v>0</v>
      </c>
      <c r="I7" s="17">
        <v>14186000000</v>
      </c>
      <c r="J7" s="15" t="s">
        <v>83</v>
      </c>
      <c r="K7" s="24" t="s">
        <v>144</v>
      </c>
      <c r="L7" s="17">
        <v>60833000000</v>
      </c>
      <c r="M7" s="22">
        <v>29074000000</v>
      </c>
    </row>
    <row r="8" spans="1:24">
      <c r="A8" s="14">
        <v>422</v>
      </c>
      <c r="B8" s="24" t="s">
        <v>188</v>
      </c>
      <c r="C8" s="15" t="s">
        <v>16</v>
      </c>
      <c r="D8" s="16">
        <v>42004</v>
      </c>
      <c r="E8" s="17">
        <v>200494000000</v>
      </c>
      <c r="F8" s="17">
        <v>144956000000</v>
      </c>
      <c r="G8" s="17">
        <v>17034000000</v>
      </c>
      <c r="H8" s="15">
        <v>0</v>
      </c>
      <c r="I8" s="17">
        <v>16793000000</v>
      </c>
      <c r="J8" s="15" t="s">
        <v>83</v>
      </c>
      <c r="K8" s="24" t="s">
        <v>144</v>
      </c>
      <c r="L8" s="17">
        <v>55538000000</v>
      </c>
      <c r="M8" s="22">
        <v>21711000000</v>
      </c>
    </row>
    <row r="9" spans="1:24">
      <c r="A9" s="14">
        <v>423</v>
      </c>
      <c r="B9" s="24" t="s">
        <v>188</v>
      </c>
      <c r="C9" s="15" t="s">
        <v>17</v>
      </c>
      <c r="D9" s="16">
        <v>42369</v>
      </c>
      <c r="E9" s="17">
        <v>129925000000</v>
      </c>
      <c r="F9" s="17">
        <v>92785000000</v>
      </c>
      <c r="G9" s="17">
        <v>16473000000</v>
      </c>
      <c r="H9" s="15">
        <v>0</v>
      </c>
      <c r="I9" s="17">
        <v>21037000000</v>
      </c>
      <c r="J9" s="15" t="s">
        <v>83</v>
      </c>
      <c r="K9" s="24" t="s">
        <v>144</v>
      </c>
      <c r="L9" s="17">
        <v>37140000000</v>
      </c>
      <c r="M9" s="22">
        <v>-370000000</v>
      </c>
    </row>
    <row r="10" spans="1:24">
      <c r="A10" s="14">
        <v>764</v>
      </c>
      <c r="B10" s="24" t="s">
        <v>295</v>
      </c>
      <c r="C10" s="15" t="s">
        <v>11</v>
      </c>
      <c r="D10" s="16">
        <v>41274</v>
      </c>
      <c r="E10" s="17">
        <v>12245000000</v>
      </c>
      <c r="F10" s="17">
        <v>3535000000</v>
      </c>
      <c r="G10" s="17">
        <v>1126000000</v>
      </c>
      <c r="H10" s="15">
        <v>0</v>
      </c>
      <c r="I10" s="17">
        <v>2866000000</v>
      </c>
      <c r="J10" s="15" t="s">
        <v>83</v>
      </c>
      <c r="K10" s="24" t="s">
        <v>144</v>
      </c>
      <c r="L10" s="17">
        <v>8710000000</v>
      </c>
      <c r="M10" s="22">
        <v>4718000000</v>
      </c>
    </row>
    <row r="11" spans="1:24">
      <c r="A11" s="14">
        <v>765</v>
      </c>
      <c r="B11" s="24" t="s">
        <v>295</v>
      </c>
      <c r="C11" s="15" t="s">
        <v>15</v>
      </c>
      <c r="D11" s="16">
        <v>41639</v>
      </c>
      <c r="E11" s="17">
        <v>11905000000</v>
      </c>
      <c r="F11" s="17">
        <v>3969000000</v>
      </c>
      <c r="G11" s="17">
        <v>1045000000</v>
      </c>
      <c r="H11" s="15">
        <v>0</v>
      </c>
      <c r="I11" s="17">
        <v>2687000000</v>
      </c>
      <c r="J11" s="15" t="s">
        <v>83</v>
      </c>
      <c r="K11" s="24" t="s">
        <v>144</v>
      </c>
      <c r="L11" s="17">
        <v>7936000000</v>
      </c>
      <c r="M11" s="22">
        <v>4204000000</v>
      </c>
    </row>
    <row r="12" spans="1:24">
      <c r="A12" s="14">
        <v>766</v>
      </c>
      <c r="B12" s="24" t="s">
        <v>295</v>
      </c>
      <c r="C12" s="15" t="s">
        <v>16</v>
      </c>
      <c r="D12" s="16">
        <v>42004</v>
      </c>
      <c r="E12" s="17">
        <v>10737000000</v>
      </c>
      <c r="F12" s="17">
        <v>3753000000</v>
      </c>
      <c r="G12" s="17">
        <v>863000000</v>
      </c>
      <c r="H12" s="15">
        <v>0</v>
      </c>
      <c r="I12" s="17">
        <v>3224000000</v>
      </c>
      <c r="J12" s="15" t="s">
        <v>83</v>
      </c>
      <c r="K12" s="24" t="s">
        <v>144</v>
      </c>
      <c r="L12" s="17">
        <v>6984000000</v>
      </c>
      <c r="M12" s="22">
        <v>2897000000</v>
      </c>
    </row>
    <row r="13" spans="1:24">
      <c r="A13" s="14">
        <v>767</v>
      </c>
      <c r="B13" s="24" t="s">
        <v>295</v>
      </c>
      <c r="C13" s="15" t="s">
        <v>17</v>
      </c>
      <c r="D13" s="16">
        <v>42369</v>
      </c>
      <c r="E13" s="17">
        <v>6636000000</v>
      </c>
      <c r="F13" s="17">
        <v>3323000000</v>
      </c>
      <c r="G13" s="17">
        <v>703000000</v>
      </c>
      <c r="H13" s="15">
        <v>0</v>
      </c>
      <c r="I13" s="17">
        <v>3955000000</v>
      </c>
      <c r="J13" s="15" t="s">
        <v>83</v>
      </c>
      <c r="K13" s="24" t="s">
        <v>144</v>
      </c>
      <c r="L13" s="17">
        <v>3313000000</v>
      </c>
      <c r="M13" s="22">
        <v>-1345000000</v>
      </c>
    </row>
    <row r="14" spans="1:24">
      <c r="A14" s="14">
        <v>1123</v>
      </c>
      <c r="B14" s="24" t="s">
        <v>404</v>
      </c>
      <c r="C14" s="15" t="s">
        <v>11</v>
      </c>
      <c r="D14" s="16">
        <v>41274</v>
      </c>
      <c r="E14" s="17">
        <v>4608563000</v>
      </c>
      <c r="F14" s="17">
        <v>1079136000</v>
      </c>
      <c r="G14" s="17">
        <v>285144000</v>
      </c>
      <c r="H14" s="15">
        <v>0</v>
      </c>
      <c r="I14" s="17">
        <v>1291456000</v>
      </c>
      <c r="J14" s="15" t="s">
        <v>83</v>
      </c>
      <c r="K14" s="24" t="s">
        <v>144</v>
      </c>
      <c r="L14" s="17">
        <v>3529427000</v>
      </c>
      <c r="M14" s="22">
        <v>1952827000</v>
      </c>
    </row>
    <row r="15" spans="1:24">
      <c r="A15" s="14">
        <v>1124</v>
      </c>
      <c r="B15" s="24" t="s">
        <v>404</v>
      </c>
      <c r="C15" s="15" t="s">
        <v>15</v>
      </c>
      <c r="D15" s="16">
        <v>41639</v>
      </c>
      <c r="E15" s="17">
        <v>5312686000</v>
      </c>
      <c r="F15" s="17">
        <v>1252812000</v>
      </c>
      <c r="G15" s="17">
        <v>466498000</v>
      </c>
      <c r="H15" s="15">
        <v>0</v>
      </c>
      <c r="I15" s="17">
        <v>1602390000</v>
      </c>
      <c r="J15" s="15" t="s">
        <v>83</v>
      </c>
      <c r="K15" s="24" t="s">
        <v>144</v>
      </c>
      <c r="L15" s="17">
        <v>4059874000</v>
      </c>
      <c r="M15" s="22">
        <v>1990986000</v>
      </c>
    </row>
    <row r="16" spans="1:24">
      <c r="A16" s="14">
        <v>1125</v>
      </c>
      <c r="B16" s="24" t="s">
        <v>404</v>
      </c>
      <c r="C16" s="15" t="s">
        <v>16</v>
      </c>
      <c r="D16" s="16">
        <v>42004</v>
      </c>
      <c r="E16" s="17">
        <v>5288933000</v>
      </c>
      <c r="F16" s="17">
        <v>1089888000</v>
      </c>
      <c r="G16" s="17">
        <v>471219000</v>
      </c>
      <c r="H16" s="15">
        <v>0</v>
      </c>
      <c r="I16" s="17">
        <v>1957025000</v>
      </c>
      <c r="J16" s="15" t="s">
        <v>83</v>
      </c>
      <c r="K16" s="24" t="s">
        <v>144</v>
      </c>
      <c r="L16" s="17">
        <v>4199045000</v>
      </c>
      <c r="M16" s="22">
        <v>1770801000</v>
      </c>
    </row>
    <row r="17" spans="1:13">
      <c r="A17" s="14">
        <v>1126</v>
      </c>
      <c r="B17" s="24" t="s">
        <v>404</v>
      </c>
      <c r="C17" s="15" t="s">
        <v>17</v>
      </c>
      <c r="D17" s="16">
        <v>42369</v>
      </c>
      <c r="E17" s="17">
        <v>2787116000</v>
      </c>
      <c r="F17" s="17">
        <v>832306000</v>
      </c>
      <c r="G17" s="17">
        <v>372457000</v>
      </c>
      <c r="H17" s="15">
        <v>0</v>
      </c>
      <c r="I17" s="17">
        <v>1668489000</v>
      </c>
      <c r="J17" s="15" t="s">
        <v>83</v>
      </c>
      <c r="K17" s="24" t="s">
        <v>144</v>
      </c>
      <c r="L17" s="17">
        <v>1954810000</v>
      </c>
      <c r="M17" s="22">
        <v>-86136000</v>
      </c>
    </row>
    <row r="18" spans="1:13">
      <c r="A18" s="14">
        <v>1745</v>
      </c>
      <c r="B18" s="24" t="s">
        <v>567</v>
      </c>
      <c r="C18" s="15" t="s">
        <v>11</v>
      </c>
      <c r="D18" s="16">
        <v>41274</v>
      </c>
      <c r="E18" s="17">
        <v>451509000000</v>
      </c>
      <c r="F18" s="17">
        <v>302056000000</v>
      </c>
      <c r="G18" s="17">
        <v>81844000000</v>
      </c>
      <c r="H18" s="15">
        <v>0</v>
      </c>
      <c r="I18" s="17">
        <v>15888000000</v>
      </c>
      <c r="J18" s="15" t="s">
        <v>83</v>
      </c>
      <c r="K18" s="24" t="s">
        <v>144</v>
      </c>
      <c r="L18" s="17">
        <v>149453000000</v>
      </c>
      <c r="M18" s="22">
        <v>51721000000</v>
      </c>
    </row>
    <row r="19" spans="1:13">
      <c r="A19" s="14">
        <v>1746</v>
      </c>
      <c r="B19" s="24" t="s">
        <v>567</v>
      </c>
      <c r="C19" s="15" t="s">
        <v>15</v>
      </c>
      <c r="D19" s="16">
        <v>41639</v>
      </c>
      <c r="E19" s="17">
        <v>420836000000</v>
      </c>
      <c r="F19" s="17">
        <v>284681000000</v>
      </c>
      <c r="G19" s="17">
        <v>76696000000</v>
      </c>
      <c r="H19" s="15">
        <v>0</v>
      </c>
      <c r="I19" s="17">
        <v>17182000000</v>
      </c>
      <c r="J19" s="15" t="s">
        <v>83</v>
      </c>
      <c r="K19" s="24" t="s">
        <v>144</v>
      </c>
      <c r="L19" s="17">
        <v>136155000000</v>
      </c>
      <c r="M19" s="22">
        <v>42277000000</v>
      </c>
    </row>
    <row r="20" spans="1:13">
      <c r="A20" s="14">
        <v>1747</v>
      </c>
      <c r="B20" s="24" t="s">
        <v>567</v>
      </c>
      <c r="C20" s="15" t="s">
        <v>16</v>
      </c>
      <c r="D20" s="16">
        <v>42004</v>
      </c>
      <c r="E20" s="17">
        <v>394105000000</v>
      </c>
      <c r="F20" s="17">
        <v>266831000000</v>
      </c>
      <c r="G20" s="17">
        <v>74226000000</v>
      </c>
      <c r="H20" s="15">
        <v>0</v>
      </c>
      <c r="I20" s="17">
        <v>17297000000</v>
      </c>
      <c r="J20" s="15" t="s">
        <v>83</v>
      </c>
      <c r="K20" s="24" t="s">
        <v>144</v>
      </c>
      <c r="L20" s="17">
        <v>127274000000</v>
      </c>
      <c r="M20" s="22">
        <v>35751000000</v>
      </c>
    </row>
    <row r="21" spans="1:13">
      <c r="A21" s="18">
        <v>1748</v>
      </c>
      <c r="B21" s="25" t="s">
        <v>567</v>
      </c>
      <c r="C21" s="19" t="s">
        <v>17</v>
      </c>
      <c r="D21" s="20">
        <v>42369</v>
      </c>
      <c r="E21" s="21">
        <v>259488000000</v>
      </c>
      <c r="F21" s="21">
        <v>165590000000</v>
      </c>
      <c r="G21" s="21">
        <v>61444000000</v>
      </c>
      <c r="H21" s="19">
        <v>0</v>
      </c>
      <c r="I21" s="21">
        <v>18048000000</v>
      </c>
      <c r="J21" s="19" t="s">
        <v>83</v>
      </c>
      <c r="K21" s="25" t="s">
        <v>144</v>
      </c>
      <c r="L21" s="21">
        <v>93898000000</v>
      </c>
      <c r="M21" s="23">
        <v>14406000000</v>
      </c>
    </row>
    <row r="25" spans="1:13" ht="18.75">
      <c r="B25" s="46" t="s">
        <v>586</v>
      </c>
      <c r="C25" s="46"/>
      <c r="D25" s="46"/>
      <c r="E25" s="46"/>
      <c r="F25" s="46"/>
      <c r="G25" s="46"/>
    </row>
    <row r="26" spans="1:13">
      <c r="B26" s="3"/>
      <c r="C26" s="3" t="s">
        <v>143</v>
      </c>
      <c r="D26" s="3" t="s">
        <v>188</v>
      </c>
      <c r="E26" s="3" t="s">
        <v>295</v>
      </c>
      <c r="F26" s="3" t="s">
        <v>404</v>
      </c>
      <c r="G26" s="3" t="s">
        <v>567</v>
      </c>
    </row>
    <row r="27" spans="1:13">
      <c r="B27" s="4" t="s">
        <v>587</v>
      </c>
      <c r="C27" s="5">
        <v>-94000000</v>
      </c>
      <c r="D27" s="5">
        <v>-370000000</v>
      </c>
      <c r="E27" s="5">
        <v>-1345000000</v>
      </c>
      <c r="F27" s="5">
        <v>-86136000</v>
      </c>
      <c r="G27" s="5">
        <v>14406000000</v>
      </c>
      <c r="I27" s="2">
        <f>MEDIAN(G27:G31)</f>
        <v>39014000000</v>
      </c>
    </row>
    <row r="28" spans="1:13">
      <c r="B28" s="4" t="s">
        <v>588</v>
      </c>
      <c r="C28" s="5">
        <v>1252250000</v>
      </c>
      <c r="D28" s="5">
        <v>16190750000</v>
      </c>
      <c r="E28" s="5">
        <v>1836500000</v>
      </c>
      <c r="F28" s="5">
        <v>1306566750</v>
      </c>
      <c r="G28" s="5">
        <v>30414750000</v>
      </c>
    </row>
    <row r="29" spans="1:13">
      <c r="B29" s="4" t="s">
        <v>589</v>
      </c>
      <c r="C29" s="5">
        <v>2131000000</v>
      </c>
      <c r="D29" s="5">
        <v>25392500000</v>
      </c>
      <c r="E29" s="5">
        <v>3550500000</v>
      </c>
      <c r="F29" s="5">
        <v>1861814000</v>
      </c>
      <c r="G29" s="5">
        <v>39014000000</v>
      </c>
    </row>
    <row r="30" spans="1:13">
      <c r="B30" s="4" t="s">
        <v>590</v>
      </c>
      <c r="C30" s="5">
        <v>2822500000</v>
      </c>
      <c r="D30" s="5">
        <v>30990750000</v>
      </c>
      <c r="E30" s="5">
        <v>4332500000</v>
      </c>
      <c r="F30" s="5">
        <v>1962366750</v>
      </c>
      <c r="G30" s="5">
        <v>44638000000</v>
      </c>
    </row>
    <row r="31" spans="1:13">
      <c r="B31" s="41" t="s">
        <v>591</v>
      </c>
      <c r="C31" s="42">
        <v>3607000000</v>
      </c>
      <c r="D31" s="42">
        <v>36741000000</v>
      </c>
      <c r="E31" s="42">
        <v>4718000000</v>
      </c>
      <c r="F31" s="42">
        <v>1990986000</v>
      </c>
      <c r="G31" s="42">
        <v>51721000000</v>
      </c>
    </row>
    <row r="32" spans="1:13">
      <c r="B32" s="43" t="s">
        <v>592</v>
      </c>
      <c r="C32" s="44">
        <f>C31-C27</f>
        <v>3701000000</v>
      </c>
      <c r="D32" s="44">
        <f t="shared" ref="D32:G32" si="0">D31-D27</f>
        <v>37111000000</v>
      </c>
      <c r="E32" s="44">
        <f t="shared" si="0"/>
        <v>6063000000</v>
      </c>
      <c r="F32" s="44">
        <f t="shared" si="0"/>
        <v>2077122000</v>
      </c>
      <c r="G32" s="44">
        <f t="shared" si="0"/>
        <v>37315000000</v>
      </c>
    </row>
    <row r="33" spans="2:7">
      <c r="B33" s="37" t="s">
        <v>593</v>
      </c>
      <c r="C33" s="45">
        <f>_xlfn.STDEV.P(M2:M5)</f>
        <v>1356350871.8248389</v>
      </c>
      <c r="D33" s="45">
        <f>_xlfn.STDEV.P(M6:M9)</f>
        <v>13853347014.349995</v>
      </c>
      <c r="E33" s="45">
        <f>_xlfn.STDEV.P(M10:M13)</f>
        <v>2382677328.1332068</v>
      </c>
      <c r="F33" s="45">
        <f>_xlfn.STDEV.P(M14:M17)</f>
        <v>866136967.67615783</v>
      </c>
      <c r="G33" s="45">
        <f>_xlfn.STDEV.P(M18:M21)</f>
        <v>13719579082.009031</v>
      </c>
    </row>
    <row r="40" spans="2:7">
      <c r="C40" s="2"/>
      <c r="D40" s="2"/>
      <c r="E40" s="2"/>
      <c r="F40" s="2"/>
      <c r="G40" s="2"/>
    </row>
    <row r="41" spans="2:7">
      <c r="C41" s="2"/>
      <c r="D41" s="2"/>
      <c r="E41" s="2"/>
      <c r="F41" s="2"/>
      <c r="G41" s="2"/>
    </row>
    <row r="42" spans="2:7">
      <c r="C42" s="2"/>
      <c r="D42" s="2"/>
      <c r="E42" s="2"/>
      <c r="F42" s="2"/>
      <c r="G42" s="2"/>
    </row>
    <row r="43" spans="2:7">
      <c r="C43" s="2"/>
      <c r="D43" s="2"/>
      <c r="E43" s="2"/>
      <c r="F43" s="2"/>
      <c r="G43" s="2"/>
    </row>
  </sheetData>
  <mergeCells count="1">
    <mergeCell ref="B25:G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9412-6D5C-43F3-B83C-363EDE523795}">
  <dimension ref="A1:I11"/>
  <sheetViews>
    <sheetView tabSelected="1" workbookViewId="0">
      <selection activeCell="C11" sqref="C10:I11"/>
    </sheetView>
  </sheetViews>
  <sheetFormatPr defaultRowHeight="15"/>
  <cols>
    <col min="6" max="6" width="27" customWidth="1"/>
    <col min="7" max="7" width="19.5703125" customWidth="1"/>
    <col min="8" max="8" width="22.140625" customWidth="1"/>
    <col min="9" max="9" width="19" customWidth="1"/>
    <col min="10" max="10" width="17.7109375" customWidth="1"/>
  </cols>
  <sheetData>
    <row r="1" spans="1:9" ht="21">
      <c r="C1" s="40" t="s">
        <v>594</v>
      </c>
      <c r="D1" s="40"/>
      <c r="E1" s="40"/>
      <c r="F1" s="40"/>
      <c r="G1" s="40"/>
      <c r="H1" s="40"/>
      <c r="I1" s="40"/>
    </row>
    <row r="2" spans="1:9">
      <c r="B2" t="s">
        <v>576</v>
      </c>
      <c r="C2" s="6" t="s">
        <v>567</v>
      </c>
      <c r="F2" s="43"/>
      <c r="G2" s="43"/>
      <c r="H2" s="43"/>
      <c r="I2" s="43"/>
    </row>
    <row r="3" spans="1:9">
      <c r="C3" s="19"/>
      <c r="D3" s="19"/>
      <c r="E3" s="19"/>
      <c r="F3" s="51" t="s">
        <v>11</v>
      </c>
      <c r="G3" s="51" t="s">
        <v>15</v>
      </c>
      <c r="H3" s="51" t="s">
        <v>16</v>
      </c>
      <c r="I3" s="51" t="s">
        <v>17</v>
      </c>
    </row>
    <row r="4" spans="1:9">
      <c r="A4" t="s">
        <v>595</v>
      </c>
      <c r="B4" t="s">
        <v>143</v>
      </c>
      <c r="C4" s="7" t="s">
        <v>596</v>
      </c>
      <c r="F4" s="50" cm="1">
        <f t="array" ref="F4">INDEX('Forecast scenarios'!$F$2:$F$21,MATCH(1,('P&amp;L Statement Dashboard'!$C$2='Forecast scenarios'!$C$2:$C$21)*(F3='Forecast scenarios'!$D$2:$D$21),0))</f>
        <v>451509000000</v>
      </c>
      <c r="G4" s="50" cm="1">
        <f t="array" ref="G4">INDEX('Forecast scenarios'!$F$2:$F$21,MATCH(1,('P&amp;L Statement Dashboard'!$C$2='Forecast scenarios'!$C$2:$C$21)*(G3='Forecast scenarios'!$D$2:$D$21),0))</f>
        <v>420836000000</v>
      </c>
      <c r="H4" s="50" cm="1">
        <f t="array" ref="H4">INDEX('Forecast scenarios'!$F$2:$F$21,MATCH(1,('P&amp;L Statement Dashboard'!$C$2='Forecast scenarios'!$C$2:$C$21)*(H3='Forecast scenarios'!$D$2:$D$21),0))</f>
        <v>394105000000</v>
      </c>
      <c r="I4" s="50" cm="1">
        <f t="array" ref="I4">INDEX('Forecast scenarios'!$F$2:$F$21,MATCH(1,('P&amp;L Statement Dashboard'!$C$2='Forecast scenarios'!$C$2:$C$21)*(I3='Forecast scenarios'!$D$2:$D$21),0))</f>
        <v>259488000000</v>
      </c>
    </row>
    <row r="5" spans="1:9">
      <c r="A5" t="s">
        <v>597</v>
      </c>
      <c r="B5" t="s">
        <v>188</v>
      </c>
      <c r="C5" t="s">
        <v>598</v>
      </c>
      <c r="F5" s="50" cm="1">
        <f t="array" ref="F5">INDEX('Forecast scenarios'!$G$2:$G$21,MATCH(1,('P&amp;L Statement Dashboard'!$C$2='Forecast scenarios'!$C$2:$C$21)*(F3='Forecast scenarios'!$D$2:$D$21),0))</f>
        <v>302056000000</v>
      </c>
      <c r="G5" s="50" cm="1">
        <f t="array" ref="G5">INDEX('Forecast scenarios'!$G$2:$G$21,MATCH(1,('P&amp;L Statement Dashboard'!$C$2='Forecast scenarios'!$C$2:$C$21)*(G3='Forecast scenarios'!$D$2:$D$21),0))</f>
        <v>284681000000</v>
      </c>
      <c r="H5" s="50" cm="1">
        <f t="array" ref="H5">INDEX('Forecast scenarios'!$G$2:$G$21,MATCH(1,('P&amp;L Statement Dashboard'!$C$2='Forecast scenarios'!$C$2:$C$21)*(H3='Forecast scenarios'!$D$2:$D$21),0))</f>
        <v>266831000000</v>
      </c>
      <c r="I5" s="50" cm="1">
        <f t="array" ref="I5">INDEX('Forecast scenarios'!$G$2:$G$21,MATCH(1,('P&amp;L Statement Dashboard'!$C$2='Forecast scenarios'!$C$2:$C$21)*(I3='Forecast scenarios'!$D$2:$D$21),0))</f>
        <v>165590000000</v>
      </c>
    </row>
    <row r="6" spans="1:9">
      <c r="A6" t="s">
        <v>599</v>
      </c>
      <c r="B6" t="s">
        <v>295</v>
      </c>
      <c r="C6" s="7" t="s">
        <v>584</v>
      </c>
      <c r="F6" s="50">
        <f>F4-F5</f>
        <v>149453000000</v>
      </c>
      <c r="G6" s="50">
        <f t="shared" ref="G6:I6" si="0">G4-G5</f>
        <v>136155000000</v>
      </c>
      <c r="H6" s="50">
        <f t="shared" si="0"/>
        <v>127274000000</v>
      </c>
      <c r="I6" s="50">
        <f t="shared" si="0"/>
        <v>93898000000</v>
      </c>
    </row>
    <row r="7" spans="1:9">
      <c r="A7" t="s">
        <v>600</v>
      </c>
      <c r="B7" t="s">
        <v>404</v>
      </c>
      <c r="C7" t="s">
        <v>601</v>
      </c>
      <c r="F7" s="50" cm="1">
        <f t="array" ref="F7">INDEX('Forecast scenarios'!$H$2:$H$21,MATCH(1,('P&amp;L Statement Dashboard'!$C$2='Forecast scenarios'!$C$2:$C$21)*(F3='Forecast scenarios'!$D$2:$D$21),0))</f>
        <v>81844000000</v>
      </c>
      <c r="G7" s="50" cm="1">
        <f t="array" ref="G7">INDEX('Forecast scenarios'!$H$2:$H$21,MATCH(1,('P&amp;L Statement Dashboard'!$C$2='Forecast scenarios'!$C$2:$C$21)*(G3='Forecast scenarios'!$D$2:$D$21),0))</f>
        <v>76696000000</v>
      </c>
      <c r="H7" s="50" cm="1">
        <f t="array" ref="H7">INDEX('Forecast scenarios'!$H$2:$H$21,MATCH(1,('P&amp;L Statement Dashboard'!$C$2='Forecast scenarios'!$C$2:$C$21)*(H3='Forecast scenarios'!$D$2:$D$21),0))</f>
        <v>74226000000</v>
      </c>
      <c r="I7" s="50" cm="1">
        <f t="array" ref="I7">INDEX('Forecast scenarios'!$H$2:$H$21,MATCH(1,('P&amp;L Statement Dashboard'!$C$2='Forecast scenarios'!$C$2:$C$21)*(I3='Forecast scenarios'!$D$2:$D$21),0))</f>
        <v>61444000000</v>
      </c>
    </row>
    <row r="8" spans="1:9">
      <c r="A8" t="s">
        <v>602</v>
      </c>
      <c r="B8" t="s">
        <v>567</v>
      </c>
      <c r="C8" t="s">
        <v>603</v>
      </c>
      <c r="F8" s="50" cm="1">
        <f t="array" ref="F8">INDEX('Forecast scenarios'!$I$2:$I$21,MATCH(1,('P&amp;L Statement Dashboard'!$C$2='Forecast scenarios'!$C$2:$C$21)*(F3='Forecast scenarios'!$D$2:$D$21),0))</f>
        <v>0</v>
      </c>
      <c r="G8" s="50" cm="1">
        <f t="array" ref="G8">INDEX('Forecast scenarios'!$I$2:$I$21,MATCH(1,('P&amp;L Statement Dashboard'!$C$2='Forecast scenarios'!$C$2:$C$21)*(G3='Forecast scenarios'!$D$2:$D$21),0))</f>
        <v>0</v>
      </c>
      <c r="H8" s="50" cm="1">
        <f t="array" ref="H8">INDEX('Forecast scenarios'!$I$2:$I$21,MATCH(1,('P&amp;L Statement Dashboard'!$C$2='Forecast scenarios'!$C$2:$C$21)*(H3='Forecast scenarios'!$D$2:$D$21),0))</f>
        <v>0</v>
      </c>
      <c r="I8" s="50" cm="1">
        <f t="array" ref="I8">INDEX('Forecast scenarios'!$I$2:$I$21,MATCH(1,('P&amp;L Statement Dashboard'!$C$2='Forecast scenarios'!$C$2:$C$21)*(I3='Forecast scenarios'!$D$2:$D$21),0))</f>
        <v>0</v>
      </c>
    </row>
    <row r="9" spans="1:9">
      <c r="C9" t="s">
        <v>604</v>
      </c>
      <c r="F9" s="50" cm="1">
        <f t="array" ref="F9">INDEX('Forecast scenarios'!$J$2:$J$21,MATCH(1,('P&amp;L Statement Dashboard'!$C$2='Forecast scenarios'!$C$2:$C$21)*(F3='Forecast scenarios'!$D$2:$D$21),0))</f>
        <v>15888000000</v>
      </c>
      <c r="G9" s="50" cm="1">
        <f t="array" ref="G9">INDEX('Forecast scenarios'!$J$2:$J$21,MATCH(1,('P&amp;L Statement Dashboard'!$C$2='Forecast scenarios'!$C$2:$C$21)*(G3='Forecast scenarios'!$D$2:$D$21),0))</f>
        <v>17182000000</v>
      </c>
      <c r="H9" s="50" cm="1">
        <f t="array" ref="H9">INDEX('Forecast scenarios'!$J$2:$J$21,MATCH(1,('P&amp;L Statement Dashboard'!$C$2='Forecast scenarios'!$C$2:$C$21)*(H3='Forecast scenarios'!$D$2:$D$21),0))</f>
        <v>17297000000</v>
      </c>
      <c r="I9" s="50" cm="1">
        <f t="array" ref="I9">INDEX('Forecast scenarios'!$J$2:$J$21,MATCH(1,('P&amp;L Statement Dashboard'!$C$2='Forecast scenarios'!$C$2:$C$21)*(I3='Forecast scenarios'!$D$2:$D$21),0))</f>
        <v>18048000000</v>
      </c>
    </row>
    <row r="10" spans="1:9">
      <c r="C10" s="52" t="s">
        <v>605</v>
      </c>
      <c r="D10" s="15"/>
      <c r="E10" s="15"/>
      <c r="F10" s="53">
        <f>F7+F8+F9</f>
        <v>97732000000</v>
      </c>
      <c r="G10" s="53">
        <f t="shared" ref="G10:I10" si="1">G7+G8+G9</f>
        <v>93878000000</v>
      </c>
      <c r="H10" s="53">
        <f t="shared" si="1"/>
        <v>91523000000</v>
      </c>
      <c r="I10" s="53">
        <f t="shared" si="1"/>
        <v>79492000000</v>
      </c>
    </row>
    <row r="11" spans="1:9">
      <c r="C11" s="54" t="s">
        <v>606</v>
      </c>
      <c r="D11" s="19"/>
      <c r="E11" s="19"/>
      <c r="F11" s="55">
        <f>F6-F10</f>
        <v>51721000000</v>
      </c>
      <c r="G11" s="55">
        <f t="shared" ref="G11:I11" si="2">G6-G10</f>
        <v>42277000000</v>
      </c>
      <c r="H11" s="55">
        <f t="shared" si="2"/>
        <v>35751000000</v>
      </c>
      <c r="I11" s="55">
        <f t="shared" si="2"/>
        <v>14406000000</v>
      </c>
    </row>
  </sheetData>
  <dataValidations count="1">
    <dataValidation type="list" allowBlank="1" showInputMessage="1" showErrorMessage="1" sqref="C2" xr:uid="{8B2C0DAC-24CD-4AE8-9894-73C511AD7E47}">
      <formula1>$B$4:$B$8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1D7D-12E1-4AE0-9230-3116F7AD03B0}">
  <dimension ref="A1:N57"/>
  <sheetViews>
    <sheetView workbookViewId="0">
      <selection activeCell="F23" sqref="F23"/>
    </sheetView>
  </sheetViews>
  <sheetFormatPr defaultRowHeight="15"/>
  <cols>
    <col min="5" max="5" width="14.140625" customWidth="1"/>
    <col min="6" max="6" width="18.42578125" customWidth="1"/>
    <col min="7" max="7" width="20.7109375" customWidth="1"/>
    <col min="8" max="8" width="18.42578125" customWidth="1"/>
    <col min="9" max="9" width="20.140625" customWidth="1"/>
    <col min="10" max="10" width="20.5703125" customWidth="1"/>
    <col min="11" max="11" width="25.5703125" customWidth="1"/>
    <col min="13" max="13" width="11.42578125" customWidth="1"/>
    <col min="14" max="14" width="11.5703125" customWidth="1"/>
  </cols>
  <sheetData>
    <row r="1" spans="2:14">
      <c r="C1" t="s">
        <v>576</v>
      </c>
      <c r="D1" t="s">
        <v>1</v>
      </c>
      <c r="E1" t="s">
        <v>577</v>
      </c>
      <c r="F1" t="s">
        <v>578</v>
      </c>
      <c r="G1" t="s">
        <v>162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607</v>
      </c>
      <c r="N1" t="s">
        <v>608</v>
      </c>
    </row>
    <row r="2" spans="2:14">
      <c r="B2">
        <v>302</v>
      </c>
      <c r="C2" t="s">
        <v>143</v>
      </c>
      <c r="D2" t="s">
        <v>11</v>
      </c>
      <c r="E2" s="1">
        <v>41274</v>
      </c>
      <c r="F2" s="2">
        <v>12316000000</v>
      </c>
      <c r="G2" s="2">
        <v>7081000000</v>
      </c>
      <c r="H2" s="2">
        <v>723000000</v>
      </c>
      <c r="I2">
        <v>0</v>
      </c>
      <c r="J2" s="2">
        <v>2811000000</v>
      </c>
      <c r="K2" t="s">
        <v>83</v>
      </c>
      <c r="L2" t="s">
        <v>144</v>
      </c>
      <c r="M2" s="10">
        <f>(F2-G2)/F2</f>
        <v>0.42505683663527122</v>
      </c>
      <c r="N2" s="10">
        <f>(F2-G2-H2-I2-J2)/F2</f>
        <v>0.13811302370899642</v>
      </c>
    </row>
    <row r="3" spans="2:14">
      <c r="B3">
        <v>303</v>
      </c>
      <c r="C3" t="s">
        <v>143</v>
      </c>
      <c r="D3" t="s">
        <v>15</v>
      </c>
      <c r="E3" s="1">
        <v>41639</v>
      </c>
      <c r="F3" s="2">
        <v>19080000000</v>
      </c>
      <c r="G3" s="2">
        <v>12930000000</v>
      </c>
      <c r="H3" s="2">
        <v>686000000</v>
      </c>
      <c r="I3">
        <v>0</v>
      </c>
      <c r="J3" s="2">
        <v>2903000000</v>
      </c>
      <c r="K3" t="s">
        <v>83</v>
      </c>
      <c r="L3" t="s">
        <v>144</v>
      </c>
      <c r="M3" s="10">
        <f t="shared" ref="M3:M21" si="0">(F3-G3)/F3</f>
        <v>0.32232704402515722</v>
      </c>
      <c r="N3" s="10">
        <f t="shared" ref="N3:N21" si="1">(F3-G3-H3-I3-J3)/F3</f>
        <v>0.13422431865828091</v>
      </c>
    </row>
    <row r="4" spans="2:14">
      <c r="B4">
        <v>304</v>
      </c>
      <c r="C4" t="s">
        <v>143</v>
      </c>
      <c r="D4" t="s">
        <v>16</v>
      </c>
      <c r="E4" s="1">
        <v>42004</v>
      </c>
      <c r="F4" s="2">
        <v>23125000000</v>
      </c>
      <c r="G4" s="2">
        <v>16049000000</v>
      </c>
      <c r="H4" s="2">
        <v>554000000</v>
      </c>
      <c r="I4">
        <v>0</v>
      </c>
      <c r="J4" s="2">
        <v>2915000000</v>
      </c>
      <c r="K4" t="s">
        <v>83</v>
      </c>
      <c r="L4" t="s">
        <v>144</v>
      </c>
      <c r="M4" s="10">
        <f t="shared" si="0"/>
        <v>0.30598918918918921</v>
      </c>
      <c r="N4" s="10">
        <f t="shared" si="1"/>
        <v>0.15597837837837839</v>
      </c>
    </row>
    <row r="5" spans="2:14">
      <c r="B5">
        <v>305</v>
      </c>
      <c r="C5" t="s">
        <v>143</v>
      </c>
      <c r="D5" t="s">
        <v>17</v>
      </c>
      <c r="E5" s="1">
        <v>42369</v>
      </c>
      <c r="F5" s="2">
        <v>12764000000</v>
      </c>
      <c r="G5" s="2">
        <v>10295000000</v>
      </c>
      <c r="H5" s="2">
        <v>334000000</v>
      </c>
      <c r="I5">
        <v>0</v>
      </c>
      <c r="J5" s="2">
        <v>2229000000</v>
      </c>
      <c r="K5" t="s">
        <v>83</v>
      </c>
      <c r="L5" t="s">
        <v>144</v>
      </c>
      <c r="M5" s="10">
        <f t="shared" si="0"/>
        <v>0.1934346599811971</v>
      </c>
      <c r="N5" s="10">
        <f t="shared" si="1"/>
        <v>-7.3644625509244749E-3</v>
      </c>
    </row>
    <row r="6" spans="2:14">
      <c r="B6">
        <v>420</v>
      </c>
      <c r="C6" t="s">
        <v>188</v>
      </c>
      <c r="D6" t="s">
        <v>11</v>
      </c>
      <c r="E6" s="1">
        <v>41274</v>
      </c>
      <c r="F6" s="2">
        <v>230590000000</v>
      </c>
      <c r="G6" s="2">
        <v>163336000000</v>
      </c>
      <c r="H6" s="2">
        <v>17100000000</v>
      </c>
      <c r="I6">
        <v>0</v>
      </c>
      <c r="J6" s="2">
        <v>13413000000</v>
      </c>
      <c r="K6" t="s">
        <v>83</v>
      </c>
      <c r="L6" t="s">
        <v>144</v>
      </c>
      <c r="M6" s="10">
        <f t="shared" si="0"/>
        <v>0.29166052300620149</v>
      </c>
      <c r="N6" s="10">
        <f t="shared" si="1"/>
        <v>0.15933474998915825</v>
      </c>
    </row>
    <row r="7" spans="2:14">
      <c r="B7">
        <v>421</v>
      </c>
      <c r="C7" t="s">
        <v>188</v>
      </c>
      <c r="D7" t="s">
        <v>15</v>
      </c>
      <c r="E7" s="1">
        <v>41639</v>
      </c>
      <c r="F7" s="2">
        <v>220156000000</v>
      </c>
      <c r="G7" s="2">
        <v>159323000000</v>
      </c>
      <c r="H7" s="2">
        <v>17573000000</v>
      </c>
      <c r="I7">
        <v>0</v>
      </c>
      <c r="J7" s="2">
        <v>14186000000</v>
      </c>
      <c r="K7" t="s">
        <v>83</v>
      </c>
      <c r="L7" t="s">
        <v>144</v>
      </c>
      <c r="M7" s="10">
        <f t="shared" si="0"/>
        <v>0.27631770199313216</v>
      </c>
      <c r="N7" s="10">
        <f t="shared" si="1"/>
        <v>0.13206090226929995</v>
      </c>
    </row>
    <row r="8" spans="2:14">
      <c r="B8">
        <v>422</v>
      </c>
      <c r="C8" t="s">
        <v>188</v>
      </c>
      <c r="D8" t="s">
        <v>16</v>
      </c>
      <c r="E8" s="1">
        <v>42004</v>
      </c>
      <c r="F8" s="2">
        <v>200494000000</v>
      </c>
      <c r="G8" s="2">
        <v>144956000000</v>
      </c>
      <c r="H8" s="2">
        <v>17034000000</v>
      </c>
      <c r="I8">
        <v>0</v>
      </c>
      <c r="J8" s="2">
        <v>16793000000</v>
      </c>
      <c r="K8" t="s">
        <v>83</v>
      </c>
      <c r="L8" t="s">
        <v>144</v>
      </c>
      <c r="M8" s="10">
        <f t="shared" si="0"/>
        <v>0.27700579568465888</v>
      </c>
      <c r="N8" s="10">
        <f t="shared" si="1"/>
        <v>0.10828752980139056</v>
      </c>
    </row>
    <row r="9" spans="2:14">
      <c r="B9">
        <v>423</v>
      </c>
      <c r="C9" t="s">
        <v>188</v>
      </c>
      <c r="D9" t="s">
        <v>17</v>
      </c>
      <c r="E9" s="1">
        <v>42369</v>
      </c>
      <c r="F9" s="2">
        <v>129925000000</v>
      </c>
      <c r="G9" s="2">
        <v>92785000000</v>
      </c>
      <c r="H9" s="2">
        <v>16473000000</v>
      </c>
      <c r="I9">
        <v>0</v>
      </c>
      <c r="J9" s="2">
        <v>21037000000</v>
      </c>
      <c r="K9" t="s">
        <v>83</v>
      </c>
      <c r="L9" t="s">
        <v>144</v>
      </c>
      <c r="M9" s="10">
        <f t="shared" si="0"/>
        <v>0.28585722532230134</v>
      </c>
      <c r="N9" s="10">
        <f t="shared" si="1"/>
        <v>-2.8477968058495287E-3</v>
      </c>
    </row>
    <row r="10" spans="2:14">
      <c r="B10">
        <v>764</v>
      </c>
      <c r="C10" t="s">
        <v>295</v>
      </c>
      <c r="D10" t="s">
        <v>11</v>
      </c>
      <c r="E10" s="1">
        <v>41274</v>
      </c>
      <c r="F10" s="2">
        <v>12245000000</v>
      </c>
      <c r="G10" s="2">
        <v>3535000000</v>
      </c>
      <c r="H10" s="2">
        <v>1126000000</v>
      </c>
      <c r="I10">
        <v>0</v>
      </c>
      <c r="J10" s="2">
        <v>2866000000</v>
      </c>
      <c r="K10" t="s">
        <v>83</v>
      </c>
      <c r="L10" t="s">
        <v>144</v>
      </c>
      <c r="M10" s="10">
        <f t="shared" si="0"/>
        <v>0.71131073907717435</v>
      </c>
      <c r="N10" s="10">
        <f t="shared" si="1"/>
        <v>0.38530012249897916</v>
      </c>
    </row>
    <row r="11" spans="2:14">
      <c r="B11">
        <v>765</v>
      </c>
      <c r="C11" t="s">
        <v>295</v>
      </c>
      <c r="D11" t="s">
        <v>15</v>
      </c>
      <c r="E11" s="1">
        <v>41639</v>
      </c>
      <c r="F11" s="2">
        <v>11905000000</v>
      </c>
      <c r="G11" s="2">
        <v>3969000000</v>
      </c>
      <c r="H11" s="2">
        <v>1045000000</v>
      </c>
      <c r="I11">
        <v>0</v>
      </c>
      <c r="J11" s="2">
        <v>2687000000</v>
      </c>
      <c r="K11" t="s">
        <v>83</v>
      </c>
      <c r="L11" t="s">
        <v>144</v>
      </c>
      <c r="M11" s="10">
        <f t="shared" si="0"/>
        <v>0.66661066778664424</v>
      </c>
      <c r="N11" s="10">
        <f t="shared" si="1"/>
        <v>0.35312893742125157</v>
      </c>
    </row>
    <row r="12" spans="2:14">
      <c r="B12">
        <v>766</v>
      </c>
      <c r="C12" t="s">
        <v>295</v>
      </c>
      <c r="D12" t="s">
        <v>16</v>
      </c>
      <c r="E12" s="1">
        <v>42004</v>
      </c>
      <c r="F12" s="2">
        <v>10737000000</v>
      </c>
      <c r="G12" s="2">
        <v>3753000000</v>
      </c>
      <c r="H12" s="2">
        <v>863000000</v>
      </c>
      <c r="I12">
        <v>0</v>
      </c>
      <c r="J12" s="2">
        <v>3224000000</v>
      </c>
      <c r="K12" t="s">
        <v>83</v>
      </c>
      <c r="L12" t="s">
        <v>144</v>
      </c>
      <c r="M12" s="10">
        <f t="shared" si="0"/>
        <v>0.6504610226320201</v>
      </c>
      <c r="N12" s="10">
        <f t="shared" si="1"/>
        <v>0.26981465958833939</v>
      </c>
    </row>
    <row r="13" spans="2:14">
      <c r="B13">
        <v>767</v>
      </c>
      <c r="C13" t="s">
        <v>295</v>
      </c>
      <c r="D13" t="s">
        <v>17</v>
      </c>
      <c r="E13" s="1">
        <v>42369</v>
      </c>
      <c r="F13" s="2">
        <v>6636000000</v>
      </c>
      <c r="G13" s="2">
        <v>3323000000</v>
      </c>
      <c r="H13" s="2">
        <v>703000000</v>
      </c>
      <c r="I13">
        <v>0</v>
      </c>
      <c r="J13" s="2">
        <v>3955000000</v>
      </c>
      <c r="K13" t="s">
        <v>83</v>
      </c>
      <c r="L13" t="s">
        <v>144</v>
      </c>
      <c r="M13" s="10">
        <f t="shared" si="0"/>
        <v>0.49924653405666064</v>
      </c>
      <c r="N13" s="10">
        <f t="shared" si="1"/>
        <v>-0.20268233875828812</v>
      </c>
    </row>
    <row r="14" spans="2:14">
      <c r="B14">
        <v>1123</v>
      </c>
      <c r="C14" t="s">
        <v>404</v>
      </c>
      <c r="D14" t="s">
        <v>11</v>
      </c>
      <c r="E14" s="1">
        <v>41274</v>
      </c>
      <c r="F14" s="2">
        <v>4608563000</v>
      </c>
      <c r="G14" s="2">
        <v>1079136000</v>
      </c>
      <c r="H14" s="2">
        <v>285144000</v>
      </c>
      <c r="I14">
        <v>0</v>
      </c>
      <c r="J14" s="2">
        <v>1291456000</v>
      </c>
      <c r="K14" t="s">
        <v>83</v>
      </c>
      <c r="L14" t="s">
        <v>144</v>
      </c>
      <c r="M14" s="10">
        <f t="shared" si="0"/>
        <v>0.76584110925683346</v>
      </c>
      <c r="N14" s="10">
        <f t="shared" si="1"/>
        <v>0.42373880968970157</v>
      </c>
    </row>
    <row r="15" spans="2:14">
      <c r="B15">
        <v>1124</v>
      </c>
      <c r="C15" t="s">
        <v>404</v>
      </c>
      <c r="D15" t="s">
        <v>15</v>
      </c>
      <c r="E15" s="1">
        <v>41639</v>
      </c>
      <c r="F15" s="2">
        <v>5312686000</v>
      </c>
      <c r="G15" s="2">
        <v>1252812000</v>
      </c>
      <c r="H15" s="2">
        <v>466498000</v>
      </c>
      <c r="I15">
        <v>0</v>
      </c>
      <c r="J15" s="2">
        <v>1602390000</v>
      </c>
      <c r="K15" t="s">
        <v>83</v>
      </c>
      <c r="L15" t="s">
        <v>144</v>
      </c>
      <c r="M15" s="10">
        <f t="shared" si="0"/>
        <v>0.76418482101144314</v>
      </c>
      <c r="N15" s="10">
        <f t="shared" si="1"/>
        <v>0.37476071426016894</v>
      </c>
    </row>
    <row r="16" spans="2:14">
      <c r="B16">
        <v>1125</v>
      </c>
      <c r="C16" t="s">
        <v>404</v>
      </c>
      <c r="D16" t="s">
        <v>16</v>
      </c>
      <c r="E16" s="1">
        <v>42004</v>
      </c>
      <c r="F16" s="2">
        <v>5288933000</v>
      </c>
      <c r="G16" s="2">
        <v>1089888000</v>
      </c>
      <c r="H16" s="2">
        <v>471219000</v>
      </c>
      <c r="I16">
        <v>0</v>
      </c>
      <c r="J16" s="2">
        <v>1957025000</v>
      </c>
      <c r="K16" t="s">
        <v>83</v>
      </c>
      <c r="L16" t="s">
        <v>144</v>
      </c>
      <c r="M16" s="10">
        <f t="shared" si="0"/>
        <v>0.79393045818504415</v>
      </c>
      <c r="N16" s="10">
        <f t="shared" si="1"/>
        <v>0.33481252267706929</v>
      </c>
    </row>
    <row r="17" spans="1:14">
      <c r="B17">
        <v>1126</v>
      </c>
      <c r="C17" t="s">
        <v>404</v>
      </c>
      <c r="D17" t="s">
        <v>17</v>
      </c>
      <c r="E17" s="1">
        <v>42369</v>
      </c>
      <c r="F17" s="2">
        <v>2787116000</v>
      </c>
      <c r="G17" s="2">
        <v>832306000</v>
      </c>
      <c r="H17" s="2">
        <v>372457000</v>
      </c>
      <c r="I17">
        <v>0</v>
      </c>
      <c r="J17" s="2">
        <v>1668489000</v>
      </c>
      <c r="K17" t="s">
        <v>83</v>
      </c>
      <c r="L17" t="s">
        <v>144</v>
      </c>
      <c r="M17" s="10">
        <f t="shared" si="0"/>
        <v>0.70137374978292977</v>
      </c>
      <c r="N17" s="10">
        <f t="shared" si="1"/>
        <v>-3.0905064590063709E-2</v>
      </c>
    </row>
    <row r="18" spans="1:14">
      <c r="B18">
        <v>1745</v>
      </c>
      <c r="C18" t="s">
        <v>567</v>
      </c>
      <c r="D18" t="s">
        <v>11</v>
      </c>
      <c r="E18" s="1">
        <v>41274</v>
      </c>
      <c r="F18" s="2">
        <v>451509000000</v>
      </c>
      <c r="G18" s="2">
        <v>302056000000</v>
      </c>
      <c r="H18" s="2">
        <v>81844000000</v>
      </c>
      <c r="I18">
        <v>0</v>
      </c>
      <c r="J18" s="2">
        <v>15888000000</v>
      </c>
      <c r="K18" t="s">
        <v>83</v>
      </c>
      <c r="L18" t="s">
        <v>144</v>
      </c>
      <c r="M18" s="10">
        <f t="shared" si="0"/>
        <v>0.33100779829416466</v>
      </c>
      <c r="N18" s="10">
        <f t="shared" si="1"/>
        <v>0.11455142643889712</v>
      </c>
    </row>
    <row r="19" spans="1:14">
      <c r="B19">
        <v>1746</v>
      </c>
      <c r="C19" t="s">
        <v>567</v>
      </c>
      <c r="D19" t="s">
        <v>15</v>
      </c>
      <c r="E19" s="1">
        <v>41639</v>
      </c>
      <c r="F19" s="2">
        <v>420836000000</v>
      </c>
      <c r="G19" s="2">
        <v>284681000000</v>
      </c>
      <c r="H19" s="2">
        <v>76696000000</v>
      </c>
      <c r="I19">
        <v>0</v>
      </c>
      <c r="J19" s="2">
        <v>17182000000</v>
      </c>
      <c r="K19" t="s">
        <v>83</v>
      </c>
      <c r="L19" t="s">
        <v>144</v>
      </c>
      <c r="M19" s="10">
        <f t="shared" si="0"/>
        <v>0.323534583543233</v>
      </c>
      <c r="N19" s="10">
        <f t="shared" si="1"/>
        <v>0.10045956144436312</v>
      </c>
    </row>
    <row r="20" spans="1:14">
      <c r="B20">
        <v>1747</v>
      </c>
      <c r="C20" t="s">
        <v>567</v>
      </c>
      <c r="D20" t="s">
        <v>16</v>
      </c>
      <c r="E20" s="1">
        <v>42004</v>
      </c>
      <c r="F20" s="2">
        <v>394105000000</v>
      </c>
      <c r="G20" s="2">
        <v>266831000000</v>
      </c>
      <c r="H20" s="2">
        <v>74226000000</v>
      </c>
      <c r="I20">
        <v>0</v>
      </c>
      <c r="J20" s="2">
        <v>17297000000</v>
      </c>
      <c r="K20" t="s">
        <v>83</v>
      </c>
      <c r="L20" t="s">
        <v>144</v>
      </c>
      <c r="M20" s="10">
        <f t="shared" si="0"/>
        <v>0.3229443929917154</v>
      </c>
      <c r="N20" s="10">
        <f t="shared" si="1"/>
        <v>9.0714403521904061E-2</v>
      </c>
    </row>
    <row r="21" spans="1:14">
      <c r="B21">
        <v>1748</v>
      </c>
      <c r="C21" t="s">
        <v>567</v>
      </c>
      <c r="D21" t="s">
        <v>17</v>
      </c>
      <c r="E21" s="1">
        <v>42369</v>
      </c>
      <c r="F21" s="2">
        <v>259488000000</v>
      </c>
      <c r="G21" s="2">
        <v>165590000000</v>
      </c>
      <c r="H21" s="2">
        <v>61444000000</v>
      </c>
      <c r="I21">
        <v>0</v>
      </c>
      <c r="J21" s="2">
        <v>18048000000</v>
      </c>
      <c r="K21" t="s">
        <v>83</v>
      </c>
      <c r="L21" t="s">
        <v>144</v>
      </c>
      <c r="M21" s="10">
        <f t="shared" si="0"/>
        <v>0.36185873720557404</v>
      </c>
      <c r="N21" s="10">
        <f t="shared" si="1"/>
        <v>5.551701812800592E-2</v>
      </c>
    </row>
    <row r="23" spans="1:14" ht="21">
      <c r="C23" s="47" t="s">
        <v>594</v>
      </c>
      <c r="D23" s="47"/>
      <c r="E23" s="47"/>
      <c r="F23" s="47"/>
      <c r="G23" s="47"/>
      <c r="H23" s="47"/>
      <c r="I23" s="47"/>
      <c r="J23" s="47"/>
      <c r="K23" s="47"/>
    </row>
    <row r="24" spans="1:14">
      <c r="B24" t="s">
        <v>576</v>
      </c>
      <c r="C24" s="6" t="s">
        <v>567</v>
      </c>
      <c r="F24" s="48" t="s">
        <v>609</v>
      </c>
      <c r="G24" s="48"/>
      <c r="H24" s="48"/>
      <c r="I24" s="48"/>
      <c r="J24" s="48" t="s">
        <v>610</v>
      </c>
      <c r="K24" s="48"/>
    </row>
    <row r="25" spans="1:14">
      <c r="F25" s="27" t="s">
        <v>11</v>
      </c>
      <c r="G25" s="27" t="s">
        <v>15</v>
      </c>
      <c r="H25" s="27" t="s">
        <v>16</v>
      </c>
      <c r="I25" s="27" t="s">
        <v>17</v>
      </c>
      <c r="J25" s="27" t="s">
        <v>611</v>
      </c>
      <c r="K25" s="27" t="s">
        <v>612</v>
      </c>
    </row>
    <row r="26" spans="1:14">
      <c r="A26" t="s">
        <v>595</v>
      </c>
      <c r="B26" s="4" t="s">
        <v>143</v>
      </c>
      <c r="C26" s="7" t="s">
        <v>596</v>
      </c>
      <c r="F26" s="30" cm="1">
        <f t="array" ref="F26">INDEX($F$2:$F$21,MATCH(1,($C$24=$C$2:$C$21)*(F25=$D$2:$D$21),0))</f>
        <v>451509000000</v>
      </c>
      <c r="G26" s="30" cm="1">
        <f t="array" ref="G26">INDEX($F$2:$F$21,MATCH(1,($C$24=$C$2:$C$21)*(G25=$D$2:$D$21),0))</f>
        <v>420836000000</v>
      </c>
      <c r="H26" s="30" cm="1">
        <f t="array" ref="H26">INDEX($F$2:$F$21,MATCH(1,($C$24=$C$2:$C$21)*(H25=$D$2:$D$21),0))</f>
        <v>394105000000</v>
      </c>
      <c r="I26" s="30" cm="1">
        <f t="array" ref="I26">INDEX($F$2:$F$21,MATCH(1,($C$24=$C$2:$C$21)*(I25=$D$2:$D$21),0))</f>
        <v>259488000000</v>
      </c>
      <c r="J26" s="31">
        <f>I26*(1+J38)</f>
        <v>218572822694.08508</v>
      </c>
      <c r="K26" s="31">
        <f>J26*(1+K38)</f>
        <v>184109010129.40851</v>
      </c>
    </row>
    <row r="27" spans="1:14">
      <c r="A27" t="s">
        <v>597</v>
      </c>
      <c r="B27" s="4" t="s">
        <v>188</v>
      </c>
      <c r="C27" s="8" t="s">
        <v>598</v>
      </c>
      <c r="F27" s="30" cm="1">
        <f t="array" ref="F27">INDEX($G$2:$G$21,MATCH(1,($C$24=$C$2:$C$21)*(F25=$D$2:$D$21),0))</f>
        <v>302056000000</v>
      </c>
      <c r="G27" s="30" cm="1">
        <f t="array" ref="G27">INDEX($G$2:$G$21,MATCH(1,($C$24=$C$2:$C$21)*(G25=$D$2:$D$21),0))</f>
        <v>284681000000</v>
      </c>
      <c r="H27" s="30" cm="1">
        <f t="array" ref="H27">INDEX($G$2:$G$21,MATCH(1,($C$24=$C$2:$C$21)*(H25=$D$2:$D$21),0))</f>
        <v>266831000000</v>
      </c>
      <c r="I27" s="30" cm="1">
        <f t="array" ref="I27">INDEX($G$2:$G$21,MATCH(1,($C$24=$C$2:$C$21)*(I25=$D$2:$D$21),0))</f>
        <v>165590000000</v>
      </c>
      <c r="J27" s="32"/>
      <c r="K27" s="32"/>
    </row>
    <row r="28" spans="1:14">
      <c r="A28" t="s">
        <v>599</v>
      </c>
      <c r="B28" s="4" t="s">
        <v>295</v>
      </c>
      <c r="C28" s="7" t="s">
        <v>584</v>
      </c>
      <c r="F28" s="31">
        <f>F26-F27</f>
        <v>149453000000</v>
      </c>
      <c r="G28" s="31">
        <f t="shared" ref="G28:I28" si="2">G26-G27</f>
        <v>136155000000</v>
      </c>
      <c r="H28" s="31">
        <f t="shared" si="2"/>
        <v>127274000000</v>
      </c>
      <c r="I28" s="31">
        <f t="shared" si="2"/>
        <v>93898000000</v>
      </c>
      <c r="J28" s="32"/>
      <c r="K28" s="32"/>
    </row>
    <row r="29" spans="1:14">
      <c r="A29" t="s">
        <v>600</v>
      </c>
      <c r="B29" s="4" t="s">
        <v>404</v>
      </c>
      <c r="C29" s="8" t="s">
        <v>601</v>
      </c>
      <c r="F29" s="30" cm="1">
        <f t="array" ref="F29">INDEX($H$2:$H$21,MATCH(1,($C$24=$C$2:$C$21)*(F25=$D$2:$D$21),0))</f>
        <v>81844000000</v>
      </c>
      <c r="G29" s="30" cm="1">
        <f t="array" ref="G29">INDEX($H$2:$H$21,MATCH(1,($C$24=$C$2:$C$21)*(G25=$D$2:$D$21),0))</f>
        <v>76696000000</v>
      </c>
      <c r="H29" s="30" cm="1">
        <f t="array" ref="H29">INDEX($H$2:$H$21,MATCH(1,($C$24=$C$2:$C$21)*(H25=$D$2:$D$21),0))</f>
        <v>74226000000</v>
      </c>
      <c r="I29" s="30" cm="1">
        <f t="array" ref="I29">INDEX($H$2:$H$21,MATCH(1,($C$24=$C$2:$C$21)*(I25=$D$2:$D$21),0))</f>
        <v>61444000000</v>
      </c>
      <c r="J29" s="31">
        <f>J26*J39</f>
        <v>73186132282.019058</v>
      </c>
      <c r="K29" s="31">
        <f>K26*K39</f>
        <v>61646394110.493011</v>
      </c>
    </row>
    <row r="30" spans="1:14">
      <c r="A30" t="s">
        <v>602</v>
      </c>
      <c r="B30" s="4" t="s">
        <v>567</v>
      </c>
      <c r="C30" s="8" t="s">
        <v>603</v>
      </c>
      <c r="F30" s="30" cm="1">
        <f t="array" ref="F30">INDEX($I$2:$I$21,MATCH(1,($C$24=$C$2:$C$21)*(F25=$D$2:$D$21),0))</f>
        <v>0</v>
      </c>
      <c r="G30" s="30" cm="1">
        <f t="array" ref="G30">INDEX($I$2:$I$21,MATCH(1,($C$24=$C$2:$C$21)*(G25=$D$2:$D$21),0))</f>
        <v>0</v>
      </c>
      <c r="H30" s="30" cm="1">
        <f t="array" ref="H30">INDEX($I$2:$I$21,MATCH(1,($C$24=$C$2:$C$21)*(H25=$D$2:$D$21),0))</f>
        <v>0</v>
      </c>
      <c r="I30" s="30" cm="1">
        <f t="array" ref="I30">INDEX($I$2:$I$21,MATCH(1,($C$24=$C$2:$C$21)*(I25=$D$2:$D$21),0))</f>
        <v>0</v>
      </c>
      <c r="J30" s="32"/>
      <c r="K30" s="32"/>
    </row>
    <row r="31" spans="1:14">
      <c r="C31" s="8" t="s">
        <v>604</v>
      </c>
      <c r="F31" s="30" cm="1">
        <f t="array" ref="F31">INDEX($J$2:$J$21,MATCH(1,($C$24=$C$2:$C$21)*(F25=$D$2:$D$21),0))</f>
        <v>15888000000</v>
      </c>
      <c r="G31" s="30" cm="1">
        <f t="array" ref="G31">INDEX($J$2:$J$21,MATCH(1,($C$24=$C$2:$C$21)*(G25=$D$2:$D$21),0))</f>
        <v>17182000000</v>
      </c>
      <c r="H31" s="30" cm="1">
        <f t="array" ref="H31">INDEX($J$2:$J$21,MATCH(1,($C$24=$C$2:$C$21)*(H25=$D$2:$D$21),0))</f>
        <v>17297000000</v>
      </c>
      <c r="I31" s="30" cm="1">
        <f t="array" ref="I31">INDEX($J$2:$J$21,MATCH(1,($C$24=$C$2:$C$21)*(I25=$D$2:$D$21),0))</f>
        <v>18048000000</v>
      </c>
      <c r="J31" s="32"/>
      <c r="K31" s="32"/>
    </row>
    <row r="32" spans="1:14">
      <c r="C32" s="9" t="s">
        <v>605</v>
      </c>
      <c r="F32" s="31">
        <f>F29+F30+F31</f>
        <v>97732000000</v>
      </c>
      <c r="G32" s="31">
        <f t="shared" ref="G32:I32" si="3">G29+G30+G31</f>
        <v>93878000000</v>
      </c>
      <c r="H32" s="31">
        <f t="shared" si="3"/>
        <v>91523000000</v>
      </c>
      <c r="I32" s="31">
        <f t="shared" si="3"/>
        <v>79492000000</v>
      </c>
      <c r="J32" s="32"/>
      <c r="K32" s="32"/>
    </row>
    <row r="33" spans="2:11">
      <c r="C33" s="33" t="s">
        <v>606</v>
      </c>
      <c r="D33" s="34"/>
      <c r="E33" s="34"/>
      <c r="F33" s="35">
        <f>F28-F32</f>
        <v>51721000000</v>
      </c>
      <c r="G33" s="35">
        <f t="shared" ref="G33:I33" si="4">G28-G32</f>
        <v>42277000000</v>
      </c>
      <c r="H33" s="35">
        <f t="shared" si="4"/>
        <v>35751000000</v>
      </c>
      <c r="I33" s="35">
        <f t="shared" si="4"/>
        <v>14406000000</v>
      </c>
      <c r="J33" s="35">
        <f>J26*J40</f>
        <v>19739443282.119423</v>
      </c>
      <c r="K33" s="35">
        <f>K26*K40</f>
        <v>16626995608.978594</v>
      </c>
    </row>
    <row r="35" spans="2:11" ht="21">
      <c r="C35" s="47" t="s">
        <v>613</v>
      </c>
      <c r="D35" s="47"/>
      <c r="E35" s="47"/>
      <c r="F35" s="47"/>
      <c r="G35" s="47"/>
      <c r="H35" s="47"/>
      <c r="I35" s="47"/>
      <c r="J35" s="47"/>
      <c r="K35" s="47"/>
    </row>
    <row r="36" spans="2:11">
      <c r="F36" s="49" t="s">
        <v>609</v>
      </c>
      <c r="G36" s="49"/>
      <c r="H36" s="49"/>
      <c r="I36" s="49"/>
      <c r="J36" s="49" t="s">
        <v>610</v>
      </c>
      <c r="K36" s="49"/>
    </row>
    <row r="37" spans="2:11">
      <c r="F37" s="11" t="s">
        <v>11</v>
      </c>
      <c r="G37" s="11" t="s">
        <v>15</v>
      </c>
      <c r="H37" s="11" t="s">
        <v>16</v>
      </c>
      <c r="I37" s="11" t="s">
        <v>17</v>
      </c>
      <c r="J37" s="11" t="s">
        <v>611</v>
      </c>
      <c r="K37" s="11" t="s">
        <v>612</v>
      </c>
    </row>
    <row r="38" spans="2:11">
      <c r="C38" s="7" t="s">
        <v>614</v>
      </c>
      <c r="F38" s="11"/>
      <c r="G38" s="28">
        <f>(G26-F26)/F26</f>
        <v>-6.7934415482304888E-2</v>
      </c>
      <c r="H38" s="28">
        <f t="shared" ref="H38:I38" si="5">(H26-G26)/G26</f>
        <v>-6.3518805425391359E-2</v>
      </c>
      <c r="I38" s="28">
        <f t="shared" si="5"/>
        <v>-0.34157648342446811</v>
      </c>
      <c r="J38" s="28" cm="1">
        <f t="array" ref="J38">INDEX(J47:J49,MATCH(C42,C47:C49,0),0)</f>
        <v>-0.15767656811072145</v>
      </c>
      <c r="K38" s="28" cm="1">
        <f t="array" ref="K38">INDEX(K47:K49,MATCH(C42,C47:C49,0),0)</f>
        <v>-0.15767656811072145</v>
      </c>
    </row>
    <row r="39" spans="2:11">
      <c r="C39" s="7" t="s">
        <v>607</v>
      </c>
      <c r="F39" s="29" cm="1">
        <f t="array" ref="F39">INDEX($M$2:$M$21,MATCH(1,($C$24=$C$2:$C$21)*(F37=$D$2:$D$21),0))</f>
        <v>0.33100779829416466</v>
      </c>
      <c r="G39" s="29" cm="1">
        <f t="array" ref="G39">INDEX($M$2:$M$21,MATCH(1,($C$24=$C$2:$C$21)*(G37=$D$2:$D$21),0))</f>
        <v>0.323534583543233</v>
      </c>
      <c r="H39" s="29" cm="1">
        <f t="array" ref="H39">INDEX($M$2:$M$21,MATCH(1,($C$24=$C$2:$C$21)*(H37=$D$2:$D$21),0))</f>
        <v>0.3229443929917154</v>
      </c>
      <c r="I39" s="29" cm="1">
        <f t="array" ref="I39">INDEX($M$2:$M$21,MATCH(1,($C$24=$C$2:$C$21)*(I37=$D$2:$D$21),0))</f>
        <v>0.36185873720557404</v>
      </c>
      <c r="J39" s="29" cm="1">
        <f t="array" ref="J39">INDEX(J51:J53,MATCH(C42,C51:C53,0),0)</f>
        <v>0.33483637800867178</v>
      </c>
      <c r="K39" s="29" cm="1">
        <f t="array" ref="K39">INDEX(K51:K53,MATCH(C42,C51:C53,0),0)</f>
        <v>0.33483637800867178</v>
      </c>
    </row>
    <row r="40" spans="2:11">
      <c r="C40" s="7" t="s">
        <v>608</v>
      </c>
      <c r="F40" s="29" cm="1">
        <f t="array" ref="F40">INDEX($N$2:$N$21,MATCH(1,($C$24=$C$2:$C$21)*(F37=$D$2:$D$21),0))</f>
        <v>0.11455142643889712</v>
      </c>
      <c r="G40" s="29" cm="1">
        <f t="array" ref="G40">INDEX($N$2:$N$21,MATCH(1,($C$24=$C$2:$C$21)*(G37=$D$2:$D$21),0))</f>
        <v>0.10045956144436312</v>
      </c>
      <c r="H40" s="29" cm="1">
        <f t="array" ref="H40">INDEX($N$2:$N$21,MATCH(1,($C$24=$C$2:$C$21)*(H37=$D$2:$D$21),0))</f>
        <v>9.0714403521904061E-2</v>
      </c>
      <c r="I40" s="29" cm="1">
        <f t="array" ref="I40">INDEX($N$2:$N$21,MATCH(1,($C$24=$C$2:$C$21)*(I37=$D$2:$D$21),0))</f>
        <v>5.551701812800592E-2</v>
      </c>
      <c r="J40" s="29" cm="1">
        <f t="array" ref="J40">INDEX(J55:J57,MATCH(C42,C55:C57,0),0)</f>
        <v>9.0310602383292554E-2</v>
      </c>
      <c r="K40" s="29" cm="1">
        <f t="array" ref="K40">INDEX(K55:K57,MATCH(C42,C55:C57,0),0)</f>
        <v>9.0310602383292554E-2</v>
      </c>
    </row>
    <row r="41" spans="2:11">
      <c r="F41" s="11"/>
      <c r="G41" s="11"/>
      <c r="H41" s="11"/>
      <c r="I41" s="11"/>
      <c r="J41" s="11"/>
      <c r="K41" s="11"/>
    </row>
    <row r="42" spans="2:11">
      <c r="B42" t="s">
        <v>615</v>
      </c>
      <c r="C42" s="6" t="s">
        <v>616</v>
      </c>
      <c r="F42" s="11"/>
      <c r="G42" s="11"/>
      <c r="H42" s="11"/>
      <c r="I42" s="11"/>
      <c r="J42" s="11"/>
      <c r="K42" s="11"/>
    </row>
    <row r="43" spans="2:11">
      <c r="F43" s="11"/>
      <c r="G43" s="11"/>
      <c r="H43" s="11"/>
      <c r="I43" s="11"/>
      <c r="J43" s="11"/>
      <c r="K43" s="11"/>
    </row>
    <row r="44" spans="2:11" ht="21">
      <c r="C44" s="47" t="s">
        <v>617</v>
      </c>
      <c r="D44" s="47"/>
      <c r="E44" s="47"/>
      <c r="F44" s="47"/>
      <c r="G44" s="47"/>
      <c r="H44" s="47"/>
      <c r="I44" s="47"/>
      <c r="J44" s="47"/>
      <c r="K44" s="47"/>
    </row>
    <row r="45" spans="2:11">
      <c r="F45" s="11"/>
      <c r="G45" s="11"/>
      <c r="H45" s="11"/>
      <c r="I45" s="11"/>
      <c r="J45" s="11"/>
      <c r="K45" s="11"/>
    </row>
    <row r="46" spans="2:11">
      <c r="C46" s="39" t="s">
        <v>618</v>
      </c>
      <c r="D46" s="36"/>
      <c r="E46" s="36"/>
      <c r="F46" s="37"/>
      <c r="G46" s="37"/>
      <c r="H46" s="37"/>
      <c r="I46" s="37"/>
      <c r="J46" s="37" t="s">
        <v>611</v>
      </c>
      <c r="K46" s="37" t="s">
        <v>612</v>
      </c>
    </row>
    <row r="47" spans="2:11">
      <c r="C47" t="s">
        <v>619</v>
      </c>
      <c r="E47">
        <v>1</v>
      </c>
      <c r="F47" s="11"/>
      <c r="G47" s="11"/>
      <c r="H47" s="11"/>
      <c r="I47" s="11"/>
      <c r="J47" s="28">
        <f>J48+2%</f>
        <v>-0.13767656811072146</v>
      </c>
      <c r="K47" s="28">
        <f>J47</f>
        <v>-0.13767656811072146</v>
      </c>
    </row>
    <row r="48" spans="2:11">
      <c r="C48" t="s">
        <v>616</v>
      </c>
      <c r="E48">
        <v>2</v>
      </c>
      <c r="F48" s="11"/>
      <c r="G48" s="11"/>
      <c r="H48" s="11"/>
      <c r="I48" s="11"/>
      <c r="J48" s="28">
        <f>AVERAGE(G38:I38)</f>
        <v>-0.15767656811072145</v>
      </c>
      <c r="K48" s="28">
        <f>J48</f>
        <v>-0.15767656811072145</v>
      </c>
    </row>
    <row r="49" spans="3:11">
      <c r="C49" t="s">
        <v>620</v>
      </c>
      <c r="E49">
        <v>3</v>
      </c>
      <c r="F49" s="11"/>
      <c r="G49" s="11"/>
      <c r="H49" s="11"/>
      <c r="I49" s="11"/>
      <c r="J49" s="28">
        <f>J48-2%</f>
        <v>-0.17767656811072144</v>
      </c>
      <c r="K49" s="28">
        <f>J49</f>
        <v>-0.17767656811072144</v>
      </c>
    </row>
    <row r="50" spans="3:11">
      <c r="C50" s="39" t="s">
        <v>607</v>
      </c>
      <c r="D50" s="36"/>
      <c r="E50" s="36"/>
      <c r="F50" s="37"/>
      <c r="G50" s="37"/>
      <c r="H50" s="37"/>
      <c r="I50" s="37"/>
      <c r="J50" s="37"/>
      <c r="K50" s="37"/>
    </row>
    <row r="51" spans="3:11">
      <c r="C51" t="s">
        <v>619</v>
      </c>
      <c r="E51">
        <v>1</v>
      </c>
      <c r="F51" s="11"/>
      <c r="G51" s="11"/>
      <c r="H51" s="11"/>
      <c r="I51" s="11"/>
      <c r="J51" s="29">
        <f>J52+0.02</f>
        <v>0.35483637800867179</v>
      </c>
      <c r="K51" s="29">
        <f>J51</f>
        <v>0.35483637800867179</v>
      </c>
    </row>
    <row r="52" spans="3:11">
      <c r="C52" t="s">
        <v>616</v>
      </c>
      <c r="E52">
        <v>2</v>
      </c>
      <c r="F52" s="11"/>
      <c r="G52" s="11"/>
      <c r="H52" s="11"/>
      <c r="I52" s="11"/>
      <c r="J52" s="29">
        <f>AVERAGE(F39:I39)</f>
        <v>0.33483637800867178</v>
      </c>
      <c r="K52" s="29">
        <f t="shared" ref="K52:K57" si="6">J52</f>
        <v>0.33483637800867178</v>
      </c>
    </row>
    <row r="53" spans="3:11">
      <c r="C53" t="s">
        <v>620</v>
      </c>
      <c r="E53">
        <v>3</v>
      </c>
      <c r="F53" s="11"/>
      <c r="G53" s="11"/>
      <c r="H53" s="11"/>
      <c r="I53" s="11"/>
      <c r="J53" s="29">
        <f>J52-0.02</f>
        <v>0.31483637800867176</v>
      </c>
      <c r="K53" s="29">
        <f t="shared" si="6"/>
        <v>0.31483637800867176</v>
      </c>
    </row>
    <row r="54" spans="3:11">
      <c r="C54" s="39" t="s">
        <v>608</v>
      </c>
      <c r="D54" s="36"/>
      <c r="E54" s="36"/>
      <c r="F54" s="37"/>
      <c r="G54" s="37"/>
      <c r="H54" s="37"/>
      <c r="I54" s="37"/>
      <c r="J54" s="38"/>
      <c r="K54" s="38"/>
    </row>
    <row r="55" spans="3:11">
      <c r="C55" t="s">
        <v>619</v>
      </c>
      <c r="E55">
        <v>1</v>
      </c>
      <c r="F55" s="11"/>
      <c r="G55" s="11"/>
      <c r="H55" s="11"/>
      <c r="I55" s="11"/>
      <c r="J55" s="29">
        <f>J56+0.02</f>
        <v>0.11031060238329256</v>
      </c>
      <c r="K55" s="29">
        <f t="shared" si="6"/>
        <v>0.11031060238329256</v>
      </c>
    </row>
    <row r="56" spans="3:11">
      <c r="C56" t="s">
        <v>616</v>
      </c>
      <c r="E56">
        <v>2</v>
      </c>
      <c r="F56" s="11"/>
      <c r="G56" s="11"/>
      <c r="H56" s="11"/>
      <c r="I56" s="11"/>
      <c r="J56" s="29">
        <f>AVERAGE(F40:I40)</f>
        <v>9.0310602383292554E-2</v>
      </c>
      <c r="K56" s="29">
        <f t="shared" si="6"/>
        <v>9.0310602383292554E-2</v>
      </c>
    </row>
    <row r="57" spans="3:11">
      <c r="C57" t="s">
        <v>620</v>
      </c>
      <c r="E57">
        <v>3</v>
      </c>
      <c r="F57" s="11"/>
      <c r="G57" s="11"/>
      <c r="H57" s="11"/>
      <c r="I57" s="11"/>
      <c r="J57" s="29">
        <f>J56-0.02</f>
        <v>7.031060238329255E-2</v>
      </c>
      <c r="K57" s="29">
        <f t="shared" si="6"/>
        <v>7.031060238329255E-2</v>
      </c>
    </row>
  </sheetData>
  <mergeCells count="7">
    <mergeCell ref="C23:K23"/>
    <mergeCell ref="C35:K35"/>
    <mergeCell ref="C44:K44"/>
    <mergeCell ref="J24:K24"/>
    <mergeCell ref="F24:I24"/>
    <mergeCell ref="F36:I36"/>
    <mergeCell ref="J36:K36"/>
  </mergeCells>
  <dataValidations count="2">
    <dataValidation type="list" allowBlank="1" showInputMessage="1" showErrorMessage="1" sqref="C24" xr:uid="{CC719143-6937-41BE-951A-A673AF44E0F0}">
      <formula1>$B$26:$B$30</formula1>
    </dataValidation>
    <dataValidation type="list" allowBlank="1" showInputMessage="1" showErrorMessage="1" sqref="C42" xr:uid="{DA8F5EF5-9581-4BCB-9DE9-8A73824B0E64}">
      <formula1>$C$47:$C$49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 Dan</cp:lastModifiedBy>
  <cp:revision/>
  <dcterms:created xsi:type="dcterms:W3CDTF">2020-04-28T17:07:03Z</dcterms:created>
  <dcterms:modified xsi:type="dcterms:W3CDTF">2020-04-28T22:46:38Z</dcterms:modified>
  <cp:category/>
  <cp:contentStatus/>
</cp:coreProperties>
</file>