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-LAIN\Downloads\"/>
    </mc:Choice>
  </mc:AlternateContent>
  <xr:revisionPtr revIDLastSave="0" documentId="13_ncr:1_{34A3C283-7332-4DAE-8D57-F6EBE0B5463C}" xr6:coauthVersionLast="47" xr6:coauthVersionMax="47" xr10:uidLastSave="{00000000-0000-0000-0000-000000000000}"/>
  <bookViews>
    <workbookView xWindow="-120" yWindow="330" windowWidth="19440" windowHeight="15150" xr2:uid="{00000000-000D-0000-FFFF-FFFF00000000}"/>
  </bookViews>
  <sheets>
    <sheet name="Home Page" sheetId="1" r:id="rId1"/>
    <sheet name="Footing" sheetId="2" r:id="rId2"/>
    <sheet name="Wall Footing" sheetId="3" r:id="rId3"/>
    <sheet name="Column" sheetId="4" r:id="rId4"/>
    <sheet name="Beam wd Pumpcrete" sheetId="5" state="hidden" r:id="rId5"/>
    <sheet name="Beam" sheetId="6" r:id="rId6"/>
    <sheet name="Slab" sheetId="7" r:id="rId7"/>
    <sheet name="Wall" sheetId="8" r:id="rId8"/>
    <sheet name="Materials Price List" sheetId="9" r:id="rId9"/>
  </sheets>
  <definedNames>
    <definedName name="_100mm">Wall!$AK$11:$AK$14</definedName>
    <definedName name="_150mm">Wall!$AL$11:$AL$14</definedName>
    <definedName name="_200mm">Wall!$AM$11:$AM$14</definedName>
    <definedName name="A">Wall!$AK$11:$AM$11</definedName>
    <definedName name="B">Wall!$AK$12:$AM$12</definedName>
    <definedName name="C_">Wall!$AK$13:$AM$13</definedName>
    <definedName name="D">Wall!$AK$14:$AM$14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3" roundtripDataChecksum="bhNPUZcnv3y236PHN+QEOAVCFtSA0C8goBO0QVoChUw="/>
    </ext>
  </extLst>
</workbook>
</file>

<file path=xl/calcChain.xml><?xml version="1.0" encoding="utf-8"?>
<calcChain xmlns="http://schemas.openxmlformats.org/spreadsheetml/2006/main">
  <c r="B10" i="9" l="1"/>
  <c r="B9" i="9"/>
  <c r="G40" i="8"/>
  <c r="F40" i="8"/>
  <c r="H39" i="8"/>
  <c r="J39" i="8" s="1"/>
  <c r="G39" i="8"/>
  <c r="F39" i="8"/>
  <c r="G38" i="8"/>
  <c r="F38" i="8"/>
  <c r="H37" i="8"/>
  <c r="J37" i="8" s="1"/>
  <c r="G37" i="8"/>
  <c r="F37" i="8"/>
  <c r="G36" i="8"/>
  <c r="F36" i="8"/>
  <c r="H35" i="8"/>
  <c r="J35" i="8" s="1"/>
  <c r="G35" i="8"/>
  <c r="F35" i="8"/>
  <c r="G34" i="8"/>
  <c r="F34" i="8"/>
  <c r="G33" i="8"/>
  <c r="F33" i="8"/>
  <c r="G32" i="8"/>
  <c r="F32" i="8"/>
  <c r="F31" i="8"/>
  <c r="G26" i="8"/>
  <c r="G25" i="8"/>
  <c r="BF21" i="8"/>
  <c r="BG21" i="8" s="1"/>
  <c r="AD21" i="8"/>
  <c r="AE21" i="8" s="1"/>
  <c r="BU20" i="8"/>
  <c r="BS20" i="8"/>
  <c r="BR20" i="8"/>
  <c r="BT20" i="8" s="1"/>
  <c r="BI20" i="8"/>
  <c r="BH20" i="8"/>
  <c r="BG20" i="8"/>
  <c r="BF20" i="8"/>
  <c r="BE20" i="8"/>
  <c r="BB20" i="8"/>
  <c r="AW20" i="8"/>
  <c r="AU20" i="8"/>
  <c r="AS20" i="8"/>
  <c r="AQ20" i="8"/>
  <c r="AP20" i="8"/>
  <c r="AT20" i="8" s="1"/>
  <c r="AI20" i="8"/>
  <c r="AG20" i="8"/>
  <c r="AF20" i="8"/>
  <c r="AE20" i="8"/>
  <c r="AD20" i="8"/>
  <c r="AC20" i="8"/>
  <c r="AB20" i="8"/>
  <c r="AH20" i="8" s="1"/>
  <c r="AA20" i="8"/>
  <c r="Z20" i="8"/>
  <c r="H40" i="8" s="1"/>
  <c r="Y20" i="8"/>
  <c r="X20" i="8"/>
  <c r="P20" i="8"/>
  <c r="BD20" i="8" s="1"/>
  <c r="J20" i="8"/>
  <c r="BU19" i="8"/>
  <c r="BS19" i="8"/>
  <c r="BR19" i="8"/>
  <c r="BV19" i="8" s="1"/>
  <c r="BI19" i="8"/>
  <c r="BH19" i="8"/>
  <c r="BG19" i="8"/>
  <c r="BF19" i="8"/>
  <c r="BE19" i="8"/>
  <c r="BB19" i="8"/>
  <c r="AW19" i="8"/>
  <c r="AU19" i="8"/>
  <c r="AS19" i="8"/>
  <c r="AQ19" i="8"/>
  <c r="AP19" i="8"/>
  <c r="AV19" i="8" s="1"/>
  <c r="AI19" i="8"/>
  <c r="AG19" i="8"/>
  <c r="AF19" i="8"/>
  <c r="AE19" i="8"/>
  <c r="AD19" i="8"/>
  <c r="AC19" i="8"/>
  <c r="AB19" i="8"/>
  <c r="AH19" i="8" s="1"/>
  <c r="AA19" i="8"/>
  <c r="Z19" i="8"/>
  <c r="Y19" i="8"/>
  <c r="X19" i="8"/>
  <c r="P19" i="8"/>
  <c r="BD19" i="8" s="1"/>
  <c r="BK19" i="8" s="1"/>
  <c r="O19" i="8" s="1"/>
  <c r="J19" i="8"/>
  <c r="BU18" i="8"/>
  <c r="BS18" i="8"/>
  <c r="BR18" i="8"/>
  <c r="BT18" i="8" s="1"/>
  <c r="BI18" i="8"/>
  <c r="BH18" i="8"/>
  <c r="BG18" i="8"/>
  <c r="BF18" i="8"/>
  <c r="BE18" i="8"/>
  <c r="BB18" i="8"/>
  <c r="AW18" i="8"/>
  <c r="AU18" i="8"/>
  <c r="AS18" i="8"/>
  <c r="AQ18" i="8"/>
  <c r="AP18" i="8"/>
  <c r="AT18" i="8" s="1"/>
  <c r="AI18" i="8"/>
  <c r="AG18" i="8"/>
  <c r="AF18" i="8"/>
  <c r="AE18" i="8"/>
  <c r="AD18" i="8"/>
  <c r="AC18" i="8"/>
  <c r="AB18" i="8"/>
  <c r="AH18" i="8" s="1"/>
  <c r="AA18" i="8"/>
  <c r="Z18" i="8"/>
  <c r="H38" i="8" s="1"/>
  <c r="Y18" i="8"/>
  <c r="X18" i="8"/>
  <c r="P18" i="8"/>
  <c r="BD18" i="8" s="1"/>
  <c r="J18" i="8"/>
  <c r="BU17" i="8"/>
  <c r="BS17" i="8"/>
  <c r="BR17" i="8"/>
  <c r="BV17" i="8" s="1"/>
  <c r="BI17" i="8"/>
  <c r="BH17" i="8"/>
  <c r="BG17" i="8"/>
  <c r="BF17" i="8"/>
  <c r="BE17" i="8"/>
  <c r="BB17" i="8"/>
  <c r="AW17" i="8"/>
  <c r="AU17" i="8"/>
  <c r="AS17" i="8"/>
  <c r="AQ17" i="8"/>
  <c r="AP17" i="8"/>
  <c r="AV17" i="8" s="1"/>
  <c r="AI17" i="8"/>
  <c r="AG17" i="8"/>
  <c r="AF17" i="8"/>
  <c r="AE17" i="8"/>
  <c r="AD17" i="8"/>
  <c r="AC17" i="8"/>
  <c r="AB17" i="8"/>
  <c r="AH17" i="8" s="1"/>
  <c r="AA17" i="8"/>
  <c r="Z17" i="8"/>
  <c r="Y17" i="8"/>
  <c r="X17" i="8"/>
  <c r="P17" i="8"/>
  <c r="BD17" i="8" s="1"/>
  <c r="J17" i="8"/>
  <c r="BU16" i="8"/>
  <c r="BS16" i="8"/>
  <c r="BR16" i="8"/>
  <c r="BT16" i="8" s="1"/>
  <c r="BI16" i="8"/>
  <c r="BH16" i="8"/>
  <c r="BG16" i="8"/>
  <c r="BF16" i="8"/>
  <c r="BE16" i="8"/>
  <c r="BB16" i="8"/>
  <c r="AW16" i="8"/>
  <c r="AU16" i="8"/>
  <c r="AS16" i="8"/>
  <c r="AQ16" i="8"/>
  <c r="AP16" i="8"/>
  <c r="AT16" i="8" s="1"/>
  <c r="AI16" i="8"/>
  <c r="AG16" i="8"/>
  <c r="AF16" i="8"/>
  <c r="AE16" i="8"/>
  <c r="AD16" i="8"/>
  <c r="AC16" i="8"/>
  <c r="AB16" i="8"/>
  <c r="AH16" i="8" s="1"/>
  <c r="AA16" i="8"/>
  <c r="Z16" i="8"/>
  <c r="H36" i="8" s="1"/>
  <c r="Y16" i="8"/>
  <c r="X16" i="8"/>
  <c r="P16" i="8"/>
  <c r="BD16" i="8" s="1"/>
  <c r="J16" i="8"/>
  <c r="BU15" i="8"/>
  <c r="BS15" i="8"/>
  <c r="BR15" i="8"/>
  <c r="BV15" i="8" s="1"/>
  <c r="BK15" i="8"/>
  <c r="BI15" i="8"/>
  <c r="BH15" i="8"/>
  <c r="BG15" i="8"/>
  <c r="BF15" i="8"/>
  <c r="BE15" i="8"/>
  <c r="BB15" i="8"/>
  <c r="AW15" i="8"/>
  <c r="AU15" i="8"/>
  <c r="AS15" i="8"/>
  <c r="AQ15" i="8"/>
  <c r="AP15" i="8"/>
  <c r="AV15" i="8" s="1"/>
  <c r="AI15" i="8"/>
  <c r="AG15" i="8"/>
  <c r="AF15" i="8"/>
  <c r="AE15" i="8"/>
  <c r="AD15" i="8"/>
  <c r="AC15" i="8"/>
  <c r="AB15" i="8"/>
  <c r="AH15" i="8" s="1"/>
  <c r="AA15" i="8"/>
  <c r="Z15" i="8"/>
  <c r="Y15" i="8"/>
  <c r="X15" i="8"/>
  <c r="P15" i="8"/>
  <c r="BD15" i="8" s="1"/>
  <c r="O15" i="8"/>
  <c r="J15" i="8"/>
  <c r="BV14" i="8"/>
  <c r="BR14" i="8"/>
  <c r="BI14" i="8"/>
  <c r="BH14" i="8"/>
  <c r="BG14" i="8"/>
  <c r="BF14" i="8"/>
  <c r="BE14" i="8"/>
  <c r="BB14" i="8"/>
  <c r="AZ14" i="8"/>
  <c r="AX14" i="8"/>
  <c r="AR14" i="8"/>
  <c r="AQ14" i="8"/>
  <c r="AY14" i="8" s="1"/>
  <c r="AP14" i="8"/>
  <c r="AG14" i="8"/>
  <c r="AF14" i="8"/>
  <c r="AE14" i="8"/>
  <c r="AD14" i="8"/>
  <c r="AC14" i="8"/>
  <c r="AB14" i="8"/>
  <c r="AI14" i="8" s="1"/>
  <c r="AA14" i="8"/>
  <c r="Z14" i="8"/>
  <c r="H34" i="8" s="1"/>
  <c r="Y14" i="8"/>
  <c r="X14" i="8"/>
  <c r="P14" i="8"/>
  <c r="BD14" i="8" s="1"/>
  <c r="J14" i="8"/>
  <c r="BU13" i="8"/>
  <c r="BS13" i="8"/>
  <c r="BR13" i="8"/>
  <c r="BT13" i="8" s="1"/>
  <c r="BI13" i="8"/>
  <c r="BH13" i="8"/>
  <c r="BG13" i="8"/>
  <c r="BF13" i="8"/>
  <c r="BE13" i="8"/>
  <c r="BB13" i="8"/>
  <c r="AW13" i="8"/>
  <c r="AU13" i="8"/>
  <c r="AS13" i="8"/>
  <c r="AQ13" i="8"/>
  <c r="AP13" i="8"/>
  <c r="AV13" i="8" s="1"/>
  <c r="AI13" i="8"/>
  <c r="AG13" i="8"/>
  <c r="AF13" i="8"/>
  <c r="AE13" i="8"/>
  <c r="AD13" i="8"/>
  <c r="AC13" i="8"/>
  <c r="AB13" i="8"/>
  <c r="AH13" i="8" s="1"/>
  <c r="AA13" i="8"/>
  <c r="Z13" i="8"/>
  <c r="H33" i="8" s="1"/>
  <c r="Y13" i="8"/>
  <c r="Y21" i="8" s="1"/>
  <c r="X13" i="8"/>
  <c r="P13" i="8"/>
  <c r="BD13" i="8" s="1"/>
  <c r="BJ13" i="8" s="1"/>
  <c r="J13" i="8"/>
  <c r="BT12" i="8"/>
  <c r="BR12" i="8"/>
  <c r="BI12" i="8"/>
  <c r="BH12" i="8"/>
  <c r="BG12" i="8"/>
  <c r="BF12" i="8"/>
  <c r="BE12" i="8"/>
  <c r="BD12" i="8"/>
  <c r="BK12" i="8" s="1"/>
  <c r="BB12" i="8"/>
  <c r="AZ12" i="8"/>
  <c r="AX12" i="8"/>
  <c r="AR12" i="8"/>
  <c r="AQ12" i="8"/>
  <c r="AY12" i="8" s="1"/>
  <c r="AP12" i="8"/>
  <c r="AT12" i="8" s="1"/>
  <c r="AH12" i="8"/>
  <c r="AG12" i="8"/>
  <c r="AF12" i="8"/>
  <c r="AE12" i="8"/>
  <c r="AD12" i="8"/>
  <c r="AC12" i="8"/>
  <c r="AB12" i="8"/>
  <c r="AI12" i="8" s="1"/>
  <c r="AA12" i="8"/>
  <c r="Z12" i="8"/>
  <c r="H32" i="8" s="1"/>
  <c r="X12" i="8"/>
  <c r="T12" i="8"/>
  <c r="T13" i="8" s="1"/>
  <c r="T14" i="8" s="1"/>
  <c r="T15" i="8" s="1"/>
  <c r="P12" i="8"/>
  <c r="O12" i="8"/>
  <c r="J12" i="8"/>
  <c r="BR11" i="8"/>
  <c r="BD11" i="8"/>
  <c r="BJ11" i="8" s="1"/>
  <c r="BB11" i="8"/>
  <c r="AZ11" i="8"/>
  <c r="AX11" i="8"/>
  <c r="AR11" i="8"/>
  <c r="AQ11" i="8"/>
  <c r="AY11" i="8" s="1"/>
  <c r="AP11" i="8"/>
  <c r="AD11" i="8"/>
  <c r="AB11" i="8"/>
  <c r="P11" i="8"/>
  <c r="J11" i="8"/>
  <c r="Z11" i="8" s="1"/>
  <c r="H31" i="8" s="1"/>
  <c r="T10" i="8"/>
  <c r="J64" i="7"/>
  <c r="H52" i="7"/>
  <c r="G52" i="7"/>
  <c r="J51" i="7"/>
  <c r="G51" i="7"/>
  <c r="F51" i="7"/>
  <c r="F52" i="7" s="1"/>
  <c r="K50" i="7"/>
  <c r="G50" i="7"/>
  <c r="F50" i="7"/>
  <c r="I49" i="7"/>
  <c r="H49" i="7"/>
  <c r="G49" i="7"/>
  <c r="F49" i="7"/>
  <c r="K48" i="7"/>
  <c r="G48" i="7"/>
  <c r="F48" i="7"/>
  <c r="G47" i="7"/>
  <c r="F47" i="7"/>
  <c r="G46" i="7"/>
  <c r="F46" i="7"/>
  <c r="G45" i="7"/>
  <c r="F45" i="7"/>
  <c r="K44" i="7"/>
  <c r="G44" i="7"/>
  <c r="F44" i="7"/>
  <c r="G43" i="7"/>
  <c r="F43" i="7"/>
  <c r="K42" i="7"/>
  <c r="G42" i="7"/>
  <c r="F42" i="7"/>
  <c r="I41" i="7"/>
  <c r="H41" i="7"/>
  <c r="G41" i="7"/>
  <c r="F41" i="7"/>
  <c r="K40" i="7"/>
  <c r="G40" i="7"/>
  <c r="F40" i="7"/>
  <c r="G39" i="7"/>
  <c r="F39" i="7"/>
  <c r="K38" i="7"/>
  <c r="G38" i="7"/>
  <c r="F38" i="7"/>
  <c r="I37" i="7"/>
  <c r="H37" i="7"/>
  <c r="G37" i="7"/>
  <c r="F37" i="7"/>
  <c r="F36" i="7"/>
  <c r="F35" i="7"/>
  <c r="F34" i="7"/>
  <c r="F33" i="7"/>
  <c r="G32" i="7"/>
  <c r="G31" i="7"/>
  <c r="G30" i="7"/>
  <c r="G29" i="7"/>
  <c r="G27" i="7"/>
  <c r="G26" i="7"/>
  <c r="G25" i="7"/>
  <c r="AL22" i="7"/>
  <c r="AU21" i="7"/>
  <c r="AT21" i="7"/>
  <c r="AS21" i="7"/>
  <c r="AM21" i="7"/>
  <c r="AD21" i="7"/>
  <c r="BG20" i="7"/>
  <c r="BE20" i="7"/>
  <c r="BF20" i="7" s="1"/>
  <c r="AW20" i="7"/>
  <c r="AV20" i="7"/>
  <c r="AU20" i="7"/>
  <c r="AT20" i="7"/>
  <c r="AS20" i="7"/>
  <c r="AR20" i="7"/>
  <c r="AQ20" i="7"/>
  <c r="AX20" i="7" s="1"/>
  <c r="AO20" i="7"/>
  <c r="AN20" i="7"/>
  <c r="AM20" i="7"/>
  <c r="AL20" i="7"/>
  <c r="AG20" i="7"/>
  <c r="AF20" i="7"/>
  <c r="AE20" i="7"/>
  <c r="AD20" i="7"/>
  <c r="AC20" i="7"/>
  <c r="AA20" i="7"/>
  <c r="Z20" i="7"/>
  <c r="H51" i="7" s="1"/>
  <c r="K51" i="7" s="1"/>
  <c r="Y20" i="7"/>
  <c r="X20" i="7"/>
  <c r="P20" i="7"/>
  <c r="O20" i="7"/>
  <c r="K20" i="7"/>
  <c r="AB20" i="7" s="1"/>
  <c r="BH19" i="7"/>
  <c r="BG19" i="7"/>
  <c r="BF19" i="7"/>
  <c r="BE19" i="7"/>
  <c r="BI19" i="7" s="1"/>
  <c r="AX19" i="7"/>
  <c r="O19" i="7" s="1"/>
  <c r="AV19" i="7"/>
  <c r="AU19" i="7"/>
  <c r="AT19" i="7"/>
  <c r="AS19" i="7"/>
  <c r="AR19" i="7"/>
  <c r="AO19" i="7"/>
  <c r="AM19" i="7"/>
  <c r="AN19" i="7" s="1"/>
  <c r="AL19" i="7"/>
  <c r="AG19" i="7"/>
  <c r="AF19" i="7"/>
  <c r="AE19" i="7"/>
  <c r="AD19" i="7"/>
  <c r="AC19" i="7"/>
  <c r="AB19" i="7"/>
  <c r="AA19" i="7"/>
  <c r="H50" i="7" s="1"/>
  <c r="I50" i="7" s="1"/>
  <c r="Z19" i="7"/>
  <c r="Y19" i="7"/>
  <c r="X19" i="7"/>
  <c r="P19" i="7"/>
  <c r="AQ19" i="7" s="1"/>
  <c r="K19" i="7"/>
  <c r="BI18" i="7"/>
  <c r="BG18" i="7"/>
  <c r="BE18" i="7"/>
  <c r="BH18" i="7" s="1"/>
  <c r="AV18" i="7"/>
  <c r="AU18" i="7"/>
  <c r="AT18" i="7"/>
  <c r="AS18" i="7"/>
  <c r="AR18" i="7"/>
  <c r="AQ18" i="7"/>
  <c r="AO18" i="7"/>
  <c r="AM18" i="7"/>
  <c r="AL18" i="7"/>
  <c r="AN18" i="7" s="1"/>
  <c r="AG18" i="7"/>
  <c r="AF18" i="7"/>
  <c r="AE18" i="7"/>
  <c r="AD18" i="7"/>
  <c r="AC18" i="7"/>
  <c r="AB18" i="7"/>
  <c r="AA18" i="7"/>
  <c r="H48" i="7" s="1"/>
  <c r="I48" i="7" s="1"/>
  <c r="Z18" i="7"/>
  <c r="H47" i="7" s="1"/>
  <c r="Y18" i="7"/>
  <c r="X18" i="7"/>
  <c r="P18" i="7"/>
  <c r="K18" i="7"/>
  <c r="BE17" i="7"/>
  <c r="AV17" i="7"/>
  <c r="AU17" i="7"/>
  <c r="AT17" i="7"/>
  <c r="AS17" i="7"/>
  <c r="AR17" i="7"/>
  <c r="AO17" i="7"/>
  <c r="AN17" i="7"/>
  <c r="AM17" i="7"/>
  <c r="AL17" i="7"/>
  <c r="AI17" i="7"/>
  <c r="J17" i="7" s="1"/>
  <c r="AG17" i="7"/>
  <c r="AF17" i="7"/>
  <c r="AE17" i="7"/>
  <c r="AD17" i="7"/>
  <c r="AC17" i="7"/>
  <c r="AA17" i="7"/>
  <c r="H46" i="7" s="1"/>
  <c r="K46" i="7" s="1"/>
  <c r="Z17" i="7"/>
  <c r="H45" i="7" s="1"/>
  <c r="Y17" i="7"/>
  <c r="X17" i="7"/>
  <c r="P17" i="7"/>
  <c r="AQ17" i="7" s="1"/>
  <c r="K17" i="7"/>
  <c r="AB17" i="7" s="1"/>
  <c r="AH17" i="7" s="1"/>
  <c r="BH16" i="7"/>
  <c r="BG16" i="7"/>
  <c r="BE16" i="7"/>
  <c r="BF16" i="7" s="1"/>
  <c r="AY16" i="7"/>
  <c r="AW16" i="7"/>
  <c r="AV16" i="7"/>
  <c r="AU16" i="7"/>
  <c r="AT16" i="7"/>
  <c r="AS16" i="7"/>
  <c r="AR16" i="7"/>
  <c r="AQ16" i="7"/>
  <c r="AX16" i="7" s="1"/>
  <c r="AO16" i="7"/>
  <c r="AN16" i="7"/>
  <c r="AM16" i="7"/>
  <c r="AL16" i="7"/>
  <c r="AG16" i="7"/>
  <c r="AF16" i="7"/>
  <c r="AE16" i="7"/>
  <c r="AD16" i="7"/>
  <c r="AC16" i="7"/>
  <c r="AA16" i="7"/>
  <c r="H44" i="7" s="1"/>
  <c r="I44" i="7" s="1"/>
  <c r="Z16" i="7"/>
  <c r="H43" i="7" s="1"/>
  <c r="I43" i="7" s="1"/>
  <c r="Y16" i="7"/>
  <c r="X16" i="7"/>
  <c r="P16" i="7"/>
  <c r="O16" i="7"/>
  <c r="K16" i="7"/>
  <c r="AB16" i="7" s="1"/>
  <c r="AI16" i="7" s="1"/>
  <c r="J16" i="7" s="1"/>
  <c r="BH15" i="7"/>
  <c r="BG15" i="7"/>
  <c r="BF15" i="7"/>
  <c r="BE15" i="7"/>
  <c r="BI15" i="7" s="1"/>
  <c r="AY15" i="7"/>
  <c r="AV15" i="7"/>
  <c r="AU15" i="7"/>
  <c r="AT15" i="7"/>
  <c r="AS15" i="7"/>
  <c r="AR15" i="7"/>
  <c r="AO15" i="7"/>
  <c r="AM15" i="7"/>
  <c r="AN15" i="7" s="1"/>
  <c r="AL15" i="7"/>
  <c r="AG15" i="7"/>
  <c r="AF15" i="7"/>
  <c r="AE15" i="7"/>
  <c r="AD15" i="7"/>
  <c r="AC15" i="7"/>
  <c r="AB15" i="7"/>
  <c r="AH15" i="7" s="1"/>
  <c r="AA15" i="7"/>
  <c r="H42" i="7" s="1"/>
  <c r="I42" i="7" s="1"/>
  <c r="Z15" i="7"/>
  <c r="Y15" i="7"/>
  <c r="X15" i="7"/>
  <c r="P15" i="7"/>
  <c r="AQ15" i="7" s="1"/>
  <c r="K15" i="7"/>
  <c r="BE14" i="7"/>
  <c r="BE21" i="7" s="1"/>
  <c r="H57" i="7" s="1"/>
  <c r="H58" i="7" s="1"/>
  <c r="K60" i="7" s="1"/>
  <c r="AV14" i="7"/>
  <c r="AU14" i="7"/>
  <c r="AT14" i="7"/>
  <c r="AS14" i="7"/>
  <c r="AR14" i="7"/>
  <c r="AQ14" i="7"/>
  <c r="AZ14" i="7" s="1"/>
  <c r="AO14" i="7"/>
  <c r="AM14" i="7"/>
  <c r="AL14" i="7"/>
  <c r="AN14" i="7" s="1"/>
  <c r="AG14" i="7"/>
  <c r="AF14" i="7"/>
  <c r="AE14" i="7"/>
  <c r="AD14" i="7"/>
  <c r="AC14" i="7"/>
  <c r="AB14" i="7"/>
  <c r="AH14" i="7" s="1"/>
  <c r="AA14" i="7"/>
  <c r="H40" i="7" s="1"/>
  <c r="I40" i="7" s="1"/>
  <c r="Z14" i="7"/>
  <c r="H39" i="7" s="1"/>
  <c r="I39" i="7" s="1"/>
  <c r="Y14" i="7"/>
  <c r="X14" i="7"/>
  <c r="P14" i="7"/>
  <c r="K14" i="7"/>
  <c r="BF13" i="7"/>
  <c r="BE13" i="7"/>
  <c r="BG13" i="7" s="1"/>
  <c r="AV13" i="7"/>
  <c r="AU13" i="7"/>
  <c r="AT13" i="7"/>
  <c r="AS13" i="7"/>
  <c r="AR13" i="7"/>
  <c r="AQ13" i="7"/>
  <c r="AO13" i="7"/>
  <c r="AM13" i="7"/>
  <c r="AN13" i="7" s="1"/>
  <c r="AL13" i="7"/>
  <c r="AI13" i="7"/>
  <c r="J13" i="7" s="1"/>
  <c r="AG13" i="7"/>
  <c r="AF13" i="7"/>
  <c r="AE13" i="7"/>
  <c r="AD13" i="7"/>
  <c r="AC13" i="7"/>
  <c r="AA13" i="7"/>
  <c r="H38" i="7" s="1"/>
  <c r="I38" i="7" s="1"/>
  <c r="Z13" i="7"/>
  <c r="Y13" i="7"/>
  <c r="X13" i="7"/>
  <c r="P13" i="7"/>
  <c r="K13" i="7"/>
  <c r="AB13" i="7" s="1"/>
  <c r="AH13" i="7" s="1"/>
  <c r="BH12" i="7"/>
  <c r="BG12" i="7"/>
  <c r="BF12" i="7"/>
  <c r="BE12" i="7"/>
  <c r="BI12" i="7" s="1"/>
  <c r="AS12" i="7"/>
  <c r="AO12" i="7"/>
  <c r="AM12" i="7"/>
  <c r="AN12" i="7" s="1"/>
  <c r="AL12" i="7"/>
  <c r="P12" i="7"/>
  <c r="AQ12" i="7" s="1"/>
  <c r="K12" i="7"/>
  <c r="AB12" i="7" s="1"/>
  <c r="BI11" i="7"/>
  <c r="BH11" i="7"/>
  <c r="BF11" i="7"/>
  <c r="BE11" i="7"/>
  <c r="BG11" i="7" s="1"/>
  <c r="AO11" i="7"/>
  <c r="AM11" i="7"/>
  <c r="AN11" i="7" s="1"/>
  <c r="AN21" i="7" s="1"/>
  <c r="AL11" i="7"/>
  <c r="AL21" i="7" s="1"/>
  <c r="T11" i="7"/>
  <c r="T12" i="7" s="1"/>
  <c r="T13" i="7" s="1"/>
  <c r="P11" i="7"/>
  <c r="AQ11" i="7" s="1"/>
  <c r="K11" i="7"/>
  <c r="AB11" i="7" s="1"/>
  <c r="T10" i="7"/>
  <c r="J64" i="6"/>
  <c r="J52" i="6"/>
  <c r="G52" i="6"/>
  <c r="F52" i="6"/>
  <c r="G51" i="6"/>
  <c r="F51" i="6"/>
  <c r="G50" i="6"/>
  <c r="F50" i="6"/>
  <c r="H49" i="6"/>
  <c r="G49" i="6"/>
  <c r="F49" i="6"/>
  <c r="J48" i="6"/>
  <c r="G48" i="6"/>
  <c r="F48" i="6"/>
  <c r="G47" i="6"/>
  <c r="F47" i="6"/>
  <c r="G46" i="6"/>
  <c r="F46" i="6"/>
  <c r="H45" i="6"/>
  <c r="G45" i="6"/>
  <c r="F45" i="6"/>
  <c r="J44" i="6"/>
  <c r="G44" i="6"/>
  <c r="F44" i="6"/>
  <c r="G43" i="6"/>
  <c r="F43" i="6"/>
  <c r="G42" i="6"/>
  <c r="F42" i="6"/>
  <c r="H41" i="6"/>
  <c r="G41" i="6"/>
  <c r="F41" i="6"/>
  <c r="J40" i="6"/>
  <c r="G40" i="6"/>
  <c r="F40" i="6"/>
  <c r="G39" i="6"/>
  <c r="F39" i="6"/>
  <c r="F38" i="6"/>
  <c r="F37" i="6"/>
  <c r="G36" i="6"/>
  <c r="F36" i="6"/>
  <c r="H35" i="6"/>
  <c r="G35" i="6"/>
  <c r="F35" i="6"/>
  <c r="J34" i="6"/>
  <c r="G34" i="6"/>
  <c r="F34" i="6"/>
  <c r="G33" i="6"/>
  <c r="F33" i="6"/>
  <c r="G32" i="6"/>
  <c r="G31" i="6"/>
  <c r="G30" i="6"/>
  <c r="G29" i="6"/>
  <c r="G28" i="6"/>
  <c r="G26" i="6"/>
  <c r="G25" i="6"/>
  <c r="G24" i="6"/>
  <c r="AM21" i="6"/>
  <c r="AU20" i="6"/>
  <c r="AV20" i="6" s="1"/>
  <c r="AT20" i="6"/>
  <c r="AE20" i="6"/>
  <c r="AF20" i="6" s="1"/>
  <c r="AG20" i="6" s="1"/>
  <c r="BK19" i="6"/>
  <c r="BI19" i="6"/>
  <c r="BG19" i="6"/>
  <c r="BF19" i="6"/>
  <c r="BH19" i="6" s="1"/>
  <c r="AW19" i="6"/>
  <c r="AV19" i="6"/>
  <c r="AU19" i="6"/>
  <c r="AT19" i="6"/>
  <c r="AS19" i="6"/>
  <c r="AP19" i="6"/>
  <c r="AO19" i="6"/>
  <c r="AN19" i="6"/>
  <c r="AM19" i="6"/>
  <c r="AJ19" i="6"/>
  <c r="AI19" i="6"/>
  <c r="AH19" i="6"/>
  <c r="AG19" i="6"/>
  <c r="AF19" i="6"/>
  <c r="AE19" i="6"/>
  <c r="AD19" i="6"/>
  <c r="AC19" i="6"/>
  <c r="AB19" i="6"/>
  <c r="H52" i="6" s="1"/>
  <c r="AA19" i="6"/>
  <c r="H51" i="6" s="1"/>
  <c r="Z19" i="6"/>
  <c r="Y19" i="6"/>
  <c r="U19" i="6"/>
  <c r="V19" i="6" s="1"/>
  <c r="P19" i="6"/>
  <c r="AR19" i="6" s="1"/>
  <c r="AX19" i="6" s="1"/>
  <c r="J19" i="6"/>
  <c r="BH18" i="6"/>
  <c r="BL18" i="6" s="1"/>
  <c r="BG18" i="6"/>
  <c r="BF18" i="6"/>
  <c r="AZ18" i="6"/>
  <c r="AY18" i="6"/>
  <c r="AW18" i="6"/>
  <c r="AV18" i="6"/>
  <c r="AU18" i="6"/>
  <c r="AT18" i="6"/>
  <c r="AS18" i="6"/>
  <c r="AR18" i="6"/>
  <c r="AP18" i="6"/>
  <c r="AN18" i="6"/>
  <c r="AO18" i="6" s="1"/>
  <c r="AM18" i="6"/>
  <c r="AH18" i="6"/>
  <c r="AG18" i="6"/>
  <c r="AF18" i="6"/>
  <c r="AE18" i="6"/>
  <c r="AD18" i="6"/>
  <c r="AC18" i="6"/>
  <c r="AI18" i="6" s="1"/>
  <c r="AB18" i="6"/>
  <c r="H50" i="6" s="1"/>
  <c r="AA18" i="6"/>
  <c r="Z18" i="6"/>
  <c r="Y18" i="6"/>
  <c r="V18" i="6"/>
  <c r="U18" i="6"/>
  <c r="P18" i="6"/>
  <c r="O18" i="6"/>
  <c r="J18" i="6"/>
  <c r="BG17" i="6"/>
  <c r="BF17" i="6"/>
  <c r="BH17" i="6" s="1"/>
  <c r="BJ17" i="6" s="1"/>
  <c r="AX17" i="6"/>
  <c r="AW17" i="6"/>
  <c r="AV17" i="6"/>
  <c r="AU17" i="6"/>
  <c r="AT17" i="6"/>
  <c r="AS17" i="6"/>
  <c r="AP17" i="6"/>
  <c r="AN17" i="6"/>
  <c r="AO17" i="6" s="1"/>
  <c r="AM17" i="6"/>
  <c r="AJ17" i="6"/>
  <c r="AI17" i="6"/>
  <c r="AH17" i="6"/>
  <c r="AG17" i="6"/>
  <c r="AF17" i="6"/>
  <c r="AE17" i="6"/>
  <c r="AD17" i="6"/>
  <c r="AC17" i="6"/>
  <c r="AB17" i="6"/>
  <c r="H48" i="6" s="1"/>
  <c r="AA17" i="6"/>
  <c r="H47" i="6" s="1"/>
  <c r="Z17" i="6"/>
  <c r="Y17" i="6"/>
  <c r="U17" i="6"/>
  <c r="V17" i="6" s="1"/>
  <c r="P17" i="6"/>
  <c r="AR17" i="6" s="1"/>
  <c r="J17" i="6"/>
  <c r="BL16" i="6"/>
  <c r="BK16" i="6"/>
  <c r="BH16" i="6"/>
  <c r="BG16" i="6"/>
  <c r="BF16" i="6"/>
  <c r="AW16" i="6"/>
  <c r="AV16" i="6"/>
  <c r="AU16" i="6"/>
  <c r="AT16" i="6"/>
  <c r="AS16" i="6"/>
  <c r="AR16" i="6"/>
  <c r="AZ16" i="6" s="1"/>
  <c r="AP16" i="6"/>
  <c r="AN16" i="6"/>
  <c r="AM16" i="6"/>
  <c r="AJ16" i="6"/>
  <c r="AH16" i="6"/>
  <c r="AG16" i="6"/>
  <c r="AF16" i="6"/>
  <c r="AE16" i="6"/>
  <c r="AD16" i="6"/>
  <c r="AC16" i="6"/>
  <c r="AI16" i="6" s="1"/>
  <c r="AB16" i="6"/>
  <c r="H46" i="6" s="1"/>
  <c r="AA16" i="6"/>
  <c r="Z16" i="6"/>
  <c r="Y16" i="6"/>
  <c r="V16" i="6"/>
  <c r="U16" i="6"/>
  <c r="P16" i="6"/>
  <c r="J16" i="6"/>
  <c r="BJ15" i="6"/>
  <c r="BI15" i="6"/>
  <c r="BG15" i="6"/>
  <c r="BF15" i="6"/>
  <c r="BH15" i="6" s="1"/>
  <c r="AW15" i="6"/>
  <c r="AV15" i="6"/>
  <c r="AU15" i="6"/>
  <c r="AT15" i="6"/>
  <c r="AS15" i="6"/>
  <c r="AP15" i="6"/>
  <c r="AO15" i="6"/>
  <c r="AN15" i="6"/>
  <c r="AM15" i="6"/>
  <c r="AJ15" i="6"/>
  <c r="AI15" i="6"/>
  <c r="AH15" i="6"/>
  <c r="AG15" i="6"/>
  <c r="AF15" i="6"/>
  <c r="AE15" i="6"/>
  <c r="AD15" i="6"/>
  <c r="AC15" i="6"/>
  <c r="AB15" i="6"/>
  <c r="H44" i="6" s="1"/>
  <c r="AA15" i="6"/>
  <c r="H43" i="6" s="1"/>
  <c r="Z15" i="6"/>
  <c r="Y15" i="6"/>
  <c r="U15" i="6"/>
  <c r="V15" i="6" s="1"/>
  <c r="P15" i="6"/>
  <c r="AR15" i="6" s="1"/>
  <c r="AX15" i="6" s="1"/>
  <c r="J15" i="6"/>
  <c r="BH14" i="6"/>
  <c r="BL14" i="6" s="1"/>
  <c r="BG14" i="6"/>
  <c r="BF14" i="6"/>
  <c r="AZ14" i="6"/>
  <c r="AY14" i="6"/>
  <c r="AW14" i="6"/>
  <c r="AV14" i="6"/>
  <c r="AU14" i="6"/>
  <c r="AT14" i="6"/>
  <c r="AS14" i="6"/>
  <c r="AR14" i="6"/>
  <c r="AP14" i="6"/>
  <c r="AN14" i="6"/>
  <c r="AO14" i="6" s="1"/>
  <c r="AM14" i="6"/>
  <c r="AH14" i="6"/>
  <c r="AG14" i="6"/>
  <c r="AF14" i="6"/>
  <c r="AE14" i="6"/>
  <c r="AD14" i="6"/>
  <c r="AC14" i="6"/>
  <c r="AI14" i="6" s="1"/>
  <c r="AB14" i="6"/>
  <c r="H42" i="6" s="1"/>
  <c r="AA14" i="6"/>
  <c r="Z14" i="6"/>
  <c r="Y14" i="6"/>
  <c r="V14" i="6"/>
  <c r="U14" i="6"/>
  <c r="P14" i="6"/>
  <c r="O14" i="6"/>
  <c r="J14" i="6"/>
  <c r="BG13" i="6"/>
  <c r="BF13" i="6"/>
  <c r="BH13" i="6" s="1"/>
  <c r="BJ13" i="6" s="1"/>
  <c r="AW13" i="6"/>
  <c r="AV13" i="6"/>
  <c r="AU13" i="6"/>
  <c r="AT13" i="6"/>
  <c r="AS13" i="6"/>
  <c r="AP13" i="6"/>
  <c r="AN13" i="6"/>
  <c r="AO13" i="6" s="1"/>
  <c r="AM13" i="6"/>
  <c r="AJ13" i="6"/>
  <c r="AI13" i="6"/>
  <c r="AH13" i="6"/>
  <c r="AG13" i="6"/>
  <c r="AF13" i="6"/>
  <c r="AE13" i="6"/>
  <c r="AD13" i="6"/>
  <c r="AC13" i="6"/>
  <c r="AB13" i="6"/>
  <c r="H40" i="6" s="1"/>
  <c r="AA13" i="6"/>
  <c r="H39" i="6" s="1"/>
  <c r="Z13" i="6"/>
  <c r="Y13" i="6"/>
  <c r="U13" i="6"/>
  <c r="V13" i="6" s="1"/>
  <c r="P13" i="6"/>
  <c r="AR13" i="6" s="1"/>
  <c r="BA13" i="6" s="1"/>
  <c r="J13" i="6"/>
  <c r="BL12" i="6"/>
  <c r="BH12" i="6"/>
  <c r="BI12" i="6" s="1"/>
  <c r="BG12" i="6"/>
  <c r="BF12" i="6"/>
  <c r="AP12" i="6"/>
  <c r="AO12" i="6"/>
  <c r="AN12" i="6"/>
  <c r="AM12" i="6"/>
  <c r="AF12" i="6"/>
  <c r="AE12" i="6"/>
  <c r="AC12" i="6"/>
  <c r="AD12" i="6" s="1"/>
  <c r="AA12" i="6"/>
  <c r="Y12" i="6" s="1"/>
  <c r="V12" i="6"/>
  <c r="U12" i="6"/>
  <c r="P12" i="6"/>
  <c r="AR12" i="6" s="1"/>
  <c r="J12" i="6"/>
  <c r="G37" i="6" s="1"/>
  <c r="BG11" i="6"/>
  <c r="BF11" i="6"/>
  <c r="BH11" i="6" s="1"/>
  <c r="AW11" i="6"/>
  <c r="AV11" i="6"/>
  <c r="AU11" i="6"/>
  <c r="AT11" i="6"/>
  <c r="AS11" i="6"/>
  <c r="AR11" i="6"/>
  <c r="AX11" i="6" s="1"/>
  <c r="AP11" i="6"/>
  <c r="AN11" i="6"/>
  <c r="AM11" i="6"/>
  <c r="AJ11" i="6"/>
  <c r="AH11" i="6"/>
  <c r="AG11" i="6"/>
  <c r="AF11" i="6"/>
  <c r="AE11" i="6"/>
  <c r="AD11" i="6"/>
  <c r="AC11" i="6"/>
  <c r="AI11" i="6" s="1"/>
  <c r="AB11" i="6"/>
  <c r="H36" i="6" s="1"/>
  <c r="AA11" i="6"/>
  <c r="Z11" i="6"/>
  <c r="Y11" i="6"/>
  <c r="V11" i="6"/>
  <c r="U11" i="6"/>
  <c r="T11" i="6"/>
  <c r="P11" i="6"/>
  <c r="J11" i="6"/>
  <c r="BK10" i="6"/>
  <c r="BG10" i="6"/>
  <c r="BG20" i="6" s="1"/>
  <c r="H57" i="6" s="1"/>
  <c r="H58" i="6" s="1"/>
  <c r="K60" i="6" s="1"/>
  <c r="BF10" i="6"/>
  <c r="BH10" i="6" s="1"/>
  <c r="BJ10" i="6" s="1"/>
  <c r="AW10" i="6"/>
  <c r="AV10" i="6"/>
  <c r="AU10" i="6"/>
  <c r="AT10" i="6"/>
  <c r="AS10" i="6"/>
  <c r="AP10" i="6"/>
  <c r="AN10" i="6"/>
  <c r="AM10" i="6"/>
  <c r="AH10" i="6"/>
  <c r="AG10" i="6"/>
  <c r="AF10" i="6"/>
  <c r="AE10" i="6"/>
  <c r="AD10" i="6"/>
  <c r="AC10" i="6"/>
  <c r="AB10" i="6"/>
  <c r="H34" i="6" s="1"/>
  <c r="AA10" i="6"/>
  <c r="H33" i="6" s="1"/>
  <c r="Z10" i="6"/>
  <c r="Y10" i="6"/>
  <c r="Y20" i="6" s="1"/>
  <c r="U10" i="6"/>
  <c r="V10" i="6" s="1"/>
  <c r="T10" i="6"/>
  <c r="T12" i="6" s="1"/>
  <c r="T13" i="6" s="1"/>
  <c r="P10" i="6"/>
  <c r="AR10" i="6" s="1"/>
  <c r="J10" i="6"/>
  <c r="J54" i="5"/>
  <c r="G48" i="5"/>
  <c r="I47" i="5"/>
  <c r="G47" i="5"/>
  <c r="F47" i="5"/>
  <c r="F48" i="5" s="1"/>
  <c r="H46" i="5"/>
  <c r="G46" i="5"/>
  <c r="G45" i="5"/>
  <c r="F45" i="5"/>
  <c r="F46" i="5" s="1"/>
  <c r="K44" i="5"/>
  <c r="H44" i="5"/>
  <c r="G44" i="5"/>
  <c r="I43" i="5"/>
  <c r="G43" i="5"/>
  <c r="F43" i="5"/>
  <c r="F44" i="5" s="1"/>
  <c r="G42" i="5"/>
  <c r="J41" i="5"/>
  <c r="G41" i="5"/>
  <c r="F41" i="5"/>
  <c r="F42" i="5" s="1"/>
  <c r="G40" i="5"/>
  <c r="G39" i="5"/>
  <c r="F39" i="5"/>
  <c r="F40" i="5" s="1"/>
  <c r="H38" i="5"/>
  <c r="G38" i="5"/>
  <c r="G37" i="5"/>
  <c r="F37" i="5"/>
  <c r="F38" i="5" s="1"/>
  <c r="K36" i="5"/>
  <c r="H36" i="5"/>
  <c r="G36" i="5"/>
  <c r="I35" i="5"/>
  <c r="G35" i="5"/>
  <c r="F35" i="5"/>
  <c r="F36" i="5" s="1"/>
  <c r="G34" i="5"/>
  <c r="J33" i="5"/>
  <c r="G33" i="5"/>
  <c r="F33" i="5"/>
  <c r="F34" i="5" s="1"/>
  <c r="K32" i="5"/>
  <c r="G32" i="5"/>
  <c r="G31" i="5"/>
  <c r="F31" i="5"/>
  <c r="F32" i="5" s="1"/>
  <c r="F29" i="5"/>
  <c r="F30" i="5" s="1"/>
  <c r="G27" i="5"/>
  <c r="G26" i="5"/>
  <c r="G25" i="5"/>
  <c r="AL22" i="5"/>
  <c r="AU21" i="5"/>
  <c r="AS21" i="5"/>
  <c r="AT21" i="5" s="1"/>
  <c r="AT11" i="5" s="1"/>
  <c r="AF21" i="5"/>
  <c r="AE21" i="5"/>
  <c r="AD21" i="5"/>
  <c r="AV20" i="5"/>
  <c r="AU20" i="5"/>
  <c r="AT20" i="5"/>
  <c r="AS20" i="5"/>
  <c r="AR20" i="5"/>
  <c r="AQ20" i="5"/>
  <c r="AO20" i="5"/>
  <c r="AM20" i="5"/>
  <c r="AN20" i="5" s="1"/>
  <c r="AL20" i="5"/>
  <c r="AI20" i="5"/>
  <c r="J20" i="5" s="1"/>
  <c r="AG20" i="5"/>
  <c r="AF20" i="5"/>
  <c r="AE20" i="5"/>
  <c r="AD20" i="5"/>
  <c r="AC20" i="5"/>
  <c r="AB20" i="5"/>
  <c r="AH20" i="5" s="1"/>
  <c r="AA20" i="5"/>
  <c r="H48" i="5" s="1"/>
  <c r="Z20" i="5"/>
  <c r="H47" i="5" s="1"/>
  <c r="P20" i="5"/>
  <c r="K20" i="5"/>
  <c r="AV19" i="5"/>
  <c r="AU19" i="5"/>
  <c r="AT19" i="5"/>
  <c r="AS19" i="5"/>
  <c r="AR19" i="5"/>
  <c r="AO19" i="5"/>
  <c r="AM19" i="5"/>
  <c r="AL19" i="5"/>
  <c r="AG19" i="5"/>
  <c r="AF19" i="5"/>
  <c r="AE19" i="5"/>
  <c r="AD19" i="5"/>
  <c r="AC19" i="5"/>
  <c r="AB19" i="5"/>
  <c r="AA19" i="5"/>
  <c r="Z19" i="5"/>
  <c r="H45" i="5" s="1"/>
  <c r="P19" i="5"/>
  <c r="AQ19" i="5" s="1"/>
  <c r="K19" i="5"/>
  <c r="AW18" i="5"/>
  <c r="AV18" i="5"/>
  <c r="AU18" i="5"/>
  <c r="AT18" i="5"/>
  <c r="AS18" i="5"/>
  <c r="AR18" i="5"/>
  <c r="AO18" i="5"/>
  <c r="AM18" i="5"/>
  <c r="AN18" i="5" s="1"/>
  <c r="AL18" i="5"/>
  <c r="AH18" i="5"/>
  <c r="AG18" i="5"/>
  <c r="AF18" i="5"/>
  <c r="AE18" i="5"/>
  <c r="AD18" i="5"/>
  <c r="AC18" i="5"/>
  <c r="AA18" i="5"/>
  <c r="Z18" i="5"/>
  <c r="H43" i="5" s="1"/>
  <c r="K43" i="5" s="1"/>
  <c r="P18" i="5"/>
  <c r="AQ18" i="5" s="1"/>
  <c r="K18" i="5"/>
  <c r="AB18" i="5" s="1"/>
  <c r="AI18" i="5" s="1"/>
  <c r="J18" i="5" s="1"/>
  <c r="AY17" i="5"/>
  <c r="AV17" i="5"/>
  <c r="AU17" i="5"/>
  <c r="AT17" i="5"/>
  <c r="AS17" i="5"/>
  <c r="AR17" i="5"/>
  <c r="AO17" i="5"/>
  <c r="AM17" i="5"/>
  <c r="AL17" i="5"/>
  <c r="AG17" i="5"/>
  <c r="AF17" i="5"/>
  <c r="AE17" i="5"/>
  <c r="AD17" i="5"/>
  <c r="AC17" i="5"/>
  <c r="AB17" i="5"/>
  <c r="AH17" i="5" s="1"/>
  <c r="AA17" i="5"/>
  <c r="H42" i="5" s="1"/>
  <c r="Z17" i="5"/>
  <c r="H41" i="5" s="1"/>
  <c r="K41" i="5" s="1"/>
  <c r="Y17" i="5"/>
  <c r="X17" i="5"/>
  <c r="P17" i="5"/>
  <c r="AQ17" i="5" s="1"/>
  <c r="K17" i="5"/>
  <c r="AZ16" i="5"/>
  <c r="AW16" i="5"/>
  <c r="AV16" i="5"/>
  <c r="AU16" i="5"/>
  <c r="AT16" i="5"/>
  <c r="AS16" i="5"/>
  <c r="AR16" i="5"/>
  <c r="AO16" i="5"/>
  <c r="AM16" i="5"/>
  <c r="AN16" i="5" s="1"/>
  <c r="AL16" i="5"/>
  <c r="AI16" i="5"/>
  <c r="J16" i="5" s="1"/>
  <c r="AG16" i="5"/>
  <c r="AF16" i="5"/>
  <c r="AE16" i="5"/>
  <c r="AD16" i="5"/>
  <c r="AC16" i="5"/>
  <c r="AA16" i="5"/>
  <c r="H40" i="5" s="1"/>
  <c r="K40" i="5" s="1"/>
  <c r="Z16" i="5"/>
  <c r="H39" i="5" s="1"/>
  <c r="Y16" i="5"/>
  <c r="X16" i="5"/>
  <c r="P16" i="5"/>
  <c r="AQ16" i="5" s="1"/>
  <c r="K16" i="5"/>
  <c r="AB16" i="5" s="1"/>
  <c r="AH16" i="5" s="1"/>
  <c r="AV15" i="5"/>
  <c r="AU15" i="5"/>
  <c r="AT15" i="5"/>
  <c r="AS15" i="5"/>
  <c r="AR15" i="5"/>
  <c r="AQ15" i="5"/>
  <c r="AO15" i="5"/>
  <c r="AM15" i="5"/>
  <c r="AN15" i="5" s="1"/>
  <c r="AL15" i="5"/>
  <c r="AG15" i="5"/>
  <c r="AF15" i="5"/>
  <c r="AE15" i="5"/>
  <c r="AD15" i="5"/>
  <c r="AC15" i="5"/>
  <c r="AA15" i="5"/>
  <c r="Z15" i="5"/>
  <c r="H37" i="5" s="1"/>
  <c r="Y15" i="5"/>
  <c r="X15" i="5"/>
  <c r="P15" i="5"/>
  <c r="K15" i="5"/>
  <c r="AB15" i="5" s="1"/>
  <c r="AH15" i="5" s="1"/>
  <c r="AZ14" i="5"/>
  <c r="AX14" i="5"/>
  <c r="AW14" i="5"/>
  <c r="AV14" i="5"/>
  <c r="AU14" i="5"/>
  <c r="AT14" i="5"/>
  <c r="AS14" i="5"/>
  <c r="AR14" i="5"/>
  <c r="AO14" i="5"/>
  <c r="AM14" i="5"/>
  <c r="AN14" i="5" s="1"/>
  <c r="AL14" i="5"/>
  <c r="AI14" i="5"/>
  <c r="J14" i="5" s="1"/>
  <c r="AG14" i="5"/>
  <c r="AF14" i="5"/>
  <c r="AE14" i="5"/>
  <c r="AD14" i="5"/>
  <c r="AC14" i="5"/>
  <c r="AA14" i="5"/>
  <c r="Z14" i="5"/>
  <c r="H35" i="5" s="1"/>
  <c r="Y14" i="5"/>
  <c r="X14" i="5"/>
  <c r="P14" i="5"/>
  <c r="AQ14" i="5" s="1"/>
  <c r="AY14" i="5" s="1"/>
  <c r="O14" i="5"/>
  <c r="K14" i="5"/>
  <c r="AB14" i="5" s="1"/>
  <c r="AH14" i="5" s="1"/>
  <c r="AV13" i="5"/>
  <c r="AU13" i="5"/>
  <c r="AT13" i="5"/>
  <c r="AS13" i="5"/>
  <c r="AR13" i="5"/>
  <c r="AO13" i="5"/>
  <c r="AN13" i="5"/>
  <c r="AM13" i="5"/>
  <c r="AL13" i="5"/>
  <c r="AH13" i="5"/>
  <c r="AG13" i="5"/>
  <c r="AF13" i="5"/>
  <c r="AE13" i="5"/>
  <c r="AD13" i="5"/>
  <c r="AC13" i="5"/>
  <c r="AA13" i="5"/>
  <c r="H34" i="5" s="1"/>
  <c r="Z13" i="5"/>
  <c r="H33" i="5" s="1"/>
  <c r="K33" i="5" s="1"/>
  <c r="Y13" i="5"/>
  <c r="X13" i="5"/>
  <c r="P13" i="5"/>
  <c r="AQ13" i="5" s="1"/>
  <c r="AW13" i="5" s="1"/>
  <c r="K13" i="5"/>
  <c r="AB13" i="5" s="1"/>
  <c r="AI13" i="5" s="1"/>
  <c r="J13" i="5" s="1"/>
  <c r="AW12" i="5"/>
  <c r="AV12" i="5"/>
  <c r="AU12" i="5"/>
  <c r="AT12" i="5"/>
  <c r="AS12" i="5"/>
  <c r="AR12" i="5"/>
  <c r="AO12" i="5"/>
  <c r="AM12" i="5"/>
  <c r="AN12" i="5" s="1"/>
  <c r="AL12" i="5"/>
  <c r="AI12" i="5"/>
  <c r="J12" i="5" s="1"/>
  <c r="AG12" i="5"/>
  <c r="AF12" i="5"/>
  <c r="AE12" i="5"/>
  <c r="AD12" i="5"/>
  <c r="AC12" i="5"/>
  <c r="AA12" i="5"/>
  <c r="H32" i="5" s="1"/>
  <c r="Z12" i="5"/>
  <c r="H31" i="5" s="1"/>
  <c r="Y12" i="5"/>
  <c r="X12" i="5"/>
  <c r="P12" i="5"/>
  <c r="AQ12" i="5" s="1"/>
  <c r="AX12" i="5" s="1"/>
  <c r="O12" i="5"/>
  <c r="K12" i="5"/>
  <c r="AB12" i="5" s="1"/>
  <c r="AH12" i="5" s="1"/>
  <c r="AS11" i="5"/>
  <c r="AO11" i="5"/>
  <c r="AM11" i="5"/>
  <c r="AL11" i="5"/>
  <c r="T11" i="5"/>
  <c r="U11" i="5" s="1"/>
  <c r="P11" i="5"/>
  <c r="AQ11" i="5" s="1"/>
  <c r="K11" i="5"/>
  <c r="J59" i="4"/>
  <c r="J58" i="4"/>
  <c r="G53" i="4"/>
  <c r="F53" i="4"/>
  <c r="G52" i="4"/>
  <c r="F52" i="4"/>
  <c r="G51" i="4"/>
  <c r="F51" i="4"/>
  <c r="I50" i="4"/>
  <c r="H50" i="4"/>
  <c r="J50" i="4" s="1"/>
  <c r="G50" i="4"/>
  <c r="F50" i="4"/>
  <c r="G49" i="4"/>
  <c r="F49" i="4"/>
  <c r="G48" i="4"/>
  <c r="F48" i="4"/>
  <c r="G47" i="4"/>
  <c r="F47" i="4"/>
  <c r="G46" i="4"/>
  <c r="F46" i="4"/>
  <c r="G45" i="4"/>
  <c r="F45" i="4"/>
  <c r="G44" i="4"/>
  <c r="F44" i="4"/>
  <c r="G43" i="4"/>
  <c r="F43" i="4"/>
  <c r="G42" i="4"/>
  <c r="F42" i="4"/>
  <c r="G41" i="4"/>
  <c r="F41" i="4"/>
  <c r="G40" i="4"/>
  <c r="F40" i="4"/>
  <c r="K39" i="4"/>
  <c r="G39" i="4"/>
  <c r="F39" i="4"/>
  <c r="G38" i="4"/>
  <c r="F38" i="4"/>
  <c r="K37" i="4"/>
  <c r="I37" i="4"/>
  <c r="G37" i="4"/>
  <c r="F37" i="4"/>
  <c r="I36" i="4"/>
  <c r="G36" i="4"/>
  <c r="F36" i="4"/>
  <c r="F35" i="4"/>
  <c r="F34" i="4"/>
  <c r="G33" i="4"/>
  <c r="G32" i="4"/>
  <c r="G31" i="4"/>
  <c r="G30" i="4"/>
  <c r="G29" i="4"/>
  <c r="G28" i="4"/>
  <c r="G27" i="4"/>
  <c r="G26" i="4"/>
  <c r="G25" i="4"/>
  <c r="AL22" i="4"/>
  <c r="AS21" i="4"/>
  <c r="AE21" i="4"/>
  <c r="AD21" i="4"/>
  <c r="BJ20" i="4"/>
  <c r="BH20" i="4"/>
  <c r="BF20" i="4"/>
  <c r="BE20" i="4"/>
  <c r="AZ20" i="4"/>
  <c r="AX20" i="4"/>
  <c r="O20" i="4" s="1"/>
  <c r="AV20" i="4"/>
  <c r="AU20" i="4"/>
  <c r="AT20" i="4"/>
  <c r="AS20" i="4"/>
  <c r="AR20" i="4"/>
  <c r="AO20" i="4"/>
  <c r="AM20" i="4"/>
  <c r="AN20" i="4" s="1"/>
  <c r="AL20" i="4"/>
  <c r="AI20" i="4"/>
  <c r="J20" i="4" s="1"/>
  <c r="AG20" i="4"/>
  <c r="AF20" i="4"/>
  <c r="AE20" i="4"/>
  <c r="AD20" i="4"/>
  <c r="AC20" i="4"/>
  <c r="AA20" i="4"/>
  <c r="H53" i="4" s="1"/>
  <c r="Z20" i="4"/>
  <c r="H52" i="4" s="1"/>
  <c r="Y20" i="4"/>
  <c r="X20" i="4"/>
  <c r="U20" i="4"/>
  <c r="T20" i="4"/>
  <c r="P20" i="4"/>
  <c r="AQ20" i="4" s="1"/>
  <c r="K20" i="4"/>
  <c r="AB20" i="4" s="1"/>
  <c r="AH20" i="4" s="1"/>
  <c r="BJ19" i="4"/>
  <c r="BH19" i="4"/>
  <c r="BF19" i="4"/>
  <c r="BE19" i="4"/>
  <c r="AZ19" i="4"/>
  <c r="AX19" i="4"/>
  <c r="O19" i="4" s="1"/>
  <c r="AV19" i="4"/>
  <c r="AU19" i="4"/>
  <c r="AT19" i="4"/>
  <c r="AS19" i="4"/>
  <c r="AR19" i="4"/>
  <c r="AO19" i="4"/>
  <c r="AM19" i="4"/>
  <c r="AN19" i="4" s="1"/>
  <c r="AL19" i="4"/>
  <c r="AI19" i="4"/>
  <c r="J19" i="4" s="1"/>
  <c r="AG19" i="4"/>
  <c r="AF19" i="4"/>
  <c r="AE19" i="4"/>
  <c r="AD19" i="4"/>
  <c r="AC19" i="4"/>
  <c r="AA19" i="4"/>
  <c r="H51" i="4" s="1"/>
  <c r="Z19" i="4"/>
  <c r="Y19" i="4"/>
  <c r="X19" i="4"/>
  <c r="U19" i="4"/>
  <c r="T19" i="4"/>
  <c r="P19" i="4"/>
  <c r="AQ19" i="4" s="1"/>
  <c r="K19" i="4"/>
  <c r="AB19" i="4" s="1"/>
  <c r="AH19" i="4" s="1"/>
  <c r="BJ18" i="4"/>
  <c r="BH18" i="4"/>
  <c r="BF18" i="4"/>
  <c r="BE18" i="4"/>
  <c r="AZ18" i="4"/>
  <c r="AX18" i="4"/>
  <c r="O18" i="4" s="1"/>
  <c r="AV18" i="4"/>
  <c r="AU18" i="4"/>
  <c r="AT18" i="4"/>
  <c r="AS18" i="4"/>
  <c r="AR18" i="4"/>
  <c r="AO18" i="4"/>
  <c r="AM18" i="4"/>
  <c r="AN18" i="4" s="1"/>
  <c r="AL18" i="4"/>
  <c r="AI18" i="4"/>
  <c r="J18" i="4" s="1"/>
  <c r="AG18" i="4"/>
  <c r="AF18" i="4"/>
  <c r="AE18" i="4"/>
  <c r="AD18" i="4"/>
  <c r="AC18" i="4"/>
  <c r="AA18" i="4"/>
  <c r="H49" i="4" s="1"/>
  <c r="Z18" i="4"/>
  <c r="H48" i="4" s="1"/>
  <c r="Y18" i="4"/>
  <c r="X18" i="4"/>
  <c r="U18" i="4"/>
  <c r="T18" i="4"/>
  <c r="P18" i="4"/>
  <c r="AQ18" i="4" s="1"/>
  <c r="K18" i="4"/>
  <c r="AB18" i="4" s="1"/>
  <c r="AH18" i="4" s="1"/>
  <c r="BJ17" i="4"/>
  <c r="BH17" i="4"/>
  <c r="BF17" i="4"/>
  <c r="BE17" i="4"/>
  <c r="AZ17" i="4"/>
  <c r="AX17" i="4"/>
  <c r="O17" i="4" s="1"/>
  <c r="AV17" i="4"/>
  <c r="AU17" i="4"/>
  <c r="AT17" i="4"/>
  <c r="AS17" i="4"/>
  <c r="AR17" i="4"/>
  <c r="AO17" i="4"/>
  <c r="AM17" i="4"/>
  <c r="AN17" i="4" s="1"/>
  <c r="AL17" i="4"/>
  <c r="AI17" i="4"/>
  <c r="J17" i="4" s="1"/>
  <c r="AG17" i="4"/>
  <c r="AF17" i="4"/>
  <c r="AE17" i="4"/>
  <c r="AD17" i="4"/>
  <c r="AC17" i="4"/>
  <c r="AA17" i="4"/>
  <c r="H47" i="4" s="1"/>
  <c r="Z17" i="4"/>
  <c r="H46" i="4" s="1"/>
  <c r="I46" i="4" s="1"/>
  <c r="Y17" i="4"/>
  <c r="X17" i="4"/>
  <c r="U17" i="4"/>
  <c r="T17" i="4"/>
  <c r="P17" i="4"/>
  <c r="AQ17" i="4" s="1"/>
  <c r="K17" i="4"/>
  <c r="AB17" i="4" s="1"/>
  <c r="AH17" i="4" s="1"/>
  <c r="BJ16" i="4"/>
  <c r="BH16" i="4"/>
  <c r="BF16" i="4"/>
  <c r="BE16" i="4"/>
  <c r="AZ16" i="4"/>
  <c r="AX16" i="4"/>
  <c r="O16" i="4" s="1"/>
  <c r="AV16" i="4"/>
  <c r="AU16" i="4"/>
  <c r="AT16" i="4"/>
  <c r="AS16" i="4"/>
  <c r="AR16" i="4"/>
  <c r="AO16" i="4"/>
  <c r="AM16" i="4"/>
  <c r="AN16" i="4" s="1"/>
  <c r="AL16" i="4"/>
  <c r="AI16" i="4"/>
  <c r="J16" i="4" s="1"/>
  <c r="AG16" i="4"/>
  <c r="AF16" i="4"/>
  <c r="AE16" i="4"/>
  <c r="AD16" i="4"/>
  <c r="AC16" i="4"/>
  <c r="AA16" i="4"/>
  <c r="H45" i="4" s="1"/>
  <c r="J45" i="4" s="1"/>
  <c r="Z16" i="4"/>
  <c r="H44" i="4" s="1"/>
  <c r="I44" i="4" s="1"/>
  <c r="Y16" i="4"/>
  <c r="X16" i="4"/>
  <c r="U16" i="4"/>
  <c r="T16" i="4"/>
  <c r="P16" i="4"/>
  <c r="AQ16" i="4" s="1"/>
  <c r="K16" i="4"/>
  <c r="AB16" i="4" s="1"/>
  <c r="AH16" i="4" s="1"/>
  <c r="BJ15" i="4"/>
  <c r="BH15" i="4"/>
  <c r="BF15" i="4"/>
  <c r="BE15" i="4"/>
  <c r="AZ15" i="4"/>
  <c r="AX15" i="4"/>
  <c r="O15" i="4" s="1"/>
  <c r="AV15" i="4"/>
  <c r="AU15" i="4"/>
  <c r="AT15" i="4"/>
  <c r="AS15" i="4"/>
  <c r="AR15" i="4"/>
  <c r="AO15" i="4"/>
  <c r="AM15" i="4"/>
  <c r="AN15" i="4" s="1"/>
  <c r="AL15" i="4"/>
  <c r="AI15" i="4"/>
  <c r="J15" i="4" s="1"/>
  <c r="AG15" i="4"/>
  <c r="AF15" i="4"/>
  <c r="AE15" i="4"/>
  <c r="AD15" i="4"/>
  <c r="AC15" i="4"/>
  <c r="AA15" i="4"/>
  <c r="H43" i="4" s="1"/>
  <c r="Z15" i="4"/>
  <c r="H42" i="4" s="1"/>
  <c r="Y15" i="4"/>
  <c r="X15" i="4"/>
  <c r="U15" i="4"/>
  <c r="T15" i="4"/>
  <c r="P15" i="4"/>
  <c r="AQ15" i="4" s="1"/>
  <c r="K15" i="4"/>
  <c r="AB15" i="4" s="1"/>
  <c r="AH15" i="4" s="1"/>
  <c r="BJ14" i="4"/>
  <c r="BH14" i="4"/>
  <c r="BF14" i="4"/>
  <c r="BE14" i="4"/>
  <c r="AZ14" i="4"/>
  <c r="AX14" i="4"/>
  <c r="O14" i="4" s="1"/>
  <c r="AV14" i="4"/>
  <c r="AU14" i="4"/>
  <c r="AT14" i="4"/>
  <c r="AS14" i="4"/>
  <c r="AR14" i="4"/>
  <c r="AO14" i="4"/>
  <c r="AM14" i="4"/>
  <c r="AN14" i="4" s="1"/>
  <c r="AL14" i="4"/>
  <c r="AI14" i="4"/>
  <c r="J14" i="4" s="1"/>
  <c r="AG14" i="4"/>
  <c r="AF14" i="4"/>
  <c r="AE14" i="4"/>
  <c r="AD14" i="4"/>
  <c r="AC14" i="4"/>
  <c r="AA14" i="4"/>
  <c r="H41" i="4" s="1"/>
  <c r="Z14" i="4"/>
  <c r="H40" i="4" s="1"/>
  <c r="Y14" i="4"/>
  <c r="X14" i="4"/>
  <c r="U14" i="4"/>
  <c r="T14" i="4"/>
  <c r="P14" i="4"/>
  <c r="AQ14" i="4" s="1"/>
  <c r="K14" i="4"/>
  <c r="AB14" i="4" s="1"/>
  <c r="AH14" i="4" s="1"/>
  <c r="BJ13" i="4"/>
  <c r="BH13" i="4"/>
  <c r="BF13" i="4"/>
  <c r="BE13" i="4"/>
  <c r="AX13" i="4"/>
  <c r="O13" i="4" s="1"/>
  <c r="AV13" i="4"/>
  <c r="AU13" i="4"/>
  <c r="AT13" i="4"/>
  <c r="AS13" i="4"/>
  <c r="AR13" i="4"/>
  <c r="AO13" i="4"/>
  <c r="AM13" i="4"/>
  <c r="AN13" i="4" s="1"/>
  <c r="AL13" i="4"/>
  <c r="AI13" i="4"/>
  <c r="J13" i="4" s="1"/>
  <c r="AG13" i="4"/>
  <c r="AF13" i="4"/>
  <c r="AE13" i="4"/>
  <c r="AD13" i="4"/>
  <c r="AC13" i="4"/>
  <c r="AA13" i="4"/>
  <c r="H39" i="4" s="1"/>
  <c r="J39" i="4" s="1"/>
  <c r="Z13" i="4"/>
  <c r="H38" i="4" s="1"/>
  <c r="Y13" i="4"/>
  <c r="X13" i="4"/>
  <c r="U13" i="4"/>
  <c r="T13" i="4"/>
  <c r="P13" i="4"/>
  <c r="AQ13" i="4" s="1"/>
  <c r="AW13" i="4" s="1"/>
  <c r="K13" i="4"/>
  <c r="AB13" i="4" s="1"/>
  <c r="AH13" i="4" s="1"/>
  <c r="BF12" i="4"/>
  <c r="BE12" i="4"/>
  <c r="AV12" i="4"/>
  <c r="AU12" i="4"/>
  <c r="AT12" i="4"/>
  <c r="AS12" i="4"/>
  <c r="AR12" i="4"/>
  <c r="AO12" i="4"/>
  <c r="AM12" i="4"/>
  <c r="AN12" i="4" s="1"/>
  <c r="AL12" i="4"/>
  <c r="AG12" i="4"/>
  <c r="AF12" i="4"/>
  <c r="AE12" i="4"/>
  <c r="AD12" i="4"/>
  <c r="AC12" i="4"/>
  <c r="AA12" i="4"/>
  <c r="H37" i="4" s="1"/>
  <c r="J37" i="4" s="1"/>
  <c r="Z12" i="4"/>
  <c r="H36" i="4" s="1"/>
  <c r="Y12" i="4"/>
  <c r="X12" i="4"/>
  <c r="U12" i="4"/>
  <c r="T12" i="4"/>
  <c r="P12" i="4"/>
  <c r="AQ12" i="4" s="1"/>
  <c r="K12" i="4"/>
  <c r="AB12" i="4" s="1"/>
  <c r="AH12" i="4" s="1"/>
  <c r="BF11" i="4"/>
  <c r="BE11" i="4"/>
  <c r="AO11" i="4"/>
  <c r="AM11" i="4"/>
  <c r="AN11" i="4" s="1"/>
  <c r="AL11" i="4"/>
  <c r="AL21" i="4" s="1"/>
  <c r="AL24" i="4" s="1"/>
  <c r="H26" i="4" s="1"/>
  <c r="U11" i="4"/>
  <c r="T11" i="4"/>
  <c r="P11" i="4"/>
  <c r="AQ11" i="4" s="1"/>
  <c r="K11" i="4"/>
  <c r="J60" i="3"/>
  <c r="K53" i="3"/>
  <c r="J48" i="3"/>
  <c r="H48" i="3"/>
  <c r="G48" i="3"/>
  <c r="J47" i="3"/>
  <c r="H47" i="3"/>
  <c r="G47" i="3"/>
  <c r="F47" i="3"/>
  <c r="F48" i="3" s="1"/>
  <c r="G46" i="3"/>
  <c r="J45" i="3"/>
  <c r="H45" i="3"/>
  <c r="G45" i="3"/>
  <c r="F45" i="3"/>
  <c r="F46" i="3" s="1"/>
  <c r="J44" i="3"/>
  <c r="H44" i="3"/>
  <c r="G44" i="3"/>
  <c r="F44" i="3"/>
  <c r="G43" i="3"/>
  <c r="F43" i="3"/>
  <c r="J42" i="3"/>
  <c r="G42" i="3"/>
  <c r="J41" i="3"/>
  <c r="H41" i="3"/>
  <c r="G41" i="3"/>
  <c r="F41" i="3"/>
  <c r="F42" i="3" s="1"/>
  <c r="J40" i="3"/>
  <c r="H40" i="3"/>
  <c r="G40" i="3"/>
  <c r="G39" i="3"/>
  <c r="F39" i="3"/>
  <c r="F40" i="3" s="1"/>
  <c r="J38" i="3"/>
  <c r="H38" i="3"/>
  <c r="G38" i="3"/>
  <c r="J37" i="3"/>
  <c r="H37" i="3"/>
  <c r="G37" i="3"/>
  <c r="F37" i="3"/>
  <c r="F38" i="3" s="1"/>
  <c r="J36" i="3"/>
  <c r="H36" i="3"/>
  <c r="G36" i="3"/>
  <c r="G35" i="3"/>
  <c r="F35" i="3"/>
  <c r="F36" i="3" s="1"/>
  <c r="G34" i="3"/>
  <c r="J33" i="3"/>
  <c r="H33" i="3"/>
  <c r="G33" i="3"/>
  <c r="F33" i="3"/>
  <c r="F34" i="3" s="1"/>
  <c r="J32" i="3"/>
  <c r="H32" i="3"/>
  <c r="G32" i="3"/>
  <c r="F32" i="3"/>
  <c r="G31" i="3"/>
  <c r="F31" i="3"/>
  <c r="F29" i="3"/>
  <c r="F30" i="3" s="1"/>
  <c r="G27" i="3"/>
  <c r="G26" i="3"/>
  <c r="G25" i="3"/>
  <c r="AL22" i="3"/>
  <c r="AT21" i="3"/>
  <c r="AS21" i="3"/>
  <c r="AF21" i="3"/>
  <c r="AD21" i="3"/>
  <c r="AE21" i="3" s="1"/>
  <c r="AW20" i="3"/>
  <c r="AV20" i="3"/>
  <c r="AU20" i="3"/>
  <c r="AT20" i="3"/>
  <c r="AS20" i="3"/>
  <c r="AR20" i="3"/>
  <c r="AQ20" i="3"/>
  <c r="AY20" i="3" s="1"/>
  <c r="AO20" i="3"/>
  <c r="AN20" i="3"/>
  <c r="AM20" i="3"/>
  <c r="AL20" i="3"/>
  <c r="AG20" i="3"/>
  <c r="AF20" i="3"/>
  <c r="AE20" i="3"/>
  <c r="AD20" i="3"/>
  <c r="AC20" i="3"/>
  <c r="AB20" i="3"/>
  <c r="AA20" i="3"/>
  <c r="Z20" i="3"/>
  <c r="Y20" i="3"/>
  <c r="X20" i="3"/>
  <c r="P20" i="3"/>
  <c r="O20" i="3"/>
  <c r="J20" i="3"/>
  <c r="AZ19" i="3"/>
  <c r="AV19" i="3"/>
  <c r="AU19" i="3"/>
  <c r="AT19" i="3"/>
  <c r="AS19" i="3"/>
  <c r="AR19" i="3"/>
  <c r="AO19" i="3"/>
  <c r="AM19" i="3"/>
  <c r="AN19" i="3" s="1"/>
  <c r="AL19" i="3"/>
  <c r="AI19" i="3"/>
  <c r="AG19" i="3"/>
  <c r="AF19" i="3"/>
  <c r="AE19" i="3"/>
  <c r="AD19" i="3"/>
  <c r="AC19" i="3"/>
  <c r="AB19" i="3"/>
  <c r="AH19" i="3" s="1"/>
  <c r="AA19" i="3"/>
  <c r="H46" i="3" s="1"/>
  <c r="Z19" i="3"/>
  <c r="Y19" i="3"/>
  <c r="X19" i="3"/>
  <c r="P19" i="3"/>
  <c r="AQ19" i="3" s="1"/>
  <c r="O19" i="3"/>
  <c r="J19" i="3"/>
  <c r="AV18" i="3"/>
  <c r="AU18" i="3"/>
  <c r="AT18" i="3"/>
  <c r="AS18" i="3"/>
  <c r="AR18" i="3"/>
  <c r="AQ18" i="3"/>
  <c r="AO18" i="3"/>
  <c r="AM18" i="3"/>
  <c r="AL18" i="3"/>
  <c r="AN18" i="3" s="1"/>
  <c r="AH18" i="3"/>
  <c r="AG18" i="3"/>
  <c r="AF18" i="3"/>
  <c r="AE18" i="3"/>
  <c r="AD18" i="3"/>
  <c r="AC18" i="3"/>
  <c r="AB18" i="3"/>
  <c r="AI18" i="3" s="1"/>
  <c r="AA18" i="3"/>
  <c r="Z18" i="3"/>
  <c r="H43" i="3" s="1"/>
  <c r="Y18" i="3"/>
  <c r="X18" i="3"/>
  <c r="P18" i="3"/>
  <c r="O18" i="3"/>
  <c r="J18" i="3"/>
  <c r="AV17" i="3"/>
  <c r="AU17" i="3"/>
  <c r="AT17" i="3"/>
  <c r="AS17" i="3"/>
  <c r="AR17" i="3"/>
  <c r="AO17" i="3"/>
  <c r="AM17" i="3"/>
  <c r="AN17" i="3" s="1"/>
  <c r="AL17" i="3"/>
  <c r="AI17" i="3"/>
  <c r="AH17" i="3"/>
  <c r="AG17" i="3"/>
  <c r="AF17" i="3"/>
  <c r="AE17" i="3"/>
  <c r="AD17" i="3"/>
  <c r="AC17" i="3"/>
  <c r="AB17" i="3"/>
  <c r="AA17" i="3"/>
  <c r="H42" i="3" s="1"/>
  <c r="Z17" i="3"/>
  <c r="Y17" i="3"/>
  <c r="X17" i="3"/>
  <c r="P17" i="3"/>
  <c r="AQ17" i="3" s="1"/>
  <c r="O17" i="3"/>
  <c r="J17" i="3"/>
  <c r="AY16" i="3"/>
  <c r="AW16" i="3"/>
  <c r="AV16" i="3"/>
  <c r="AU16" i="3"/>
  <c r="AT16" i="3"/>
  <c r="AS16" i="3"/>
  <c r="AR16" i="3"/>
  <c r="AQ16" i="3"/>
  <c r="AO16" i="3"/>
  <c r="AN16" i="3"/>
  <c r="AM16" i="3"/>
  <c r="AL16" i="3"/>
  <c r="AH16" i="3"/>
  <c r="AG16" i="3"/>
  <c r="AF16" i="3"/>
  <c r="AE16" i="3"/>
  <c r="AD16" i="3"/>
  <c r="AC16" i="3"/>
  <c r="AB16" i="3"/>
  <c r="AI16" i="3" s="1"/>
  <c r="AA16" i="3"/>
  <c r="Z16" i="3"/>
  <c r="H39" i="3" s="1"/>
  <c r="J39" i="3" s="1"/>
  <c r="Y16" i="3"/>
  <c r="X16" i="3"/>
  <c r="P16" i="3"/>
  <c r="O16" i="3"/>
  <c r="J16" i="3"/>
  <c r="AZ15" i="3"/>
  <c r="AV15" i="3"/>
  <c r="AU15" i="3"/>
  <c r="AT15" i="3"/>
  <c r="AS15" i="3"/>
  <c r="AR15" i="3"/>
  <c r="AO15" i="3"/>
  <c r="AM15" i="3"/>
  <c r="AN15" i="3" s="1"/>
  <c r="AL15" i="3"/>
  <c r="AI15" i="3"/>
  <c r="AG15" i="3"/>
  <c r="AF15" i="3"/>
  <c r="AE15" i="3"/>
  <c r="AD15" i="3"/>
  <c r="AC15" i="3"/>
  <c r="AB15" i="3"/>
  <c r="AH15" i="3" s="1"/>
  <c r="AA15" i="3"/>
  <c r="Z15" i="3"/>
  <c r="Y15" i="3"/>
  <c r="X15" i="3"/>
  <c r="P15" i="3"/>
  <c r="AQ15" i="3" s="1"/>
  <c r="O15" i="3"/>
  <c r="J15" i="3"/>
  <c r="AV14" i="3"/>
  <c r="AU14" i="3"/>
  <c r="AT14" i="3"/>
  <c r="AS14" i="3"/>
  <c r="AR14" i="3"/>
  <c r="AQ14" i="3"/>
  <c r="AO14" i="3"/>
  <c r="AM14" i="3"/>
  <c r="AL14" i="3"/>
  <c r="AN14" i="3" s="1"/>
  <c r="AG14" i="3"/>
  <c r="AF14" i="3"/>
  <c r="AE14" i="3"/>
  <c r="AD14" i="3"/>
  <c r="AC14" i="3"/>
  <c r="AB14" i="3"/>
  <c r="AA14" i="3"/>
  <c r="Z14" i="3"/>
  <c r="H35" i="3" s="1"/>
  <c r="Y14" i="3"/>
  <c r="X14" i="3"/>
  <c r="P14" i="3"/>
  <c r="O14" i="3"/>
  <c r="J14" i="3"/>
  <c r="AV13" i="3"/>
  <c r="AU13" i="3"/>
  <c r="AT13" i="3"/>
  <c r="AS13" i="3"/>
  <c r="AR13" i="3"/>
  <c r="AO13" i="3"/>
  <c r="AM13" i="3"/>
  <c r="AN13" i="3" s="1"/>
  <c r="AL13" i="3"/>
  <c r="AI13" i="3"/>
  <c r="AG13" i="3"/>
  <c r="AF13" i="3"/>
  <c r="AE13" i="3"/>
  <c r="AD13" i="3"/>
  <c r="AC13" i="3"/>
  <c r="AB13" i="3"/>
  <c r="AH13" i="3" s="1"/>
  <c r="AA13" i="3"/>
  <c r="H34" i="3" s="1"/>
  <c r="Z13" i="3"/>
  <c r="Y13" i="3"/>
  <c r="X13" i="3"/>
  <c r="P13" i="3"/>
  <c r="AQ13" i="3" s="1"/>
  <c r="AW13" i="3" s="1"/>
  <c r="O13" i="3"/>
  <c r="J13" i="3"/>
  <c r="AV12" i="3"/>
  <c r="AU12" i="3"/>
  <c r="AT12" i="3"/>
  <c r="AS12" i="3"/>
  <c r="AR12" i="3"/>
  <c r="AQ12" i="3"/>
  <c r="AO12" i="3"/>
  <c r="AM12" i="3"/>
  <c r="AL12" i="3"/>
  <c r="AG12" i="3"/>
  <c r="AF12" i="3"/>
  <c r="AE12" i="3"/>
  <c r="AD12" i="3"/>
  <c r="AC12" i="3"/>
  <c r="AB12" i="3"/>
  <c r="AA12" i="3"/>
  <c r="Z12" i="3"/>
  <c r="H31" i="3" s="1"/>
  <c r="Y12" i="3"/>
  <c r="X12" i="3"/>
  <c r="P12" i="3"/>
  <c r="O12" i="3"/>
  <c r="J12" i="3"/>
  <c r="AR11" i="3"/>
  <c r="AO11" i="3"/>
  <c r="AN11" i="3"/>
  <c r="AM11" i="3"/>
  <c r="AL11" i="3"/>
  <c r="J59" i="3" s="1"/>
  <c r="AE11" i="3"/>
  <c r="AD11" i="3"/>
  <c r="AC11" i="3"/>
  <c r="AB11" i="3"/>
  <c r="AA11" i="3"/>
  <c r="H30" i="3" s="1"/>
  <c r="Z11" i="3"/>
  <c r="X11" i="3" s="1"/>
  <c r="X21" i="3" s="1"/>
  <c r="P11" i="3"/>
  <c r="AQ11" i="3" s="1"/>
  <c r="O11" i="3"/>
  <c r="J11" i="3"/>
  <c r="G29" i="3" s="1"/>
  <c r="J60" i="2"/>
  <c r="K53" i="2"/>
  <c r="G48" i="2"/>
  <c r="G47" i="2"/>
  <c r="F47" i="2"/>
  <c r="F48" i="2" s="1"/>
  <c r="G46" i="2"/>
  <c r="J45" i="2"/>
  <c r="I45" i="2"/>
  <c r="G45" i="2"/>
  <c r="F45" i="2"/>
  <c r="F46" i="2" s="1"/>
  <c r="G44" i="2"/>
  <c r="G43" i="2"/>
  <c r="F43" i="2"/>
  <c r="F44" i="2" s="1"/>
  <c r="G42" i="2"/>
  <c r="G41" i="2"/>
  <c r="F41" i="2"/>
  <c r="F42" i="2" s="1"/>
  <c r="G40" i="2"/>
  <c r="G39" i="2"/>
  <c r="F39" i="2"/>
  <c r="F40" i="2" s="1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F30" i="2"/>
  <c r="F29" i="2"/>
  <c r="G27" i="2"/>
  <c r="G26" i="2"/>
  <c r="G25" i="2"/>
  <c r="AL22" i="2"/>
  <c r="AV21" i="2"/>
  <c r="AU21" i="2"/>
  <c r="AS21" i="2"/>
  <c r="AT21" i="2" s="1"/>
  <c r="AE21" i="2"/>
  <c r="AF21" i="2" s="1"/>
  <c r="AD21" i="2"/>
  <c r="AZ20" i="2"/>
  <c r="AX20" i="2"/>
  <c r="AW20" i="2"/>
  <c r="AV20" i="2"/>
  <c r="AU20" i="2"/>
  <c r="AT20" i="2"/>
  <c r="AS20" i="2"/>
  <c r="AR20" i="2"/>
  <c r="AO20" i="2"/>
  <c r="AN20" i="2"/>
  <c r="AM20" i="2"/>
  <c r="AL20" i="2"/>
  <c r="AG20" i="2"/>
  <c r="AF20" i="2"/>
  <c r="AE20" i="2"/>
  <c r="AD20" i="2"/>
  <c r="AC20" i="2"/>
  <c r="AA20" i="2"/>
  <c r="H48" i="2" s="1"/>
  <c r="Z20" i="2"/>
  <c r="H47" i="2" s="1"/>
  <c r="Y20" i="2"/>
  <c r="X20" i="2"/>
  <c r="P20" i="2"/>
  <c r="AQ20" i="2" s="1"/>
  <c r="AY20" i="2" s="1"/>
  <c r="O20" i="2"/>
  <c r="K20" i="2"/>
  <c r="AB20" i="2" s="1"/>
  <c r="AI20" i="2" s="1"/>
  <c r="J20" i="2" s="1"/>
  <c r="AV19" i="2"/>
  <c r="AU19" i="2"/>
  <c r="AT19" i="2"/>
  <c r="AS19" i="2"/>
  <c r="AR19" i="2"/>
  <c r="AO19" i="2"/>
  <c r="AM19" i="2"/>
  <c r="AL19" i="2"/>
  <c r="AG19" i="2"/>
  <c r="AF19" i="2"/>
  <c r="AE19" i="2"/>
  <c r="AD19" i="2"/>
  <c r="AC19" i="2"/>
  <c r="AB19" i="2"/>
  <c r="AH19" i="2" s="1"/>
  <c r="AA19" i="2"/>
  <c r="H46" i="2" s="1"/>
  <c r="Z19" i="2"/>
  <c r="H45" i="2" s="1"/>
  <c r="K45" i="2" s="1"/>
  <c r="Y19" i="2"/>
  <c r="X19" i="2"/>
  <c r="P19" i="2"/>
  <c r="AQ19" i="2" s="1"/>
  <c r="K19" i="2"/>
  <c r="AV18" i="2"/>
  <c r="AU18" i="2"/>
  <c r="AT18" i="2"/>
  <c r="AS18" i="2"/>
  <c r="AR18" i="2"/>
  <c r="AQ18" i="2"/>
  <c r="AX18" i="2" s="1"/>
  <c r="O18" i="2" s="1"/>
  <c r="AO18" i="2"/>
  <c r="AM18" i="2"/>
  <c r="AN18" i="2" s="1"/>
  <c r="AL18" i="2"/>
  <c r="AG18" i="2"/>
  <c r="AF18" i="2"/>
  <c r="AE18" i="2"/>
  <c r="AD18" i="2"/>
  <c r="AC18" i="2"/>
  <c r="AA18" i="2"/>
  <c r="H44" i="2" s="1"/>
  <c r="J44" i="2" s="1"/>
  <c r="Z18" i="2"/>
  <c r="H43" i="2" s="1"/>
  <c r="I43" i="2" s="1"/>
  <c r="Y18" i="2"/>
  <c r="X18" i="2"/>
  <c r="P18" i="2"/>
  <c r="K18" i="2"/>
  <c r="AB18" i="2" s="1"/>
  <c r="AV17" i="2"/>
  <c r="AU17" i="2"/>
  <c r="AT17" i="2"/>
  <c r="AS17" i="2"/>
  <c r="AR17" i="2"/>
  <c r="AO17" i="2"/>
  <c r="AN17" i="2"/>
  <c r="AM17" i="2"/>
  <c r="AL17" i="2"/>
  <c r="AG17" i="2"/>
  <c r="AF17" i="2"/>
  <c r="AE17" i="2"/>
  <c r="AD17" i="2"/>
  <c r="AC17" i="2"/>
  <c r="AA17" i="2"/>
  <c r="H42" i="2" s="1"/>
  <c r="K42" i="2" s="1"/>
  <c r="Z17" i="2"/>
  <c r="H41" i="2" s="1"/>
  <c r="Y17" i="2"/>
  <c r="X17" i="2"/>
  <c r="P17" i="2"/>
  <c r="AQ17" i="2" s="1"/>
  <c r="K17" i="2"/>
  <c r="AB17" i="2" s="1"/>
  <c r="AZ16" i="2"/>
  <c r="AV16" i="2"/>
  <c r="AU16" i="2"/>
  <c r="AT16" i="2"/>
  <c r="AS16" i="2"/>
  <c r="AR16" i="2"/>
  <c r="AQ16" i="2"/>
  <c r="AX16" i="2" s="1"/>
  <c r="O16" i="2" s="1"/>
  <c r="AO16" i="2"/>
  <c r="AM16" i="2"/>
  <c r="AN16" i="2" s="1"/>
  <c r="AL16" i="2"/>
  <c r="AG16" i="2"/>
  <c r="AF16" i="2"/>
  <c r="AE16" i="2"/>
  <c r="AD16" i="2"/>
  <c r="AC16" i="2"/>
  <c r="AA16" i="2"/>
  <c r="H40" i="2" s="1"/>
  <c r="Z16" i="2"/>
  <c r="H39" i="2" s="1"/>
  <c r="Y16" i="2"/>
  <c r="X16" i="2"/>
  <c r="P16" i="2"/>
  <c r="K16" i="2"/>
  <c r="AB16" i="2" s="1"/>
  <c r="AV15" i="2"/>
  <c r="AU15" i="2"/>
  <c r="AT15" i="2"/>
  <c r="AS15" i="2"/>
  <c r="AR15" i="2"/>
  <c r="AO15" i="2"/>
  <c r="AN15" i="2"/>
  <c r="AM15" i="2"/>
  <c r="AL15" i="2"/>
  <c r="AG15" i="2"/>
  <c r="AF15" i="2"/>
  <c r="AE15" i="2"/>
  <c r="AD15" i="2"/>
  <c r="AC15" i="2"/>
  <c r="AA15" i="2"/>
  <c r="H38" i="2" s="1"/>
  <c r="I38" i="2" s="1"/>
  <c r="Z15" i="2"/>
  <c r="H37" i="2" s="1"/>
  <c r="Y15" i="2"/>
  <c r="X15" i="2"/>
  <c r="P15" i="2"/>
  <c r="AQ15" i="2" s="1"/>
  <c r="K15" i="2"/>
  <c r="AB15" i="2" s="1"/>
  <c r="AV14" i="2"/>
  <c r="AU14" i="2"/>
  <c r="AT14" i="2"/>
  <c r="AS14" i="2"/>
  <c r="AR14" i="2"/>
  <c r="AQ14" i="2"/>
  <c r="AX14" i="2" s="1"/>
  <c r="O14" i="2" s="1"/>
  <c r="AO14" i="2"/>
  <c r="AM14" i="2"/>
  <c r="AN14" i="2" s="1"/>
  <c r="AL14" i="2"/>
  <c r="AG14" i="2"/>
  <c r="AF14" i="2"/>
  <c r="AE14" i="2"/>
  <c r="AD14" i="2"/>
  <c r="AC14" i="2"/>
  <c r="AB14" i="2"/>
  <c r="AI14" i="2" s="1"/>
  <c r="J14" i="2" s="1"/>
  <c r="AA14" i="2"/>
  <c r="H36" i="2" s="1"/>
  <c r="I36" i="2" s="1"/>
  <c r="Z14" i="2"/>
  <c r="H35" i="2" s="1"/>
  <c r="Y14" i="2"/>
  <c r="X14" i="2"/>
  <c r="P14" i="2"/>
  <c r="K14" i="2"/>
  <c r="AV13" i="2"/>
  <c r="AU13" i="2"/>
  <c r="AT13" i="2"/>
  <c r="AS13" i="2"/>
  <c r="AR13" i="2"/>
  <c r="AQ13" i="2"/>
  <c r="AX13" i="2" s="1"/>
  <c r="O13" i="2" s="1"/>
  <c r="AO13" i="2"/>
  <c r="AM13" i="2"/>
  <c r="AN13" i="2" s="1"/>
  <c r="AL13" i="2"/>
  <c r="AG13" i="2"/>
  <c r="AF13" i="2"/>
  <c r="AE13" i="2"/>
  <c r="AD13" i="2"/>
  <c r="AC13" i="2"/>
  <c r="AB13" i="2"/>
  <c r="AI13" i="2" s="1"/>
  <c r="J13" i="2" s="1"/>
  <c r="AA13" i="2"/>
  <c r="H34" i="2" s="1"/>
  <c r="I34" i="2" s="1"/>
  <c r="Z13" i="2"/>
  <c r="H33" i="2" s="1"/>
  <c r="Y13" i="2"/>
  <c r="X13" i="2"/>
  <c r="P13" i="2"/>
  <c r="K13" i="2"/>
  <c r="AV12" i="2"/>
  <c r="AU12" i="2"/>
  <c r="AT12" i="2"/>
  <c r="AS12" i="2"/>
  <c r="AR12" i="2"/>
  <c r="AQ12" i="2"/>
  <c r="AX12" i="2" s="1"/>
  <c r="O12" i="2" s="1"/>
  <c r="AO12" i="2"/>
  <c r="AM12" i="2"/>
  <c r="AN12" i="2" s="1"/>
  <c r="AL12" i="2"/>
  <c r="AG12" i="2"/>
  <c r="AF12" i="2"/>
  <c r="AE12" i="2"/>
  <c r="AD12" i="2"/>
  <c r="AC12" i="2"/>
  <c r="AB12" i="2"/>
  <c r="AI12" i="2" s="1"/>
  <c r="J12" i="2" s="1"/>
  <c r="AA12" i="2"/>
  <c r="H32" i="2" s="1"/>
  <c r="I32" i="2" s="1"/>
  <c r="Z12" i="2"/>
  <c r="H31" i="2" s="1"/>
  <c r="Y12" i="2"/>
  <c r="X12" i="2"/>
  <c r="P12" i="2"/>
  <c r="K12" i="2"/>
  <c r="AQ11" i="2"/>
  <c r="AO11" i="2"/>
  <c r="AM11" i="2"/>
  <c r="AN11" i="2" s="1"/>
  <c r="AL11" i="2"/>
  <c r="AL21" i="2" s="1"/>
  <c r="AL25" i="2" s="1"/>
  <c r="H27" i="2" s="1"/>
  <c r="AB11" i="2"/>
  <c r="P11" i="2"/>
  <c r="K11" i="2"/>
  <c r="K33" i="2" l="1"/>
  <c r="J33" i="2"/>
  <c r="I33" i="2"/>
  <c r="AZ17" i="2"/>
  <c r="AY17" i="2"/>
  <c r="AX17" i="2"/>
  <c r="O17" i="2" s="1"/>
  <c r="AW17" i="2"/>
  <c r="AW19" i="2"/>
  <c r="AZ19" i="2"/>
  <c r="AY19" i="2"/>
  <c r="AX19" i="2"/>
  <c r="O19" i="2" s="1"/>
  <c r="J46" i="2"/>
  <c r="K46" i="2"/>
  <c r="I46" i="2"/>
  <c r="AG21" i="2"/>
  <c r="AG11" i="2" s="1"/>
  <c r="AF11" i="2"/>
  <c r="J48" i="2"/>
  <c r="K48" i="2"/>
  <c r="I48" i="2"/>
  <c r="K35" i="2"/>
  <c r="J35" i="2"/>
  <c r="I35" i="2"/>
  <c r="AI15" i="2"/>
  <c r="J15" i="2" s="1"/>
  <c r="AH15" i="2"/>
  <c r="K37" i="2"/>
  <c r="J37" i="2"/>
  <c r="I37" i="2"/>
  <c r="AI16" i="2"/>
  <c r="J16" i="2" s="1"/>
  <c r="AH16" i="2"/>
  <c r="K39" i="2"/>
  <c r="J39" i="2"/>
  <c r="I39" i="2"/>
  <c r="J27" i="2"/>
  <c r="K27" i="2" s="1"/>
  <c r="K31" i="2"/>
  <c r="J31" i="2"/>
  <c r="I31" i="2"/>
  <c r="AZ15" i="2"/>
  <c r="AY15" i="2"/>
  <c r="AX15" i="2"/>
  <c r="O15" i="2" s="1"/>
  <c r="AW15" i="2"/>
  <c r="J40" i="2"/>
  <c r="K40" i="2"/>
  <c r="I40" i="2"/>
  <c r="AI17" i="2"/>
  <c r="J17" i="2" s="1"/>
  <c r="AH17" i="2"/>
  <c r="AI18" i="2"/>
  <c r="J18" i="2" s="1"/>
  <c r="AH18" i="2"/>
  <c r="AY14" i="2"/>
  <c r="AY16" i="2"/>
  <c r="J41" i="2"/>
  <c r="I41" i="2"/>
  <c r="AY18" i="2"/>
  <c r="AH20" i="2"/>
  <c r="AM21" i="2"/>
  <c r="H52" i="2" s="1"/>
  <c r="K55" i="2" s="1"/>
  <c r="AL23" i="2"/>
  <c r="H25" i="2" s="1"/>
  <c r="J32" i="2"/>
  <c r="J34" i="2"/>
  <c r="J36" i="2"/>
  <c r="J38" i="2"/>
  <c r="K43" i="2"/>
  <c r="J59" i="2"/>
  <c r="K61" i="2" s="1"/>
  <c r="I31" i="3"/>
  <c r="K31" i="3"/>
  <c r="AL21" i="3"/>
  <c r="AN12" i="3"/>
  <c r="AZ14" i="3"/>
  <c r="AX14" i="3"/>
  <c r="AY14" i="3"/>
  <c r="AW14" i="3"/>
  <c r="I43" i="3"/>
  <c r="K43" i="3"/>
  <c r="AZ18" i="3"/>
  <c r="AX18" i="3"/>
  <c r="AW18" i="3"/>
  <c r="J31" i="3"/>
  <c r="BG11" i="4"/>
  <c r="BI11" i="4"/>
  <c r="BJ11" i="4"/>
  <c r="BH11" i="4"/>
  <c r="BG12" i="4"/>
  <c r="BI12" i="4"/>
  <c r="BJ12" i="4"/>
  <c r="J38" i="4"/>
  <c r="K38" i="4"/>
  <c r="J41" i="4"/>
  <c r="K41" i="4"/>
  <c r="I41" i="4"/>
  <c r="J43" i="4"/>
  <c r="K43" i="4"/>
  <c r="J47" i="4"/>
  <c r="I47" i="4"/>
  <c r="J49" i="4"/>
  <c r="K49" i="4"/>
  <c r="I49" i="4"/>
  <c r="J51" i="4"/>
  <c r="K51" i="4"/>
  <c r="I51" i="4"/>
  <c r="J53" i="4"/>
  <c r="K53" i="4"/>
  <c r="I53" i="4"/>
  <c r="AL23" i="4"/>
  <c r="H25" i="4" s="1"/>
  <c r="K47" i="4"/>
  <c r="I34" i="5"/>
  <c r="J34" i="5"/>
  <c r="K34" i="5"/>
  <c r="K37" i="5"/>
  <c r="I37" i="5"/>
  <c r="J37" i="5"/>
  <c r="I42" i="5"/>
  <c r="J42" i="5"/>
  <c r="K42" i="5"/>
  <c r="AS12" i="6"/>
  <c r="AU12" i="6"/>
  <c r="AT12" i="6"/>
  <c r="AR11" i="2"/>
  <c r="AW11" i="2" s="1"/>
  <c r="AX11" i="2" s="1"/>
  <c r="O11" i="2" s="1"/>
  <c r="J42" i="2"/>
  <c r="I42" i="2"/>
  <c r="AZ18" i="2"/>
  <c r="AN19" i="2"/>
  <c r="AN21" i="2" s="1"/>
  <c r="H53" i="2" s="1"/>
  <c r="K56" i="2" s="1"/>
  <c r="K47" i="2"/>
  <c r="J47" i="2"/>
  <c r="AL24" i="2"/>
  <c r="H26" i="2" s="1"/>
  <c r="K32" i="2"/>
  <c r="K34" i="2"/>
  <c r="K36" i="2"/>
  <c r="K38" i="2"/>
  <c r="I47" i="2"/>
  <c r="I35" i="3"/>
  <c r="K35" i="3"/>
  <c r="AW17" i="3"/>
  <c r="AY17" i="3"/>
  <c r="AZ17" i="3"/>
  <c r="K42" i="3"/>
  <c r="I42" i="3"/>
  <c r="K46" i="3"/>
  <c r="I46" i="3"/>
  <c r="AI20" i="3"/>
  <c r="AH20" i="3"/>
  <c r="AU21" i="3"/>
  <c r="AT11" i="3"/>
  <c r="AR11" i="4"/>
  <c r="BH12" i="4"/>
  <c r="I45" i="4"/>
  <c r="AW19" i="5"/>
  <c r="AX19" i="5"/>
  <c r="O19" i="5" s="1"/>
  <c r="AY19" i="5"/>
  <c r="AZ19" i="5"/>
  <c r="BK11" i="6"/>
  <c r="BL11" i="6"/>
  <c r="BJ11" i="6"/>
  <c r="BI11" i="6"/>
  <c r="AU11" i="2"/>
  <c r="AZ14" i="2"/>
  <c r="AD11" i="2"/>
  <c r="AS11" i="2"/>
  <c r="AH12" i="2"/>
  <c r="AW12" i="2"/>
  <c r="AH13" i="2"/>
  <c r="AW13" i="2"/>
  <c r="AH14" i="2"/>
  <c r="AW14" i="2"/>
  <c r="AW16" i="2"/>
  <c r="AW18" i="2"/>
  <c r="K41" i="2"/>
  <c r="I44" i="2"/>
  <c r="I30" i="3"/>
  <c r="AN21" i="3"/>
  <c r="H53" i="3" s="1"/>
  <c r="K56" i="3" s="1"/>
  <c r="AI12" i="3"/>
  <c r="AH12" i="3"/>
  <c r="I39" i="3"/>
  <c r="K39" i="3"/>
  <c r="AX17" i="3"/>
  <c r="AY18" i="3"/>
  <c r="J35" i="3"/>
  <c r="J46" i="3"/>
  <c r="K61" i="3"/>
  <c r="J26" i="4"/>
  <c r="K26" i="4" s="1"/>
  <c r="AW12" i="4"/>
  <c r="AX12" i="4"/>
  <c r="O12" i="4" s="1"/>
  <c r="AI12" i="4"/>
  <c r="J12" i="4" s="1"/>
  <c r="AF21" i="4"/>
  <c r="BF21" i="4"/>
  <c r="H31" i="4" s="1"/>
  <c r="AL25" i="4"/>
  <c r="H27" i="4" s="1"/>
  <c r="K45" i="4"/>
  <c r="AC11" i="2"/>
  <c r="AH11" i="2" s="1"/>
  <c r="AI11" i="2" s="1"/>
  <c r="J11" i="2" s="1"/>
  <c r="AV11" i="2"/>
  <c r="AE11" i="2"/>
  <c r="AT11" i="2"/>
  <c r="AI19" i="2"/>
  <c r="J19" i="2" s="1"/>
  <c r="J43" i="2"/>
  <c r="K44" i="2"/>
  <c r="G30" i="3"/>
  <c r="J30" i="3" s="1"/>
  <c r="K30" i="3" s="1"/>
  <c r="Y11" i="3"/>
  <c r="Y21" i="3" s="1"/>
  <c r="X22" i="3" s="1"/>
  <c r="Y23" i="3" s="1"/>
  <c r="H28" i="3" s="1"/>
  <c r="AX12" i="3"/>
  <c r="AW12" i="3"/>
  <c r="K34" i="3"/>
  <c r="I34" i="3"/>
  <c r="AX13" i="3"/>
  <c r="AI14" i="3"/>
  <c r="AH14" i="3"/>
  <c r="AG21" i="3"/>
  <c r="AG11" i="3" s="1"/>
  <c r="AF11" i="3"/>
  <c r="AH11" i="3" s="1"/>
  <c r="AI11" i="3" s="1"/>
  <c r="H29" i="3"/>
  <c r="J34" i="3"/>
  <c r="J43" i="3"/>
  <c r="J40" i="4"/>
  <c r="K40" i="4"/>
  <c r="I40" i="4"/>
  <c r="J42" i="4"/>
  <c r="K42" i="4"/>
  <c r="I42" i="4"/>
  <c r="J44" i="4"/>
  <c r="K44" i="4"/>
  <c r="J46" i="4"/>
  <c r="K46" i="4"/>
  <c r="J48" i="4"/>
  <c r="K48" i="4"/>
  <c r="I48" i="4"/>
  <c r="J52" i="4"/>
  <c r="K52" i="4"/>
  <c r="I52" i="4"/>
  <c r="I38" i="4"/>
  <c r="I43" i="4"/>
  <c r="AI15" i="5"/>
  <c r="J15" i="5" s="1"/>
  <c r="AW15" i="5"/>
  <c r="AY15" i="5"/>
  <c r="AZ15" i="5"/>
  <c r="AX15" i="5"/>
  <c r="O15" i="5" s="1"/>
  <c r="I38" i="5"/>
  <c r="J38" i="5"/>
  <c r="K38" i="5"/>
  <c r="K31" i="5"/>
  <c r="J31" i="5"/>
  <c r="K35" i="5"/>
  <c r="J35" i="5"/>
  <c r="K39" i="5"/>
  <c r="J39" i="5"/>
  <c r="AZ17" i="5"/>
  <c r="AW17" i="5"/>
  <c r="AX17" i="5"/>
  <c r="O17" i="5" s="1"/>
  <c r="K45" i="5"/>
  <c r="I45" i="5"/>
  <c r="K47" i="5"/>
  <c r="J47" i="5"/>
  <c r="AZ20" i="5"/>
  <c r="AW20" i="5"/>
  <c r="AY20" i="5"/>
  <c r="AU11" i="5"/>
  <c r="AV21" i="5"/>
  <c r="AV11" i="5" s="1"/>
  <c r="I46" i="5"/>
  <c r="J46" i="5"/>
  <c r="K46" i="5"/>
  <c r="AI10" i="6"/>
  <c r="AJ10" i="6"/>
  <c r="AM21" i="3"/>
  <c r="H52" i="3" s="1"/>
  <c r="K55" i="3" s="1"/>
  <c r="AS11" i="3"/>
  <c r="AY15" i="3"/>
  <c r="AW15" i="3"/>
  <c r="AX15" i="3"/>
  <c r="AX16" i="3"/>
  <c r="AZ16" i="3"/>
  <c r="AN21" i="4"/>
  <c r="J36" i="4"/>
  <c r="K36" i="4"/>
  <c r="AM21" i="4"/>
  <c r="AB11" i="5"/>
  <c r="I32" i="5"/>
  <c r="J32" i="5"/>
  <c r="I40" i="5"/>
  <c r="J40" i="5"/>
  <c r="I48" i="5"/>
  <c r="J48" i="5"/>
  <c r="AG21" i="5"/>
  <c r="AG11" i="5" s="1"/>
  <c r="AF11" i="5"/>
  <c r="I31" i="5"/>
  <c r="K48" i="5"/>
  <c r="AX10" i="6"/>
  <c r="AY10" i="6"/>
  <c r="O10" i="6" s="1"/>
  <c r="AH20" i="6"/>
  <c r="AH12" i="6" s="1"/>
  <c r="AG12" i="6"/>
  <c r="AY19" i="3"/>
  <c r="AW19" i="3"/>
  <c r="AX19" i="3"/>
  <c r="AX20" i="3"/>
  <c r="AZ20" i="3"/>
  <c r="K32" i="3"/>
  <c r="I32" i="3"/>
  <c r="I33" i="3"/>
  <c r="K33" i="3"/>
  <c r="K36" i="3"/>
  <c r="I36" i="3"/>
  <c r="I37" i="3"/>
  <c r="K37" i="3"/>
  <c r="K38" i="3"/>
  <c r="I38" i="3"/>
  <c r="K40" i="3"/>
  <c r="I40" i="3"/>
  <c r="I41" i="3"/>
  <c r="K41" i="3"/>
  <c r="K44" i="3"/>
  <c r="I44" i="3"/>
  <c r="I45" i="3"/>
  <c r="K45" i="3"/>
  <c r="I47" i="3"/>
  <c r="K47" i="3"/>
  <c r="K48" i="3"/>
  <c r="I48" i="3"/>
  <c r="AB11" i="4"/>
  <c r="AE11" i="4" s="1"/>
  <c r="BG13" i="4"/>
  <c r="BI13" i="4"/>
  <c r="AW14" i="4"/>
  <c r="AY14" i="4"/>
  <c r="BI14" i="4"/>
  <c r="BG14" i="4"/>
  <c r="AY15" i="4"/>
  <c r="AW15" i="4"/>
  <c r="BG15" i="4"/>
  <c r="BI15" i="4"/>
  <c r="AW16" i="4"/>
  <c r="AY16" i="4"/>
  <c r="BI16" i="4"/>
  <c r="BG16" i="4"/>
  <c r="AY17" i="4"/>
  <c r="AW17" i="4"/>
  <c r="BG17" i="4"/>
  <c r="BI17" i="4"/>
  <c r="AW18" i="4"/>
  <c r="AY18" i="4"/>
  <c r="BI18" i="4"/>
  <c r="BG18" i="4"/>
  <c r="AY19" i="4"/>
  <c r="AW19" i="4"/>
  <c r="BG19" i="4"/>
  <c r="BI19" i="4"/>
  <c r="AW20" i="4"/>
  <c r="AY20" i="4"/>
  <c r="BI20" i="4"/>
  <c r="BG20" i="4"/>
  <c r="AT21" i="4"/>
  <c r="AS11" i="4"/>
  <c r="I39" i="4"/>
  <c r="AM21" i="5"/>
  <c r="AN11" i="5"/>
  <c r="AX13" i="5"/>
  <c r="O13" i="5" s="1"/>
  <c r="AH19" i="5"/>
  <c r="AI19" i="5"/>
  <c r="J19" i="5" s="1"/>
  <c r="AX20" i="5"/>
  <c r="O20" i="5" s="1"/>
  <c r="I39" i="5"/>
  <c r="J45" i="5"/>
  <c r="I33" i="6"/>
  <c r="K33" i="6"/>
  <c r="J33" i="6"/>
  <c r="J63" i="6"/>
  <c r="AM20" i="6"/>
  <c r="K36" i="6"/>
  <c r="I36" i="6"/>
  <c r="J36" i="6"/>
  <c r="K50" i="4"/>
  <c r="AX16" i="5"/>
  <c r="O16" i="5" s="1"/>
  <c r="AY16" i="5"/>
  <c r="AI17" i="5"/>
  <c r="J17" i="5" s="1"/>
  <c r="AN19" i="5"/>
  <c r="I33" i="5"/>
  <c r="I41" i="5"/>
  <c r="J43" i="5"/>
  <c r="AO11" i="6"/>
  <c r="AY11" i="6"/>
  <c r="O11" i="6" s="1"/>
  <c r="I39" i="6"/>
  <c r="K39" i="6"/>
  <c r="J39" i="6"/>
  <c r="AJ14" i="6"/>
  <c r="BA14" i="6"/>
  <c r="AX14" i="6"/>
  <c r="AO16" i="6"/>
  <c r="AY16" i="6"/>
  <c r="O16" i="6" s="1"/>
  <c r="BI16" i="6"/>
  <c r="BJ16" i="6"/>
  <c r="AY17" i="6"/>
  <c r="O17" i="6" s="1"/>
  <c r="AZ17" i="6"/>
  <c r="I47" i="6"/>
  <c r="K47" i="6"/>
  <c r="J47" i="6"/>
  <c r="BA17" i="6"/>
  <c r="AJ18" i="6"/>
  <c r="BA18" i="6"/>
  <c r="AX18" i="6"/>
  <c r="I35" i="6"/>
  <c r="K35" i="6"/>
  <c r="J35" i="6"/>
  <c r="H37" i="6"/>
  <c r="AL25" i="7"/>
  <c r="H27" i="7" s="1"/>
  <c r="AL24" i="7"/>
  <c r="H26" i="7" s="1"/>
  <c r="AL23" i="7"/>
  <c r="H25" i="7" s="1"/>
  <c r="BK13" i="6"/>
  <c r="BL13" i="6"/>
  <c r="K42" i="6"/>
  <c r="I42" i="6"/>
  <c r="J42" i="6"/>
  <c r="BK17" i="6"/>
  <c r="BL17" i="6"/>
  <c r="K50" i="6"/>
  <c r="I50" i="6"/>
  <c r="J50" i="6"/>
  <c r="AM22" i="6"/>
  <c r="H24" i="6" s="1"/>
  <c r="I41" i="6"/>
  <c r="K41" i="6"/>
  <c r="J41" i="6"/>
  <c r="I49" i="6"/>
  <c r="K49" i="6"/>
  <c r="J49" i="6"/>
  <c r="K60" i="4"/>
  <c r="J53" i="5"/>
  <c r="K55" i="5" s="1"/>
  <c r="AR11" i="5"/>
  <c r="AW11" i="5" s="1"/>
  <c r="AX11" i="5" s="1"/>
  <c r="O11" i="5" s="1"/>
  <c r="AN17" i="5"/>
  <c r="AX18" i="5"/>
  <c r="O18" i="5" s="1"/>
  <c r="AY18" i="5"/>
  <c r="AZ18" i="5"/>
  <c r="I36" i="5"/>
  <c r="J36" i="5"/>
  <c r="I44" i="5"/>
  <c r="J44" i="5"/>
  <c r="AN20" i="6"/>
  <c r="AO10" i="6"/>
  <c r="AO20" i="6" s="1"/>
  <c r="BL10" i="6"/>
  <c r="BH20" i="6"/>
  <c r="H30" i="6" s="1"/>
  <c r="BI10" i="6"/>
  <c r="BI14" i="6"/>
  <c r="BJ14" i="6"/>
  <c r="AY15" i="6"/>
  <c r="O15" i="6" s="1"/>
  <c r="AZ15" i="6"/>
  <c r="I43" i="6"/>
  <c r="K43" i="6"/>
  <c r="J43" i="6"/>
  <c r="BA15" i="6"/>
  <c r="BA16" i="6"/>
  <c r="AX16" i="6"/>
  <c r="BI18" i="6"/>
  <c r="BJ18" i="6"/>
  <c r="AZ19" i="6"/>
  <c r="BA19" i="6"/>
  <c r="I51" i="6"/>
  <c r="K51" i="6"/>
  <c r="J51" i="6"/>
  <c r="AY19" i="6"/>
  <c r="O19" i="6" s="1"/>
  <c r="AW20" i="6"/>
  <c r="AW12" i="6" s="1"/>
  <c r="AV12" i="6"/>
  <c r="AX12" i="6" s="1"/>
  <c r="AY12" i="6" s="1"/>
  <c r="O12" i="6" s="1"/>
  <c r="J47" i="7"/>
  <c r="K47" i="7"/>
  <c r="I47" i="7"/>
  <c r="BJ12" i="6"/>
  <c r="BJ20" i="6" s="1"/>
  <c r="H28" i="6" s="1"/>
  <c r="BK12" i="6"/>
  <c r="BK20" i="6" s="1"/>
  <c r="H31" i="6" s="1"/>
  <c r="AY13" i="6"/>
  <c r="O13" i="6" s="1"/>
  <c r="AZ13" i="6"/>
  <c r="AX13" i="6"/>
  <c r="BI13" i="6"/>
  <c r="BK14" i="6"/>
  <c r="BK15" i="6"/>
  <c r="BL15" i="6"/>
  <c r="K46" i="6"/>
  <c r="I46" i="6"/>
  <c r="J46" i="6"/>
  <c r="BI17" i="6"/>
  <c r="BK18" i="6"/>
  <c r="I45" i="6"/>
  <c r="K45" i="6"/>
  <c r="J45" i="6"/>
  <c r="AL21" i="5"/>
  <c r="K34" i="6"/>
  <c r="I34" i="6"/>
  <c r="BL19" i="6"/>
  <c r="BJ19" i="6"/>
  <c r="K65" i="6"/>
  <c r="AU11" i="7"/>
  <c r="AS11" i="7"/>
  <c r="AR11" i="7"/>
  <c r="AT11" i="7"/>
  <c r="AZ18" i="7"/>
  <c r="AX18" i="7"/>
  <c r="O18" i="7" s="1"/>
  <c r="AW18" i="7"/>
  <c r="AH19" i="7"/>
  <c r="AI19" i="7"/>
  <c r="J19" i="7" s="1"/>
  <c r="AE21" i="7"/>
  <c r="AD11" i="7"/>
  <c r="AD12" i="7"/>
  <c r="AW13" i="7"/>
  <c r="AX13" i="7"/>
  <c r="O13" i="7" s="1"/>
  <c r="J39" i="7"/>
  <c r="K39" i="7"/>
  <c r="AW15" i="7"/>
  <c r="AZ15" i="7"/>
  <c r="AX15" i="7"/>
  <c r="O15" i="7" s="1"/>
  <c r="AH16" i="7"/>
  <c r="J45" i="7"/>
  <c r="K45" i="7"/>
  <c r="AY18" i="7"/>
  <c r="K40" i="6"/>
  <c r="I40" i="6"/>
  <c r="K44" i="6"/>
  <c r="I44" i="6"/>
  <c r="K48" i="6"/>
  <c r="I48" i="6"/>
  <c r="K52" i="6"/>
  <c r="I52" i="6"/>
  <c r="AC11" i="7"/>
  <c r="AT12" i="7"/>
  <c r="AR12" i="7"/>
  <c r="BH14" i="7"/>
  <c r="BF14" i="7"/>
  <c r="BF21" i="7" s="1"/>
  <c r="H29" i="7" s="1"/>
  <c r="BI14" i="7"/>
  <c r="BG14" i="7"/>
  <c r="J43" i="7"/>
  <c r="K43" i="7"/>
  <c r="AY17" i="7"/>
  <c r="AW17" i="7"/>
  <c r="AZ17" i="7"/>
  <c r="AX17" i="7"/>
  <c r="O17" i="7" s="1"/>
  <c r="I46" i="7"/>
  <c r="J46" i="7"/>
  <c r="BG17" i="7"/>
  <c r="BG21" i="7" s="1"/>
  <c r="H30" i="7" s="1"/>
  <c r="BF17" i="7"/>
  <c r="BI17" i="7"/>
  <c r="BH17" i="7"/>
  <c r="AI18" i="7"/>
  <c r="J18" i="7" s="1"/>
  <c r="AH18" i="7"/>
  <c r="AW19" i="7"/>
  <c r="AY19" i="7"/>
  <c r="AZ19" i="7"/>
  <c r="AI20" i="7"/>
  <c r="J20" i="7" s="1"/>
  <c r="AH20" i="7"/>
  <c r="I45" i="7"/>
  <c r="BI13" i="7"/>
  <c r="BI21" i="7" s="1"/>
  <c r="H32" i="7" s="1"/>
  <c r="AI14" i="7"/>
  <c r="J14" i="7" s="1"/>
  <c r="AX14" i="7"/>
  <c r="O14" i="7" s="1"/>
  <c r="BF18" i="7"/>
  <c r="AZ20" i="7"/>
  <c r="BI20" i="7"/>
  <c r="J52" i="7"/>
  <c r="K52" i="7"/>
  <c r="BM14" i="8"/>
  <c r="BK14" i="8"/>
  <c r="O14" i="8" s="1"/>
  <c r="BL14" i="8"/>
  <c r="BJ14" i="8"/>
  <c r="AY14" i="7"/>
  <c r="AV21" i="7"/>
  <c r="AU12" i="7"/>
  <c r="J37" i="7"/>
  <c r="K37" i="7"/>
  <c r="J38" i="7"/>
  <c r="J40" i="7"/>
  <c r="J41" i="7"/>
  <c r="K41" i="7"/>
  <c r="J42" i="7"/>
  <c r="J44" i="7"/>
  <c r="J48" i="7"/>
  <c r="J49" i="7"/>
  <c r="K49" i="7"/>
  <c r="J50" i="7"/>
  <c r="I51" i="7"/>
  <c r="I52" i="7"/>
  <c r="J63" i="7"/>
  <c r="K65" i="7" s="1"/>
  <c r="AC12" i="7"/>
  <c r="BH13" i="7"/>
  <c r="BH21" i="7" s="1"/>
  <c r="H31" i="7" s="1"/>
  <c r="AW14" i="7"/>
  <c r="AI15" i="7"/>
  <c r="J15" i="7" s="1"/>
  <c r="AZ16" i="7"/>
  <c r="BI16" i="7"/>
  <c r="AY20" i="7"/>
  <c r="BH20" i="7"/>
  <c r="I31" i="8"/>
  <c r="X11" i="8"/>
  <c r="X21" i="8" s="1"/>
  <c r="X22" i="8" s="1"/>
  <c r="Y23" i="8" s="1"/>
  <c r="H27" i="8" s="1"/>
  <c r="BJ12" i="8"/>
  <c r="AZ13" i="8"/>
  <c r="AR13" i="8"/>
  <c r="AX13" i="8"/>
  <c r="AY13" i="8"/>
  <c r="AU14" i="8"/>
  <c r="AW14" i="8"/>
  <c r="AS14" i="8"/>
  <c r="AV14" i="8"/>
  <c r="BU14" i="8"/>
  <c r="BS14" i="8"/>
  <c r="BL16" i="8"/>
  <c r="BJ16" i="8"/>
  <c r="BK16" i="8"/>
  <c r="O16" i="8" s="1"/>
  <c r="BL18" i="8"/>
  <c r="BJ18" i="8"/>
  <c r="BK18" i="8"/>
  <c r="O18" i="8" s="1"/>
  <c r="AC11" i="8"/>
  <c r="AW11" i="8"/>
  <c r="AU11" i="8"/>
  <c r="AV11" i="8"/>
  <c r="BK11" i="8"/>
  <c r="O11" i="8" s="1"/>
  <c r="BE11" i="8"/>
  <c r="BU11" i="8"/>
  <c r="BS11" i="8"/>
  <c r="BS21" i="8" s="1"/>
  <c r="K32" i="8"/>
  <c r="J32" i="8"/>
  <c r="I32" i="8"/>
  <c r="BU12" i="8"/>
  <c r="BS12" i="8"/>
  <c r="BT14" i="8"/>
  <c r="BJ15" i="8"/>
  <c r="BL15" i="8"/>
  <c r="AX16" i="8"/>
  <c r="AZ16" i="8"/>
  <c r="AR16" i="8"/>
  <c r="AY16" i="8"/>
  <c r="BM16" i="8"/>
  <c r="AX18" i="8"/>
  <c r="AZ18" i="8"/>
  <c r="AR18" i="8"/>
  <c r="AY18" i="8"/>
  <c r="BM18" i="8"/>
  <c r="K40" i="8"/>
  <c r="J40" i="8"/>
  <c r="I40" i="8"/>
  <c r="BG11" i="8"/>
  <c r="BH21" i="8"/>
  <c r="BF11" i="8"/>
  <c r="BT11" i="8"/>
  <c r="AW12" i="8"/>
  <c r="AS12" i="8"/>
  <c r="AU12" i="8"/>
  <c r="AV12" i="8"/>
  <c r="J33" i="8"/>
  <c r="I33" i="8"/>
  <c r="K33" i="8"/>
  <c r="BJ17" i="8"/>
  <c r="BL17" i="8"/>
  <c r="BK17" i="8"/>
  <c r="O17" i="8" s="1"/>
  <c r="BJ19" i="8"/>
  <c r="BM19" i="8"/>
  <c r="BL19" i="8"/>
  <c r="BL20" i="8"/>
  <c r="BK20" i="8"/>
  <c r="O20" i="8" s="1"/>
  <c r="BJ20" i="8"/>
  <c r="BM20" i="8"/>
  <c r="AE11" i="8"/>
  <c r="AF21" i="8"/>
  <c r="BR21" i="8"/>
  <c r="BV11" i="8"/>
  <c r="BV12" i="8"/>
  <c r="BK13" i="8"/>
  <c r="O13" i="8" s="1"/>
  <c r="K34" i="8"/>
  <c r="J34" i="8"/>
  <c r="I34" i="8"/>
  <c r="AH14" i="8"/>
  <c r="AT14" i="8"/>
  <c r="AZ15" i="8"/>
  <c r="AR15" i="8"/>
  <c r="AX15" i="8"/>
  <c r="AX21" i="8" s="1"/>
  <c r="AX24" i="8" s="1"/>
  <c r="H28" i="8" s="1"/>
  <c r="AY15" i="8"/>
  <c r="AY21" i="8" s="1"/>
  <c r="AX25" i="8" s="1"/>
  <c r="H29" i="8" s="1"/>
  <c r="BM15" i="8"/>
  <c r="K36" i="8"/>
  <c r="J36" i="8"/>
  <c r="I36" i="8"/>
  <c r="AZ17" i="8"/>
  <c r="AZ21" i="8" s="1"/>
  <c r="AX26" i="8" s="1"/>
  <c r="H30" i="8" s="1"/>
  <c r="AR17" i="8"/>
  <c r="AX17" i="8"/>
  <c r="AY17" i="8"/>
  <c r="BM17" i="8"/>
  <c r="K38" i="8"/>
  <c r="J38" i="8"/>
  <c r="I38" i="8"/>
  <c r="AZ19" i="8"/>
  <c r="AR19" i="8"/>
  <c r="AY19" i="8"/>
  <c r="AX19" i="8"/>
  <c r="AX20" i="8"/>
  <c r="AZ20" i="8"/>
  <c r="AR20" i="8"/>
  <c r="AY20" i="8"/>
  <c r="AP21" i="8"/>
  <c r="AT13" i="8"/>
  <c r="BV13" i="8"/>
  <c r="AT15" i="8"/>
  <c r="BT15" i="8"/>
  <c r="AV16" i="8"/>
  <c r="BV16" i="8"/>
  <c r="AT17" i="8"/>
  <c r="BT17" i="8"/>
  <c r="AV18" i="8"/>
  <c r="BV18" i="8"/>
  <c r="AT19" i="8"/>
  <c r="BT19" i="8"/>
  <c r="AV20" i="8"/>
  <c r="BV20" i="8"/>
  <c r="G31" i="8"/>
  <c r="J31" i="8" s="1"/>
  <c r="K31" i="8" s="1"/>
  <c r="K35" i="8"/>
  <c r="K37" i="8"/>
  <c r="K39" i="8"/>
  <c r="I35" i="8"/>
  <c r="I37" i="8"/>
  <c r="I39" i="8"/>
  <c r="AS11" i="8"/>
  <c r="AT11" i="8" l="1"/>
  <c r="AT21" i="8" s="1"/>
  <c r="J29" i="8"/>
  <c r="K29" i="8" s="1"/>
  <c r="J29" i="7"/>
  <c r="K29" i="7" s="1"/>
  <c r="J28" i="8"/>
  <c r="K28" i="8" s="1"/>
  <c r="J32" i="7"/>
  <c r="K32" i="7" s="1"/>
  <c r="J30" i="7"/>
  <c r="K30" i="7"/>
  <c r="K31" i="6"/>
  <c r="J31" i="6"/>
  <c r="G30" i="2"/>
  <c r="AA11" i="2"/>
  <c r="H30" i="2" s="1"/>
  <c r="J31" i="7"/>
  <c r="K31" i="7" s="1"/>
  <c r="J28" i="6"/>
  <c r="K28" i="6" s="1"/>
  <c r="G38" i="6"/>
  <c r="Z12" i="6"/>
  <c r="Z20" i="6" s="1"/>
  <c r="Y21" i="6" s="1"/>
  <c r="Z22" i="6" s="1"/>
  <c r="H27" i="6" s="1"/>
  <c r="AB12" i="6"/>
  <c r="H38" i="6" s="1"/>
  <c r="J30" i="8"/>
  <c r="K30" i="8" s="1"/>
  <c r="G30" i="5"/>
  <c r="AA11" i="5"/>
  <c r="H30" i="5" s="1"/>
  <c r="J28" i="3"/>
  <c r="K28" i="3" s="1"/>
  <c r="G29" i="2"/>
  <c r="Z11" i="2"/>
  <c r="BV21" i="8"/>
  <c r="AW21" i="8"/>
  <c r="K27" i="8"/>
  <c r="J27" i="8"/>
  <c r="K62" i="5"/>
  <c r="AL24" i="5"/>
  <c r="H26" i="5" s="1"/>
  <c r="K64" i="5"/>
  <c r="AL25" i="5"/>
  <c r="H27" i="5" s="1"/>
  <c r="BL20" i="6"/>
  <c r="H32" i="6" s="1"/>
  <c r="J25" i="7"/>
  <c r="K25" i="7"/>
  <c r="I37" i="6"/>
  <c r="J37" i="6"/>
  <c r="K37" i="6" s="1"/>
  <c r="J31" i="4"/>
  <c r="K31" i="4" s="1"/>
  <c r="AU11" i="3"/>
  <c r="AW11" i="3" s="1"/>
  <c r="AX11" i="3" s="1"/>
  <c r="AV21" i="3"/>
  <c r="AV11" i="3" s="1"/>
  <c r="BJ21" i="4"/>
  <c r="H33" i="4" s="1"/>
  <c r="AL24" i="3"/>
  <c r="H26" i="3" s="1"/>
  <c r="AL25" i="3"/>
  <c r="H27" i="3" s="1"/>
  <c r="AL23" i="3"/>
  <c r="H25" i="3" s="1"/>
  <c r="AV21" i="8"/>
  <c r="AV12" i="7"/>
  <c r="AW12" i="7" s="1"/>
  <c r="AX12" i="7" s="1"/>
  <c r="O12" i="7" s="1"/>
  <c r="AV11" i="7"/>
  <c r="AW11" i="7" s="1"/>
  <c r="AX11" i="7" s="1"/>
  <c r="O11" i="7" s="1"/>
  <c r="K24" i="6"/>
  <c r="J24" i="6"/>
  <c r="K26" i="7"/>
  <c r="J26" i="7"/>
  <c r="AL23" i="5"/>
  <c r="H25" i="5" s="1"/>
  <c r="K25" i="4"/>
  <c r="J25" i="4"/>
  <c r="BI21" i="4"/>
  <c r="H32" i="4" s="1"/>
  <c r="BT21" i="8"/>
  <c r="BI21" i="8"/>
  <c r="BI11" i="8" s="1"/>
  <c r="BH11" i="8"/>
  <c r="BU21" i="8"/>
  <c r="AU21" i="8"/>
  <c r="AP24" i="8" s="1"/>
  <c r="H26" i="8" s="1"/>
  <c r="BI20" i="6"/>
  <c r="H29" i="6" s="1"/>
  <c r="K27" i="7"/>
  <c r="J27" i="7"/>
  <c r="AM23" i="6"/>
  <c r="H25" i="6" s="1"/>
  <c r="AM24" i="6"/>
  <c r="H26" i="6" s="1"/>
  <c r="AN21" i="5"/>
  <c r="AD11" i="4"/>
  <c r="AC11" i="4"/>
  <c r="AH11" i="4" s="1"/>
  <c r="AI11" i="4" s="1"/>
  <c r="J11" i="4" s="1"/>
  <c r="AF11" i="4"/>
  <c r="AG21" i="4"/>
  <c r="AG11" i="4" s="1"/>
  <c r="K26" i="2"/>
  <c r="J26" i="2"/>
  <c r="BG21" i="4"/>
  <c r="H30" i="4" s="1"/>
  <c r="K25" i="2"/>
  <c r="J25" i="2"/>
  <c r="AG21" i="8"/>
  <c r="AG11" i="8" s="1"/>
  <c r="AF11" i="8"/>
  <c r="AH11" i="8" s="1"/>
  <c r="AI11" i="8" s="1"/>
  <c r="AF21" i="7"/>
  <c r="AE12" i="7"/>
  <c r="AE11" i="7"/>
  <c r="J30" i="6"/>
  <c r="K30" i="6" s="1"/>
  <c r="AT11" i="4"/>
  <c r="AU21" i="4"/>
  <c r="AI12" i="6"/>
  <c r="AJ12" i="6" s="1"/>
  <c r="AE11" i="5"/>
  <c r="AH11" i="5" s="1"/>
  <c r="AI11" i="5" s="1"/>
  <c r="J11" i="5" s="1"/>
  <c r="AC11" i="5"/>
  <c r="AD11" i="5"/>
  <c r="I29" i="3"/>
  <c r="J29" i="3"/>
  <c r="K29" i="3" s="1"/>
  <c r="J27" i="4"/>
  <c r="K27" i="4" s="1"/>
  <c r="BH21" i="4"/>
  <c r="H29" i="4" s="1"/>
  <c r="G36" i="7" l="1"/>
  <c r="AA12" i="7"/>
  <c r="H36" i="7" s="1"/>
  <c r="G29" i="5"/>
  <c r="Z11" i="5"/>
  <c r="G34" i="4"/>
  <c r="Z11" i="4"/>
  <c r="G34" i="7"/>
  <c r="Y11" i="7"/>
  <c r="AA11" i="7"/>
  <c r="H34" i="7" s="1"/>
  <c r="AF12" i="7"/>
  <c r="AF11" i="7"/>
  <c r="AG21" i="7"/>
  <c r="J25" i="6"/>
  <c r="K25" i="6"/>
  <c r="J30" i="4"/>
  <c r="K30" i="4" s="1"/>
  <c r="J32" i="4"/>
  <c r="K32" i="4"/>
  <c r="J27" i="3"/>
  <c r="K27" i="3" s="1"/>
  <c r="J32" i="6"/>
  <c r="K32" i="6" s="1"/>
  <c r="I38" i="6"/>
  <c r="J38" i="6"/>
  <c r="K38" i="6" s="1"/>
  <c r="J25" i="5"/>
  <c r="K25" i="5" s="1"/>
  <c r="J29" i="4"/>
  <c r="K29" i="4"/>
  <c r="AV21" i="4"/>
  <c r="AV11" i="4" s="1"/>
  <c r="AU11" i="4"/>
  <c r="AW11" i="4" s="1"/>
  <c r="AX11" i="4" s="1"/>
  <c r="O11" i="4" s="1"/>
  <c r="J26" i="3"/>
  <c r="K26" i="3"/>
  <c r="J27" i="5"/>
  <c r="K27" i="5" s="1"/>
  <c r="J27" i="6"/>
  <c r="K27" i="6" s="1"/>
  <c r="I30" i="2"/>
  <c r="J30" i="2"/>
  <c r="K30" i="2" s="1"/>
  <c r="J26" i="6"/>
  <c r="K26" i="6" s="1"/>
  <c r="J29" i="6"/>
  <c r="K29" i="6" s="1"/>
  <c r="J33" i="4"/>
  <c r="K33" i="4"/>
  <c r="X11" i="2"/>
  <c r="X21" i="2" s="1"/>
  <c r="X22" i="2" s="1"/>
  <c r="Y23" i="2" s="1"/>
  <c r="H28" i="2" s="1"/>
  <c r="H29" i="2"/>
  <c r="I30" i="5"/>
  <c r="J30" i="5"/>
  <c r="K30" i="5"/>
  <c r="Y11" i="2"/>
  <c r="Y21" i="2" s="1"/>
  <c r="J26" i="8"/>
  <c r="K26" i="8" s="1"/>
  <c r="J25" i="3"/>
  <c r="K25" i="3" s="1"/>
  <c r="K49" i="3" s="1"/>
  <c r="J26" i="5"/>
  <c r="K26" i="5" s="1"/>
  <c r="Y11" i="5"/>
  <c r="Y18" i="5" s="1"/>
  <c r="AP23" i="8"/>
  <c r="H25" i="8" s="1"/>
  <c r="K50" i="3" l="1"/>
  <c r="K63" i="3"/>
  <c r="G35" i="4"/>
  <c r="Y11" i="4"/>
  <c r="Y21" i="4" s="1"/>
  <c r="AA11" i="4"/>
  <c r="H35" i="4" s="1"/>
  <c r="K53" i="6"/>
  <c r="K29" i="2"/>
  <c r="J29" i="2"/>
  <c r="I29" i="2"/>
  <c r="AG11" i="7"/>
  <c r="AH11" i="7" s="1"/>
  <c r="AI11" i="7" s="1"/>
  <c r="J11" i="7" s="1"/>
  <c r="AG12" i="7"/>
  <c r="AH12" i="7" s="1"/>
  <c r="AI12" i="7" s="1"/>
  <c r="J12" i="7" s="1"/>
  <c r="I36" i="7"/>
  <c r="J36" i="7"/>
  <c r="K36" i="7" s="1"/>
  <c r="Y12" i="7"/>
  <c r="Y21" i="7" s="1"/>
  <c r="J28" i="2"/>
  <c r="K28" i="2" s="1"/>
  <c r="K49" i="2" s="1"/>
  <c r="J25" i="8"/>
  <c r="K25" i="8" s="1"/>
  <c r="K41" i="8" s="1"/>
  <c r="I34" i="7"/>
  <c r="J34" i="7"/>
  <c r="K34" i="7" s="1"/>
  <c r="H34" i="4"/>
  <c r="X11" i="4"/>
  <c r="X21" i="4" s="1"/>
  <c r="X22" i="4" s="1"/>
  <c r="Y23" i="4" s="1"/>
  <c r="H28" i="4" s="1"/>
  <c r="H29" i="5"/>
  <c r="X11" i="5"/>
  <c r="X18" i="5" s="1"/>
  <c r="X19" i="5" s="1"/>
  <c r="Y20" i="5" s="1"/>
  <c r="H28" i="5" s="1"/>
  <c r="K50" i="2" l="1"/>
  <c r="K63" i="2" s="1"/>
  <c r="G35" i="7"/>
  <c r="Z12" i="7"/>
  <c r="J28" i="5"/>
  <c r="K28" i="5" s="1"/>
  <c r="K49" i="5" s="1"/>
  <c r="G33" i="7"/>
  <c r="Z11" i="7"/>
  <c r="K54" i="6"/>
  <c r="K67" i="6" s="1"/>
  <c r="J28" i="4"/>
  <c r="K28" i="4" s="1"/>
  <c r="K54" i="4" s="1"/>
  <c r="K42" i="8"/>
  <c r="K45" i="8" s="1"/>
  <c r="K29" i="5"/>
  <c r="K70" i="5" s="1"/>
  <c r="I29" i="5"/>
  <c r="J29" i="5"/>
  <c r="J34" i="4"/>
  <c r="K34" i="4"/>
  <c r="I34" i="4"/>
  <c r="J35" i="4"/>
  <c r="K35" i="4" s="1"/>
  <c r="I35" i="4"/>
  <c r="K55" i="4" l="1"/>
  <c r="K62" i="4"/>
  <c r="K50" i="5"/>
  <c r="K57" i="5" s="1"/>
  <c r="X11" i="7"/>
  <c r="H33" i="7"/>
  <c r="X12" i="7"/>
  <c r="H35" i="7"/>
  <c r="J33" i="7" l="1"/>
  <c r="K33" i="7" s="1"/>
  <c r="I33" i="7"/>
  <c r="J35" i="7"/>
  <c r="K35" i="7" s="1"/>
  <c r="I35" i="7"/>
  <c r="X21" i="7"/>
  <c r="X22" i="7" s="1"/>
  <c r="Y23" i="7" s="1"/>
  <c r="H28" i="7" s="1"/>
  <c r="J28" i="7" l="1"/>
  <c r="K28" i="7" s="1"/>
  <c r="K53" i="7" s="1"/>
  <c r="K54" i="7" l="1"/>
  <c r="K67" i="7" s="1"/>
</calcChain>
</file>

<file path=xl/sharedStrings.xml><?xml version="1.0" encoding="utf-8"?>
<sst xmlns="http://schemas.openxmlformats.org/spreadsheetml/2006/main" count="762" uniqueCount="253">
  <si>
    <t>STRUCTURAL ESTIMATE</t>
  </si>
  <si>
    <t>FOOTING</t>
  </si>
  <si>
    <t>WALL FOOTING</t>
  </si>
  <si>
    <t>COLUMN</t>
  </si>
  <si>
    <t>BEAM</t>
  </si>
  <si>
    <t>SLAB</t>
  </si>
  <si>
    <t>WALL</t>
  </si>
  <si>
    <t>MATERIALS PRICE LIST</t>
  </si>
  <si>
    <t>FOOTING ESTIMATE</t>
  </si>
  <si>
    <t>FOOTING DETAILS</t>
  </si>
  <si>
    <t>Quantity</t>
  </si>
  <si>
    <t>Concrete</t>
  </si>
  <si>
    <t>Concrete Mix Class</t>
  </si>
  <si>
    <t>AA</t>
  </si>
  <si>
    <t>Length (m)</t>
  </si>
  <si>
    <t>Width (m)</t>
  </si>
  <si>
    <t>Thickness (m)</t>
  </si>
  <si>
    <t>Concrete Cover (mm)</t>
  </si>
  <si>
    <t>Depth (m)</t>
  </si>
  <si>
    <t>Along Length</t>
  </si>
  <si>
    <t>Along Width</t>
  </si>
  <si>
    <t>Concrete Volume</t>
  </si>
  <si>
    <t>Excavation</t>
  </si>
  <si>
    <t>Backfill</t>
  </si>
  <si>
    <t>AREA</t>
  </si>
  <si>
    <t>Bar Size</t>
  </si>
  <si>
    <t>Economical Bar Length (m)</t>
  </si>
  <si>
    <t>Cutting Length</t>
  </si>
  <si>
    <t>Top Bar (pcs)</t>
  </si>
  <si>
    <t>Bottom Bar (pcs)</t>
  </si>
  <si>
    <t>Tie Wire</t>
  </si>
  <si>
    <t>Bar size</t>
  </si>
  <si>
    <t>Bar Length</t>
  </si>
  <si>
    <t>F-1</t>
  </si>
  <si>
    <t>16mm Ø</t>
  </si>
  <si>
    <t>12mm Ø</t>
  </si>
  <si>
    <t>10mm Ø</t>
  </si>
  <si>
    <t>F-2</t>
  </si>
  <si>
    <t>A</t>
  </si>
  <si>
    <t>F-3</t>
  </si>
  <si>
    <t>B</t>
  </si>
  <si>
    <t>F-4</t>
  </si>
  <si>
    <t>20mm Ø</t>
  </si>
  <si>
    <t>C</t>
  </si>
  <si>
    <t>F-5</t>
  </si>
  <si>
    <t>25mm Ø</t>
  </si>
  <si>
    <t>F-6</t>
  </si>
  <si>
    <t>28mm Ø</t>
  </si>
  <si>
    <t>F-7</t>
  </si>
  <si>
    <t>32mm Ø</t>
  </si>
  <si>
    <t>F-8</t>
  </si>
  <si>
    <t>F-9</t>
  </si>
  <si>
    <t>F-10</t>
  </si>
  <si>
    <t>MATERIALS</t>
  </si>
  <si>
    <t>Cement</t>
  </si>
  <si>
    <t>ITEM</t>
  </si>
  <si>
    <t>QUANTITY</t>
  </si>
  <si>
    <t>UNIT</t>
  </si>
  <si>
    <t>PRICE</t>
  </si>
  <si>
    <t>TOTAL COST</t>
  </si>
  <si>
    <t>Sand</t>
  </si>
  <si>
    <t>bags</t>
  </si>
  <si>
    <t>Gravel</t>
  </si>
  <si>
    <t>cu.m</t>
  </si>
  <si>
    <t>kg</t>
  </si>
  <si>
    <t>TOTAL MATERIAL COST   =</t>
  </si>
  <si>
    <t>LABOR COST (% of Materials)   =</t>
  </si>
  <si>
    <t>Excavation   =</t>
  </si>
  <si>
    <t>per cu.m</t>
  </si>
  <si>
    <t>Backfill   =</t>
  </si>
  <si>
    <t>EXCAVATION COST   =</t>
  </si>
  <si>
    <t>BACKFILL COST   =</t>
  </si>
  <si>
    <t>ONE-BAGGER MIXER OUTPUT =</t>
  </si>
  <si>
    <t>cu.m per day</t>
  </si>
  <si>
    <t>TOTAL DAYS  (rounded up to 1 day) =</t>
  </si>
  <si>
    <t>day</t>
  </si>
  <si>
    <t>ONE-BAGGER MIXER RENTAL RATE   =</t>
  </si>
  <si>
    <t>per day</t>
  </si>
  <si>
    <t>ONE-BAGGER MIXER RENTAL COST   =</t>
  </si>
  <si>
    <t>TOTAL COST   =</t>
  </si>
  <si>
    <t>WALL FOOTING ESTIMATE</t>
  </si>
  <si>
    <t>WALL FOOTING DETAILS</t>
  </si>
  <si>
    <t>Steel Bars Length</t>
  </si>
  <si>
    <t>Main Bars (pcs)</t>
  </si>
  <si>
    <t>Temperature Bars (spacing) (mm)</t>
  </si>
  <si>
    <t>WF-1</t>
  </si>
  <si>
    <t>WF-2</t>
  </si>
  <si>
    <t>WF-3</t>
  </si>
  <si>
    <t>WF-4</t>
  </si>
  <si>
    <t>WF-5</t>
  </si>
  <si>
    <t>WF-6</t>
  </si>
  <si>
    <t>WF-7</t>
  </si>
  <si>
    <t>WF-8</t>
  </si>
  <si>
    <t>WF-9</t>
  </si>
  <si>
    <t>WF-10</t>
  </si>
  <si>
    <t>COLUMN ESTIMATE</t>
  </si>
  <si>
    <t>COLUMN DETAILS</t>
  </si>
  <si>
    <t>B1 (m)</t>
  </si>
  <si>
    <t>B2 (m)</t>
  </si>
  <si>
    <t>Height (m)</t>
  </si>
  <si>
    <t>Footing Depth if Ground Column</t>
  </si>
  <si>
    <t>MAIN REINFORCEMENT</t>
  </si>
  <si>
    <t>LATERAL TIES</t>
  </si>
  <si>
    <t>FORMWORKS</t>
  </si>
  <si>
    <t>MAIN TIES SPACING (mm)</t>
  </si>
  <si>
    <t>PLYWOOD</t>
  </si>
  <si>
    <t>2X2X8</t>
  </si>
  <si>
    <t>2X3X8</t>
  </si>
  <si>
    <t>CWN 2"</t>
  </si>
  <si>
    <t>CWN 3"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</si>
  <si>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</si>
  <si>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</si>
  <si>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</si>
  <si>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</si>
  <si>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</si>
  <si>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</si>
  <si>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</si>
  <si>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</si>
  <si>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</si>
  <si>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</si>
  <si>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pcs</t>
  </si>
  <si>
    <t>Reinforcement</t>
  </si>
  <si>
    <t>CONCRETE POURING USING PUMPCRETE</t>
  </si>
  <si>
    <t>DAYS</t>
  </si>
  <si>
    <t>CONCRETE STRENGTH (psi)</t>
  </si>
  <si>
    <t>READY MIX CONCRETE COST PER CU.M   =</t>
  </si>
  <si>
    <t>READY MIX CONCRETE COST  =</t>
  </si>
  <si>
    <t>LABOR COST (4 SKILLED 7 LABOR)   =</t>
  </si>
  <si>
    <t>LINE PUMP SET-UP   =</t>
  </si>
  <si>
    <t>BOOM SET-UP   =</t>
  </si>
  <si>
    <t>APPROXIMATE BEAM ESTIMATE</t>
  </si>
  <si>
    <t>BEAM DETAILS</t>
  </si>
  <si>
    <t>B (m)</t>
  </si>
  <si>
    <t>H(m)</t>
  </si>
  <si>
    <t>Development Length (m)</t>
  </si>
  <si>
    <t>STIRRUPS</t>
  </si>
  <si>
    <t>At Support</t>
  </si>
  <si>
    <t>At Midspan</t>
  </si>
  <si>
    <t>FOR SHORING JACK</t>
  </si>
  <si>
    <t>FTB-1</t>
  </si>
  <si>
    <t>FTB-2</t>
  </si>
  <si>
    <t>B-1</t>
  </si>
  <si>
    <t>B-2</t>
  </si>
  <si>
    <t>B-3</t>
  </si>
  <si>
    <t>B-4</t>
  </si>
  <si>
    <t>B-5</t>
  </si>
  <si>
    <t>RB-1</t>
  </si>
  <si>
    <t>RB-2</t>
  </si>
  <si>
    <t>RB-3</t>
  </si>
  <si>
    <t>SHORING JACK</t>
  </si>
  <si>
    <t>Area  =</t>
  </si>
  <si>
    <t>sq.m</t>
  </si>
  <si>
    <t>per pc. Rental rate</t>
  </si>
  <si>
    <t>Required Qty.   =</t>
  </si>
  <si>
    <t>SHORING JACK RENTAL (28 DAYS)   =</t>
  </si>
  <si>
    <t>SLAB ESTIMATE</t>
  </si>
  <si>
    <t>SLAB DETAILS</t>
  </si>
  <si>
    <t>Ground or Suspended</t>
  </si>
  <si>
    <t>Top Bar (spacing) (mm)</t>
  </si>
  <si>
    <t>Bottom Bar (spacing) (mm)</t>
  </si>
  <si>
    <t>2X2X12</t>
  </si>
  <si>
    <t>S-1</t>
  </si>
  <si>
    <t>Suspended</t>
  </si>
  <si>
    <t>S-2</t>
  </si>
  <si>
    <t>S-3</t>
  </si>
  <si>
    <t>S-4</t>
  </si>
  <si>
    <t>S-5</t>
  </si>
  <si>
    <t>S-6</t>
  </si>
  <si>
    <t>S-7</t>
  </si>
  <si>
    <t>S-8</t>
  </si>
  <si>
    <t>S-9</t>
  </si>
  <si>
    <t>S-10</t>
  </si>
  <si>
    <t>WALL ESTIMATE</t>
  </si>
  <si>
    <t>WALL DETAILS</t>
  </si>
  <si>
    <t>Mortar Mix Class</t>
  </si>
  <si>
    <t>MORTAR</t>
  </si>
  <si>
    <t>Thickness</t>
  </si>
  <si>
    <t>Plaster Thickness Sides (1 or 2)</t>
  </si>
  <si>
    <t>Deductible Areas (ex. Doors &amp; Windows) (sq.m)</t>
  </si>
  <si>
    <t>Concrete Area</t>
  </si>
  <si>
    <t>Vertical Bars Spacing (mm)</t>
  </si>
  <si>
    <t>Horizontal Bars Spacing (mm)</t>
  </si>
  <si>
    <t>_100mm</t>
  </si>
  <si>
    <t>_150mm</t>
  </si>
  <si>
    <t>_200mm</t>
  </si>
  <si>
    <t>CHB</t>
  </si>
  <si>
    <t>MIX</t>
  </si>
  <si>
    <t>CEMENT MULTIPLIER</t>
  </si>
  <si>
    <t>BAGS OF CEMENT</t>
  </si>
  <si>
    <t>SAND</t>
  </si>
  <si>
    <t>W-1</t>
  </si>
  <si>
    <t>W-2</t>
  </si>
  <si>
    <t>W-3</t>
  </si>
  <si>
    <t>C_</t>
  </si>
  <si>
    <t>W-4</t>
  </si>
  <si>
    <t>D</t>
  </si>
  <si>
    <t>W-5</t>
  </si>
  <si>
    <t>W-6</t>
  </si>
  <si>
    <t>W-7</t>
  </si>
  <si>
    <t>W-8</t>
  </si>
  <si>
    <t>W-9</t>
  </si>
  <si>
    <t>W-10</t>
  </si>
  <si>
    <t>100mm CHB</t>
  </si>
  <si>
    <t>150mm CHB</t>
  </si>
  <si>
    <t>200mm CHB</t>
  </si>
  <si>
    <t>Name</t>
  </si>
  <si>
    <t>Price</t>
  </si>
  <si>
    <t>10mm Ø X 6m</t>
  </si>
  <si>
    <t>10mm Ø X 7.5m</t>
  </si>
  <si>
    <t>10mm Ø X 9m</t>
  </si>
  <si>
    <t>10mm Ø X 10.5m</t>
  </si>
  <si>
    <t>10mm Ø X 12m</t>
  </si>
  <si>
    <t>12mm Ø X 6m</t>
  </si>
  <si>
    <t>12mm Ø X 7.5m</t>
  </si>
  <si>
    <t>12mm Ø X 9m</t>
  </si>
  <si>
    <t>12mm Ø X 10.5m</t>
  </si>
  <si>
    <t>12mm Ø X 12m</t>
  </si>
  <si>
    <t>16mm Ø X 6m</t>
  </si>
  <si>
    <t>16mm Ø X 7.5m</t>
  </si>
  <si>
    <t>16mm Ø X 9m</t>
  </si>
  <si>
    <t>16mm Ø X 10.5m</t>
  </si>
  <si>
    <t>16mm Ø X 12m</t>
  </si>
  <si>
    <t>20mm Ø X 6m</t>
  </si>
  <si>
    <t>20mm Ø X 7.5m</t>
  </si>
  <si>
    <t>20mm Ø X 9m</t>
  </si>
  <si>
    <t>20mm Ø X 10.5m</t>
  </si>
  <si>
    <t>20mm Ø X 12m</t>
  </si>
  <si>
    <t>25mm Ø X 6m</t>
  </si>
  <si>
    <t>25mm Ø X 7.5m</t>
  </si>
  <si>
    <t>25mm Ø X 9m</t>
  </si>
  <si>
    <t>25mm Ø X 10.5m</t>
  </si>
  <si>
    <t>25mm Ø X 12m</t>
  </si>
  <si>
    <t>28mm Ø X 6m</t>
  </si>
  <si>
    <t>28mm Ø X 7.5m</t>
  </si>
  <si>
    <t>28mm Ø X 9m</t>
  </si>
  <si>
    <t>28mm Ø X 10.5m</t>
  </si>
  <si>
    <t>28mm Ø X 12m</t>
  </si>
  <si>
    <t>32mm Ø X 6m</t>
  </si>
  <si>
    <t>32mm Ø X 7.5m</t>
  </si>
  <si>
    <t>32mm Ø X 9m</t>
  </si>
  <si>
    <t>32mm Ø X 10.5m</t>
  </si>
  <si>
    <t>32mm Ø X 12m</t>
  </si>
  <si>
    <t>One-Bagger Mixer</t>
  </si>
  <si>
    <t>2x3x8 Good Lumber</t>
  </si>
  <si>
    <t>2x2x8 Good Lumber</t>
  </si>
  <si>
    <t>2x2x12 Good Lumber</t>
  </si>
  <si>
    <t>3/4" Phenolic Board</t>
  </si>
  <si>
    <t>Common Nail 2"</t>
  </si>
  <si>
    <t>Common Nail 3"</t>
  </si>
  <si>
    <r>
      <t xml:space="preserve">Reinforcement (Rebar Length = </t>
    </r>
    <r>
      <rPr>
        <b/>
        <sz val="20"/>
        <color rgb="FF0070C0"/>
        <rFont val="Bahnschrift"/>
        <family val="2"/>
      </rPr>
      <t>Automatic</t>
    </r>
    <r>
      <rPr>
        <b/>
        <sz val="20"/>
        <color rgb="FF171616"/>
        <rFont val="Bahnschrift"/>
        <family val="2"/>
      </rPr>
      <t>)</t>
    </r>
  </si>
  <si>
    <r>
      <t xml:space="preserve">Reinforcement (Rebar Length = </t>
    </r>
    <r>
      <rPr>
        <b/>
        <sz val="20"/>
        <color rgb="FF0070C0"/>
        <rFont val="Bahnschrift Light"/>
        <family val="2"/>
      </rPr>
      <t>Automatic</t>
    </r>
    <r>
      <rPr>
        <b/>
        <sz val="20"/>
        <color rgb="FF171616"/>
        <rFont val="Bahnschrift Light"/>
        <family val="2"/>
      </rPr>
      <t>)</t>
    </r>
  </si>
  <si>
    <r>
      <t xml:space="preserve">Reinforcement (Rebar Length = </t>
    </r>
    <r>
      <rPr>
        <b/>
        <sz val="20"/>
        <color rgb="FF0070C0"/>
        <rFont val="Bahnschrift"/>
        <family val="2"/>
      </rPr>
      <t>Manual</t>
    </r>
    <r>
      <rPr>
        <b/>
        <sz val="20"/>
        <color rgb="FF171616"/>
        <rFont val="Bahnschrift"/>
        <family val="2"/>
      </rPr>
      <t>)</t>
    </r>
  </si>
  <si>
    <r>
      <t xml:space="preserve">Reinforcement ( Main Rebar Length = </t>
    </r>
    <r>
      <rPr>
        <b/>
        <sz val="20"/>
        <color rgb="FF0070C0"/>
        <rFont val="Bahnschrift"/>
        <family val="2"/>
      </rPr>
      <t>Manual</t>
    </r>
    <r>
      <rPr>
        <b/>
        <sz val="20"/>
        <color rgb="FF171616"/>
        <rFont val="Bahnschrift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</si>
</sst>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"/>
    <numFmt numFmtId="165" formatCode="_-&quot;₱&quot;* #,##0.00_-;\-&quot;₱&quot;* #,##0.00_-;_-&quot;₱&quot;* &quot;-&quot;??_-;_-@"/>
    <numFmt numFmtId="166" formatCode="_-* #,##0.000_-;\-* #,##0.000_-;_-* &quot;-&quot;??_-;_-@"/>
    <numFmt numFmtId="167" formatCode="_-* #,##0_-;\-* #,##0_-;_-* &quot;-&quot;??_-;_-@"/>
    <numFmt numFmtId="168" formatCode="_-* #,##0.0000_-;\-* #,##0.0000_-;_-* &quot;-&quot;??_-;_-@"/>
  </numFmts>
  <fonts count="67">
    <font>
      <sz val="11"/>
      <color theme="1"/>
      <name val="more fonts"/>
      <scheme val="minor"/>
    </font>
    <font>
      <b/>
      <sz val="70"/>
      <color rgb="FFFFD965"/>
      <name val="Comic Sans MS"/>
    </font>
    <font>
      <sz val="11"/>
      <name val="more fonts"/>
    </font>
    <font>
      <sz val="11"/>
      <color theme="1"/>
      <name val="Comic Sans MS"/>
    </font>
    <font>
      <sz val="11"/>
      <color theme="1"/>
      <name val="More fonts"/>
    </font>
    <font>
      <b/>
      <sz val="18"/>
      <color rgb="FFFFE598"/>
      <name val="Comic Sans MS"/>
    </font>
    <font>
      <b/>
      <sz val="36"/>
      <color rgb="FFFFE598"/>
      <name val="Comic Sans MS"/>
    </font>
    <font>
      <b/>
      <sz val="14"/>
      <color theme="1"/>
      <name val="Comic Sans MS"/>
    </font>
    <font>
      <b/>
      <sz val="11"/>
      <color rgb="FF171616"/>
      <name val="Comic Sans MS"/>
    </font>
    <font>
      <b/>
      <sz val="20"/>
      <color rgb="FF171616"/>
      <name val="Comic Sans MS"/>
    </font>
    <font>
      <b/>
      <sz val="12"/>
      <color rgb="FF171616"/>
      <name val="Comic Sans MS"/>
    </font>
    <font>
      <b/>
      <sz val="11"/>
      <color theme="1"/>
      <name val="Comic Sans MS"/>
    </font>
    <font>
      <sz val="11"/>
      <color rgb="FF171616"/>
      <name val="Comic Sans MS"/>
    </font>
    <font>
      <sz val="11"/>
      <color rgb="FF1F3864"/>
      <name val="Comic Sans MS"/>
    </font>
    <font>
      <sz val="11"/>
      <color rgb="FFC00000"/>
      <name val="Comic Sans MS"/>
    </font>
    <font>
      <sz val="11"/>
      <color rgb="FF2F5496"/>
      <name val="Comic Sans MS"/>
    </font>
    <font>
      <b/>
      <sz val="20"/>
      <color rgb="FFFFE598"/>
      <name val="Comic Sans MS"/>
    </font>
    <font>
      <b/>
      <sz val="11"/>
      <color theme="0"/>
      <name val="Comic Sans MS"/>
    </font>
    <font>
      <b/>
      <sz val="11"/>
      <color rgb="FFFFE598"/>
      <name val="Comic Sans MS"/>
    </font>
    <font>
      <b/>
      <sz val="11"/>
      <color rgb="FF833C0B"/>
      <name val="Comic Sans MS"/>
    </font>
    <font>
      <b/>
      <i/>
      <sz val="11"/>
      <color theme="1"/>
      <name val="Comic Sans MS"/>
    </font>
    <font>
      <i/>
      <sz val="11"/>
      <color theme="1"/>
      <name val="Comic Sans MS"/>
    </font>
    <font>
      <sz val="11"/>
      <color theme="0"/>
      <name val="Comic Sans MS"/>
    </font>
    <font>
      <b/>
      <sz val="11"/>
      <color theme="1"/>
      <name val="More fonts"/>
    </font>
    <font>
      <b/>
      <sz val="70"/>
      <color rgb="FFFFD965"/>
      <name val="Bahnschrift SemiBold"/>
      <family val="2"/>
    </font>
    <font>
      <u/>
      <sz val="18"/>
      <color rgb="FFFFE598"/>
      <name val="Bahnschrift"/>
      <family val="2"/>
    </font>
    <font>
      <sz val="11"/>
      <color theme="1"/>
      <name val="Bahnschrift"/>
      <family val="2"/>
    </font>
    <font>
      <b/>
      <sz val="36"/>
      <color rgb="FFFFE598"/>
      <name val="Bahnschrift"/>
      <family val="2"/>
    </font>
    <font>
      <sz val="11"/>
      <name val="Bahnschrift"/>
      <family val="2"/>
    </font>
    <font>
      <b/>
      <sz val="14"/>
      <color theme="1"/>
      <name val="Bahnschrift"/>
      <family val="2"/>
    </font>
    <font>
      <b/>
      <sz val="11"/>
      <color rgb="FF171616"/>
      <name val="Bahnschrift"/>
      <family val="2"/>
    </font>
    <font>
      <b/>
      <sz val="20"/>
      <color rgb="FF171616"/>
      <name val="Bahnschrift"/>
      <family val="2"/>
    </font>
    <font>
      <b/>
      <sz val="12"/>
      <color rgb="FF171616"/>
      <name val="Bahnschrift"/>
      <family val="2"/>
    </font>
    <font>
      <b/>
      <sz val="20"/>
      <color rgb="FF0070C0"/>
      <name val="Bahnschrift"/>
      <family val="2"/>
    </font>
    <font>
      <b/>
      <sz val="11"/>
      <color theme="1"/>
      <name val="Bahnschrift"/>
      <family val="2"/>
    </font>
    <font>
      <sz val="11"/>
      <color rgb="FF171616"/>
      <name val="Bahnschrift"/>
      <family val="2"/>
    </font>
    <font>
      <sz val="11"/>
      <color rgb="FF1F3864"/>
      <name val="Bahnschrift"/>
      <family val="2"/>
    </font>
    <font>
      <sz val="11"/>
      <color rgb="FFC00000"/>
      <name val="Bahnschrift"/>
      <family val="2"/>
    </font>
    <font>
      <sz val="11"/>
      <color rgb="FF2F5496"/>
      <name val="Bahnschrift"/>
      <family val="2"/>
    </font>
    <font>
      <b/>
      <sz val="20"/>
      <color rgb="FFFFE598"/>
      <name val="Bahnschrift"/>
      <family val="2"/>
    </font>
    <font>
      <b/>
      <sz val="11"/>
      <color theme="0"/>
      <name val="Bahnschrift"/>
      <family val="2"/>
    </font>
    <font>
      <b/>
      <sz val="11"/>
      <color rgb="FFFFE598"/>
      <name val="Bahnschrift"/>
      <family val="2"/>
    </font>
    <font>
      <b/>
      <sz val="16"/>
      <color rgb="FF1F3864"/>
      <name val="Bahnschrift"/>
      <family val="2"/>
    </font>
    <font>
      <b/>
      <sz val="11"/>
      <color rgb="FF833C0B"/>
      <name val="Bahnschrift"/>
      <family val="2"/>
    </font>
    <font>
      <b/>
      <i/>
      <sz val="11"/>
      <color theme="1"/>
      <name val="Bahnschrift"/>
      <family val="2"/>
    </font>
    <font>
      <i/>
      <sz val="11"/>
      <color theme="1"/>
      <name val="Bahnschrift"/>
      <family val="2"/>
    </font>
    <font>
      <b/>
      <sz val="36"/>
      <color rgb="FFFFE598"/>
      <name val="Bahnschrift Light"/>
      <family val="2"/>
    </font>
    <font>
      <sz val="11"/>
      <name val="Bahnschrift Light"/>
      <family val="2"/>
    </font>
    <font>
      <sz val="11"/>
      <color theme="1"/>
      <name val="Bahnschrift Light"/>
      <family val="2"/>
    </font>
    <font>
      <b/>
      <sz val="14"/>
      <color theme="1"/>
      <name val="Bahnschrift Light"/>
      <family val="2"/>
    </font>
    <font>
      <b/>
      <sz val="11"/>
      <color rgb="FF171616"/>
      <name val="Bahnschrift Light"/>
      <family val="2"/>
    </font>
    <font>
      <b/>
      <sz val="20"/>
      <color rgb="FF171616"/>
      <name val="Bahnschrift Light"/>
      <family val="2"/>
    </font>
    <font>
      <b/>
      <sz val="12"/>
      <color rgb="FF171616"/>
      <name val="Bahnschrift Light"/>
      <family val="2"/>
    </font>
    <font>
      <b/>
      <sz val="20"/>
      <color rgb="FF0070C0"/>
      <name val="Bahnschrift Light"/>
      <family val="2"/>
    </font>
    <font>
      <b/>
      <sz val="11"/>
      <color theme="1"/>
      <name val="Bahnschrift Light"/>
      <family val="2"/>
    </font>
    <font>
      <sz val="11"/>
      <color rgb="FF171616"/>
      <name val="Bahnschrift Light"/>
      <family val="2"/>
    </font>
    <font>
      <sz val="11"/>
      <color rgb="FF1F3864"/>
      <name val="Bahnschrift Light"/>
      <family val="2"/>
    </font>
    <font>
      <sz val="11"/>
      <color rgb="FFC00000"/>
      <name val="Bahnschrift Light"/>
      <family val="2"/>
    </font>
    <font>
      <sz val="11"/>
      <color rgb="FF2F5496"/>
      <name val="Bahnschrift Light"/>
      <family val="2"/>
    </font>
    <font>
      <b/>
      <sz val="20"/>
      <color rgb="FFFFE598"/>
      <name val="Bahnschrift Light"/>
      <family val="2"/>
    </font>
    <font>
      <b/>
      <sz val="11"/>
      <color theme="0"/>
      <name val="Bahnschrift Light"/>
      <family val="2"/>
    </font>
    <font>
      <b/>
      <sz val="11"/>
      <color rgb="FFFFE598"/>
      <name val="Bahnschrift Light"/>
      <family val="2"/>
    </font>
    <font>
      <b/>
      <sz val="16"/>
      <color rgb="FF1F3864"/>
      <name val="Bahnschrift Light"/>
      <family val="2"/>
    </font>
    <font>
      <b/>
      <sz val="11"/>
      <color rgb="FF833C0B"/>
      <name val="Bahnschrift Light"/>
      <family val="2"/>
    </font>
    <font>
      <b/>
      <i/>
      <sz val="11"/>
      <color theme="1"/>
      <name val="Bahnschrift Light"/>
      <family val="2"/>
    </font>
    <font>
      <i/>
      <sz val="11"/>
      <color theme="1"/>
      <name val="Bahnschrift Light"/>
      <family val="2"/>
    </font>
    <font>
      <b/>
      <sz val="11"/>
      <name val="Bahnschrift Light"/>
      <family val="2"/>
    </font>
  </fonts>
  <fills count="15">
    <fill>
      <patternFill patternType="none"/>
    </fill>
    <fill>
      <patternFill patternType="gray125"/>
    </fill>
    <fill>
      <patternFill patternType="solid">
        <fgColor rgb="FF3A3838"/>
        <bgColor rgb="FF3A3838"/>
      </patternFill>
    </fill>
    <fill>
      <patternFill patternType="solid">
        <fgColor rgb="FF44546A"/>
        <bgColor rgb="FF44546A"/>
      </patternFill>
    </fill>
    <fill>
      <patternFill patternType="solid">
        <fgColor rgb="FF757070"/>
        <bgColor rgb="FF757070"/>
      </patternFill>
    </fill>
    <fill>
      <patternFill patternType="solid">
        <fgColor rgb="FFF2F2F2"/>
        <bgColor rgb="FFF2F2F2"/>
      </patternFill>
    </fill>
    <fill>
      <patternFill patternType="solid">
        <fgColor rgb="FFD0CECE"/>
        <bgColor rgb="FFD0CECE"/>
      </patternFill>
    </fill>
    <fill>
      <patternFill patternType="solid">
        <fgColor rgb="FFE7E6E6"/>
        <bgColor rgb="FFE7E6E6"/>
      </patternFill>
    </fill>
    <fill>
      <patternFill patternType="solid">
        <fgColor rgb="FF1E4E79"/>
        <bgColor rgb="FF1E4E79"/>
      </patternFill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333F4F"/>
        <bgColor rgb="FF333F4F"/>
      </patternFill>
    </fill>
    <fill>
      <patternFill patternType="solid">
        <fgColor rgb="FFD8D8D8"/>
        <bgColor rgb="FFD8D8D8"/>
      </patternFill>
    </fill>
    <fill>
      <patternFill patternType="solid">
        <fgColor rgb="FF548135"/>
        <bgColor rgb="FF548135"/>
      </patternFill>
    </fill>
    <fill>
      <patternFill patternType="solid">
        <fgColor rgb="FFADB9CA"/>
        <bgColor rgb="FFADB9CA"/>
      </patternFill>
    </fill>
  </fills>
  <borders count="7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dotted">
        <color theme="7"/>
      </bottom>
      <diagonal/>
    </border>
    <border>
      <left style="dotted">
        <color theme="7"/>
      </left>
      <right style="dotted">
        <color theme="7"/>
      </right>
      <top style="dotted">
        <color theme="7"/>
      </top>
      <bottom style="dotted">
        <color theme="7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dotted">
        <color rgb="FF8EAADB"/>
      </bottom>
      <diagonal/>
    </border>
    <border>
      <left/>
      <right/>
      <top/>
      <bottom style="dotted">
        <color rgb="FF8EAADB"/>
      </bottom>
      <diagonal/>
    </border>
    <border>
      <left/>
      <right/>
      <top/>
      <bottom style="dotted">
        <color rgb="FF8EAADB"/>
      </bottom>
      <diagonal/>
    </border>
    <border>
      <left style="dotted">
        <color rgb="FF8EAADB"/>
      </left>
      <right style="dotted">
        <color rgb="FF8EAADB"/>
      </right>
      <top style="dotted">
        <color rgb="FF8EAADB"/>
      </top>
      <bottom style="dotted">
        <color rgb="FF8EAADB"/>
      </bottom>
      <diagonal/>
    </border>
    <border>
      <left/>
      <right/>
      <top style="dotted">
        <color rgb="FF8EAADB"/>
      </top>
      <bottom/>
      <diagonal/>
    </border>
    <border>
      <left/>
      <right/>
      <top style="dotted">
        <color rgb="FF8EAADB"/>
      </top>
      <bottom/>
      <diagonal/>
    </border>
    <border>
      <left/>
      <right/>
      <top style="dotted">
        <color rgb="FF8EAADB"/>
      </top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333F4F"/>
      </left>
      <right style="thin">
        <color rgb="FF333F4F"/>
      </right>
      <top style="thin">
        <color rgb="FF333F4F"/>
      </top>
      <bottom/>
      <diagonal/>
    </border>
    <border>
      <left style="thin">
        <color rgb="FF333F4F"/>
      </left>
      <right/>
      <top style="thin">
        <color rgb="FF333F4F"/>
      </top>
      <bottom style="thin">
        <color rgb="FF333F4F"/>
      </bottom>
      <diagonal/>
    </border>
    <border>
      <left/>
      <right/>
      <top style="thin">
        <color rgb="FF333F4F"/>
      </top>
      <bottom style="thin">
        <color rgb="FF333F4F"/>
      </bottom>
      <diagonal/>
    </border>
    <border>
      <left/>
      <right style="thin">
        <color rgb="FF333F4F"/>
      </right>
      <top style="thin">
        <color rgb="FF333F4F"/>
      </top>
      <bottom style="thin">
        <color rgb="FF333F4F"/>
      </bottom>
      <diagonal/>
    </border>
    <border>
      <left style="thin">
        <color rgb="FF000000"/>
      </left>
      <right/>
      <top style="dotted">
        <color rgb="FF8EAADB"/>
      </top>
      <bottom/>
      <diagonal/>
    </border>
    <border>
      <left/>
      <right/>
      <top style="dotted">
        <color rgb="FF8EAADB"/>
      </top>
      <bottom/>
      <diagonal/>
    </border>
    <border>
      <left style="thin">
        <color rgb="FF333F4F"/>
      </left>
      <right style="thin">
        <color rgb="FF333F4F"/>
      </right>
      <top/>
      <bottom style="thin">
        <color rgb="FF333F4F"/>
      </bottom>
      <diagonal/>
    </border>
    <border>
      <left style="thin">
        <color rgb="FF333F4F"/>
      </left>
      <right style="thin">
        <color rgb="FF333F4F"/>
      </right>
      <top style="thin">
        <color rgb="FF333F4F"/>
      </top>
      <bottom style="thin">
        <color rgb="FF333F4F"/>
      </bottom>
      <diagonal/>
    </border>
    <border>
      <left style="thin">
        <color rgb="FF000000"/>
      </left>
      <right/>
      <top style="dotted">
        <color rgb="FF8EAADB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9">
    <xf numFmtId="0" fontId="0" fillId="0" borderId="0" xfId="0" applyFont="1" applyAlignment="1"/>
    <xf numFmtId="0" fontId="4" fillId="2" borderId="4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0" fontId="3" fillId="0" borderId="0" xfId="0" applyFont="1"/>
    <xf numFmtId="0" fontId="3" fillId="4" borderId="4" xfId="0" applyFont="1" applyFill="1" applyBorder="1"/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8" fillId="0" borderId="40" xfId="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164" fontId="8" fillId="0" borderId="41" xfId="0" applyNumberFormat="1" applyFont="1" applyBorder="1" applyAlignment="1">
      <alignment horizontal="center" vertical="center" wrapText="1"/>
    </xf>
    <xf numFmtId="0" fontId="8" fillId="0" borderId="4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40" xfId="0" applyFont="1" applyBorder="1" applyAlignment="1">
      <alignment vertical="center"/>
    </xf>
    <xf numFmtId="164" fontId="12" fillId="7" borderId="41" xfId="0" applyNumberFormat="1" applyFont="1" applyFill="1" applyBorder="1" applyAlignment="1">
      <alignment vertical="center"/>
    </xf>
    <xf numFmtId="0" fontId="12" fillId="7" borderId="41" xfId="0" applyFont="1" applyFill="1" applyBorder="1" applyAlignment="1">
      <alignment vertical="center"/>
    </xf>
    <xf numFmtId="0" fontId="12" fillId="7" borderId="42" xfId="0" applyFont="1" applyFill="1" applyBorder="1" applyAlignment="1">
      <alignment vertical="center"/>
    </xf>
    <xf numFmtId="0" fontId="13" fillId="7" borderId="40" xfId="0" applyFont="1" applyFill="1" applyBorder="1" applyAlignment="1">
      <alignment vertical="center"/>
    </xf>
    <xf numFmtId="0" fontId="14" fillId="0" borderId="41" xfId="0" applyFont="1" applyBorder="1" applyAlignment="1">
      <alignment vertical="center"/>
    </xf>
    <xf numFmtId="164" fontId="15" fillId="0" borderId="41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/>
    <xf numFmtId="0" fontId="3" fillId="0" borderId="43" xfId="0" applyFont="1" applyBorder="1"/>
    <xf numFmtId="164" fontId="12" fillId="7" borderId="45" xfId="0" applyNumberFormat="1" applyFont="1" applyFill="1" applyBorder="1" applyAlignment="1">
      <alignment vertical="center"/>
    </xf>
    <xf numFmtId="0" fontId="12" fillId="7" borderId="45" xfId="0" applyFont="1" applyFill="1" applyBorder="1" applyAlignment="1">
      <alignment vertical="center"/>
    </xf>
    <xf numFmtId="0" fontId="12" fillId="7" borderId="46" xfId="0" applyFont="1" applyFill="1" applyBorder="1" applyAlignment="1">
      <alignment vertical="center"/>
    </xf>
    <xf numFmtId="0" fontId="13" fillId="7" borderId="44" xfId="0" applyFont="1" applyFill="1" applyBorder="1" applyAlignment="1">
      <alignment vertical="center"/>
    </xf>
    <xf numFmtId="0" fontId="14" fillId="0" borderId="45" xfId="0" applyFont="1" applyBorder="1" applyAlignment="1">
      <alignment vertical="center"/>
    </xf>
    <xf numFmtId="0" fontId="11" fillId="0" borderId="50" xfId="0" applyFont="1" applyBorder="1"/>
    <xf numFmtId="0" fontId="3" fillId="0" borderId="50" xfId="0" applyFont="1" applyBorder="1" applyAlignment="1">
      <alignment horizontal="right"/>
    </xf>
    <xf numFmtId="0" fontId="3" fillId="0" borderId="50" xfId="0" applyFont="1" applyBorder="1"/>
    <xf numFmtId="164" fontId="3" fillId="0" borderId="50" xfId="0" applyNumberFormat="1" applyFont="1" applyBorder="1"/>
    <xf numFmtId="165" fontId="3" fillId="0" borderId="50" xfId="0" applyNumberFormat="1" applyFont="1" applyBorder="1"/>
    <xf numFmtId="0" fontId="3" fillId="0" borderId="0" xfId="0" applyFont="1" applyAlignment="1">
      <alignment wrapText="1"/>
    </xf>
    <xf numFmtId="0" fontId="11" fillId="0" borderId="50" xfId="0" applyFont="1" applyBorder="1" applyAlignment="1">
      <alignment horizontal="right" wrapText="1"/>
    </xf>
    <xf numFmtId="0" fontId="3" fillId="0" borderId="50" xfId="0" applyFont="1" applyBorder="1" applyAlignment="1">
      <alignment wrapText="1"/>
    </xf>
    <xf numFmtId="164" fontId="3" fillId="0" borderId="50" xfId="0" applyNumberFormat="1" applyFont="1" applyBorder="1" applyAlignment="1">
      <alignment wrapText="1"/>
    </xf>
    <xf numFmtId="165" fontId="3" fillId="0" borderId="50" xfId="0" applyNumberFormat="1" applyFont="1" applyBorder="1" applyAlignment="1">
      <alignment wrapText="1"/>
    </xf>
    <xf numFmtId="0" fontId="17" fillId="0" borderId="50" xfId="0" applyFont="1" applyBorder="1" applyAlignment="1">
      <alignment horizontal="right" wrapText="1"/>
    </xf>
    <xf numFmtId="165" fontId="18" fillId="3" borderId="4" xfId="0" applyNumberFormat="1" applyFont="1" applyFill="1" applyBorder="1"/>
    <xf numFmtId="165" fontId="18" fillId="4" borderId="4" xfId="0" applyNumberFormat="1" applyFont="1" applyFill="1" applyBorder="1"/>
    <xf numFmtId="0" fontId="11" fillId="0" borderId="0" xfId="0" applyFont="1" applyAlignment="1">
      <alignment horizontal="right"/>
    </xf>
    <xf numFmtId="9" fontId="19" fillId="0" borderId="0" xfId="0" applyNumberFormat="1" applyFont="1"/>
    <xf numFmtId="165" fontId="11" fillId="0" borderId="0" xfId="0" applyNumberFormat="1" applyFont="1"/>
    <xf numFmtId="165" fontId="20" fillId="0" borderId="0" xfId="0" applyNumberFormat="1" applyFont="1"/>
    <xf numFmtId="165" fontId="11" fillId="0" borderId="56" xfId="0" applyNumberFormat="1" applyFont="1" applyBorder="1"/>
    <xf numFmtId="165" fontId="21" fillId="0" borderId="0" xfId="0" applyNumberFormat="1" applyFont="1"/>
    <xf numFmtId="165" fontId="17" fillId="3" borderId="4" xfId="0" applyNumberFormat="1" applyFont="1" applyFill="1" applyBorder="1"/>
    <xf numFmtId="165" fontId="3" fillId="0" borderId="0" xfId="0" applyNumberFormat="1" applyFont="1"/>
    <xf numFmtId="165" fontId="11" fillId="0" borderId="57" xfId="0" applyNumberFormat="1" applyFont="1" applyBorder="1"/>
    <xf numFmtId="0" fontId="3" fillId="0" borderId="41" xfId="0" applyFont="1" applyBorder="1" applyAlignment="1">
      <alignment vertical="center"/>
    </xf>
    <xf numFmtId="0" fontId="3" fillId="0" borderId="42" xfId="0" applyFont="1" applyBorder="1" applyAlignment="1">
      <alignment vertical="center"/>
    </xf>
    <xf numFmtId="0" fontId="3" fillId="0" borderId="45" xfId="0" applyFont="1" applyBorder="1" applyAlignment="1">
      <alignment vertical="center"/>
    </xf>
    <xf numFmtId="0" fontId="3" fillId="0" borderId="46" xfId="0" applyFont="1" applyBorder="1" applyAlignment="1">
      <alignment vertical="center"/>
    </xf>
    <xf numFmtId="164" fontId="3" fillId="0" borderId="42" xfId="0" applyNumberFormat="1" applyFont="1" applyBorder="1" applyAlignment="1">
      <alignment vertical="center"/>
    </xf>
    <xf numFmtId="164" fontId="3" fillId="0" borderId="46" xfId="0" applyNumberFormat="1" applyFont="1" applyBorder="1" applyAlignment="1">
      <alignment vertical="center"/>
    </xf>
    <xf numFmtId="164" fontId="11" fillId="0" borderId="25" xfId="0" applyNumberFormat="1" applyFont="1" applyBorder="1"/>
    <xf numFmtId="164" fontId="19" fillId="0" borderId="56" xfId="0" applyNumberFormat="1" applyFont="1" applyBorder="1"/>
    <xf numFmtId="9" fontId="19" fillId="6" borderId="4" xfId="0" applyNumberFormat="1" applyFont="1" applyFill="1" applyBorder="1"/>
    <xf numFmtId="0" fontId="4" fillId="0" borderId="61" xfId="0" applyFont="1" applyBorder="1"/>
    <xf numFmtId="0" fontId="4" fillId="0" borderId="43" xfId="0" applyFont="1" applyBorder="1"/>
    <xf numFmtId="165" fontId="11" fillId="0" borderId="43" xfId="0" applyNumberFormat="1" applyFont="1" applyBorder="1"/>
    <xf numFmtId="0" fontId="11" fillId="6" borderId="69" xfId="0" applyFont="1" applyFill="1" applyBorder="1"/>
    <xf numFmtId="165" fontId="18" fillId="14" borderId="71" xfId="0" applyNumberFormat="1" applyFont="1" applyFill="1" applyBorder="1"/>
    <xf numFmtId="0" fontId="3" fillId="0" borderId="69" xfId="0" applyFont="1" applyBorder="1"/>
    <xf numFmtId="165" fontId="3" fillId="0" borderId="69" xfId="0" applyNumberFormat="1" applyFont="1" applyBorder="1"/>
    <xf numFmtId="164" fontId="18" fillId="0" borderId="61" xfId="0" applyNumberFormat="1" applyFont="1" applyBorder="1" applyAlignment="1">
      <alignment horizontal="right"/>
    </xf>
    <xf numFmtId="164" fontId="18" fillId="0" borderId="0" xfId="0" applyNumberFormat="1" applyFont="1" applyAlignment="1">
      <alignment horizontal="right"/>
    </xf>
    <xf numFmtId="165" fontId="18" fillId="0" borderId="43" xfId="0" applyNumberFormat="1" applyFont="1" applyBorder="1"/>
    <xf numFmtId="164" fontId="18" fillId="4" borderId="71" xfId="0" applyNumberFormat="1" applyFont="1" applyFill="1" applyBorder="1"/>
    <xf numFmtId="0" fontId="3" fillId="0" borderId="61" xfId="0" applyFont="1" applyBorder="1"/>
    <xf numFmtId="165" fontId="18" fillId="11" borderId="71" xfId="0" applyNumberFormat="1" applyFont="1" applyFill="1" applyBorder="1"/>
    <xf numFmtId="165" fontId="11" fillId="0" borderId="73" xfId="0" applyNumberFormat="1" applyFont="1" applyBorder="1"/>
    <xf numFmtId="0" fontId="3" fillId="0" borderId="24" xfId="0" applyFont="1" applyBorder="1"/>
    <xf numFmtId="165" fontId="3" fillId="0" borderId="25" xfId="0" applyNumberFormat="1" applyFont="1" applyBorder="1"/>
    <xf numFmtId="0" fontId="3" fillId="0" borderId="25" xfId="0" applyFont="1" applyBorder="1"/>
    <xf numFmtId="0" fontId="3" fillId="0" borderId="26" xfId="0" applyFont="1" applyBorder="1"/>
    <xf numFmtId="0" fontId="6" fillId="2" borderId="4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0" fontId="3" fillId="0" borderId="41" xfId="0" applyFont="1" applyBorder="1" applyAlignment="1">
      <alignment horizontal="center" wrapText="1"/>
    </xf>
    <xf numFmtId="0" fontId="11" fillId="0" borderId="41" xfId="0" applyFont="1" applyBorder="1" applyAlignment="1">
      <alignment horizontal="center" wrapText="1"/>
    </xf>
    <xf numFmtId="164" fontId="3" fillId="0" borderId="41" xfId="0" applyNumberFormat="1" applyFont="1" applyBorder="1"/>
    <xf numFmtId="166" fontId="3" fillId="0" borderId="41" xfId="0" applyNumberFormat="1" applyFont="1" applyBorder="1"/>
    <xf numFmtId="167" fontId="3" fillId="0" borderId="0" xfId="0" applyNumberFormat="1" applyFont="1"/>
    <xf numFmtId="166" fontId="3" fillId="0" borderId="0" xfId="0" applyNumberFormat="1" applyFont="1"/>
    <xf numFmtId="166" fontId="11" fillId="0" borderId="41" xfId="0" applyNumberFormat="1" applyFont="1" applyBorder="1"/>
    <xf numFmtId="0" fontId="23" fillId="2" borderId="4" xfId="0" applyFont="1" applyFill="1" applyBorder="1"/>
    <xf numFmtId="165" fontId="4" fillId="2" borderId="4" xfId="0" applyNumberFormat="1" applyFont="1" applyFill="1" applyBorder="1"/>
    <xf numFmtId="0" fontId="23" fillId="0" borderId="0" xfId="0" applyFont="1"/>
    <xf numFmtId="165" fontId="4" fillId="0" borderId="0" xfId="0" applyNumberFormat="1" applyFont="1"/>
    <xf numFmtId="168" fontId="4" fillId="0" borderId="0" xfId="0" applyNumberFormat="1" applyFont="1"/>
    <xf numFmtId="0" fontId="2" fillId="0" borderId="2" xfId="0" applyFont="1" applyBorder="1"/>
    <xf numFmtId="0" fontId="2" fillId="0" borderId="3" xfId="0" applyFont="1" applyBorder="1"/>
    <xf numFmtId="0" fontId="2" fillId="0" borderId="5" xfId="0" applyFont="1" applyBorder="1"/>
    <xf numFmtId="0" fontId="0" fillId="0" borderId="0" xfId="0" applyFont="1" applyAlignment="1"/>
    <xf numFmtId="0" fontId="2" fillId="0" borderId="6" xfId="0" applyFont="1" applyBorder="1"/>
    <xf numFmtId="0" fontId="8" fillId="0" borderId="16" xfId="0" applyFont="1" applyBorder="1" applyAlignment="1">
      <alignment horizontal="center" vertical="center" wrapText="1"/>
    </xf>
    <xf numFmtId="0" fontId="2" fillId="0" borderId="23" xfId="0" applyFont="1" applyBorder="1"/>
    <xf numFmtId="0" fontId="2" fillId="0" borderId="38" xfId="0" applyFont="1" applyBorder="1"/>
    <xf numFmtId="0" fontId="8" fillId="0" borderId="32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/>
    </xf>
    <xf numFmtId="0" fontId="2" fillId="0" borderId="35" xfId="0" applyFont="1" applyBorder="1"/>
    <xf numFmtId="0" fontId="2" fillId="0" borderId="36" xfId="0" applyFont="1" applyBorder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3" xfId="0" applyFont="1" applyBorder="1"/>
    <xf numFmtId="0" fontId="2" fillId="0" borderId="14" xfId="0" applyFont="1" applyBorder="1"/>
    <xf numFmtId="0" fontId="8" fillId="0" borderId="15" xfId="0" applyFont="1" applyBorder="1" applyAlignment="1">
      <alignment horizontal="center" vertical="center"/>
    </xf>
    <xf numFmtId="0" fontId="2" fillId="0" borderId="22" xfId="0" applyFont="1" applyBorder="1"/>
    <xf numFmtId="0" fontId="2" fillId="0" borderId="37" xfId="0" applyFont="1" applyBorder="1"/>
    <xf numFmtId="0" fontId="9" fillId="0" borderId="17" xfId="0" applyFont="1" applyBorder="1" applyAlignment="1">
      <alignment horizontal="center" vertical="center"/>
    </xf>
    <xf numFmtId="0" fontId="2" fillId="0" borderId="18" xfId="0" applyFont="1" applyBorder="1"/>
    <xf numFmtId="0" fontId="2" fillId="0" borderId="19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10" fillId="0" borderId="18" xfId="0" applyFont="1" applyBorder="1" applyAlignment="1">
      <alignment horizontal="center" vertical="center"/>
    </xf>
    <xf numFmtId="0" fontId="2" fillId="0" borderId="20" xfId="0" applyFont="1" applyBorder="1"/>
    <xf numFmtId="0" fontId="9" fillId="0" borderId="21" xfId="0" applyFont="1" applyBorder="1" applyAlignment="1">
      <alignment horizontal="center" vertical="center"/>
    </xf>
    <xf numFmtId="0" fontId="2" fillId="0" borderId="29" xfId="0" applyFont="1" applyBorder="1"/>
    <xf numFmtId="0" fontId="2" fillId="0" borderId="30" xfId="0" applyFont="1" applyBorder="1"/>
    <xf numFmtId="0" fontId="2" fillId="0" borderId="31" xfId="0" applyFont="1" applyBorder="1"/>
    <xf numFmtId="0" fontId="10" fillId="6" borderId="27" xfId="0" applyFont="1" applyFill="1" applyBorder="1" applyAlignment="1">
      <alignment horizontal="center" vertical="center"/>
    </xf>
    <xf numFmtId="0" fontId="2" fillId="0" borderId="28" xfId="0" applyFont="1" applyBorder="1"/>
    <xf numFmtId="0" fontId="2" fillId="0" borderId="52" xfId="0" applyFont="1" applyBorder="1"/>
    <xf numFmtId="0" fontId="2" fillId="0" borderId="53" xfId="0" applyFont="1" applyBorder="1"/>
    <xf numFmtId="0" fontId="11" fillId="0" borderId="0" xfId="0" applyFont="1" applyAlignment="1">
      <alignment horizontal="right"/>
    </xf>
    <xf numFmtId="0" fontId="17" fillId="3" borderId="12" xfId="0" applyFont="1" applyFill="1" applyBorder="1" applyAlignment="1">
      <alignment horizontal="right"/>
    </xf>
    <xf numFmtId="0" fontId="8" fillId="0" borderId="33" xfId="0" applyFont="1" applyBorder="1" applyAlignment="1">
      <alignment horizontal="center" vertical="center" wrapText="1"/>
    </xf>
    <xf numFmtId="0" fontId="2" fillId="0" borderId="39" xfId="0" applyFont="1" applyBorder="1"/>
    <xf numFmtId="0" fontId="16" fillId="8" borderId="1" xfId="0" applyFont="1" applyFill="1" applyBorder="1" applyAlignment="1">
      <alignment horizontal="center"/>
    </xf>
    <xf numFmtId="0" fontId="2" fillId="0" borderId="47" xfId="0" applyFont="1" applyBorder="1"/>
    <xf numFmtId="0" fontId="2" fillId="0" borderId="48" xfId="0" applyFont="1" applyBorder="1"/>
    <xf numFmtId="0" fontId="2" fillId="0" borderId="49" xfId="0" applyFont="1" applyBorder="1"/>
    <xf numFmtId="165" fontId="18" fillId="3" borderId="51" xfId="0" applyNumberFormat="1" applyFont="1" applyFill="1" applyBorder="1" applyAlignment="1">
      <alignment horizontal="right"/>
    </xf>
    <xf numFmtId="0" fontId="18" fillId="4" borderId="12" xfId="0" applyFont="1" applyFill="1" applyBorder="1" applyAlignment="1">
      <alignment horizontal="right"/>
    </xf>
    <xf numFmtId="0" fontId="7" fillId="0" borderId="0" xfId="0" applyFont="1" applyAlignment="1">
      <alignment horizontal="center" vertical="center"/>
    </xf>
    <xf numFmtId="164" fontId="11" fillId="14" borderId="70" xfId="0" applyNumberFormat="1" applyFont="1" applyFill="1" applyBorder="1" applyAlignment="1">
      <alignment horizontal="right"/>
    </xf>
    <xf numFmtId="0" fontId="18" fillId="4" borderId="72" xfId="0" applyFont="1" applyFill="1" applyBorder="1" applyAlignment="1">
      <alignment horizontal="right"/>
    </xf>
    <xf numFmtId="0" fontId="18" fillId="11" borderId="72" xfId="0" applyFont="1" applyFill="1" applyBorder="1" applyAlignment="1">
      <alignment horizontal="right"/>
    </xf>
    <xf numFmtId="0" fontId="22" fillId="13" borderId="58" xfId="0" applyFont="1" applyFill="1" applyBorder="1" applyAlignment="1">
      <alignment horizontal="center"/>
    </xf>
    <xf numFmtId="0" fontId="2" fillId="0" borderId="59" xfId="0" applyFont="1" applyBorder="1"/>
    <xf numFmtId="0" fontId="2" fillId="0" borderId="60" xfId="0" applyFont="1" applyBorder="1"/>
    <xf numFmtId="0" fontId="11" fillId="0" borderId="62" xfId="0" applyFont="1" applyBorder="1" applyAlignment="1">
      <alignment horizontal="center" vertical="center"/>
    </xf>
    <xf numFmtId="0" fontId="2" fillId="0" borderId="68" xfId="0" applyFont="1" applyBorder="1"/>
    <xf numFmtId="0" fontId="11" fillId="0" borderId="63" xfId="0" applyFont="1" applyBorder="1" applyAlignment="1">
      <alignment horizontal="center"/>
    </xf>
    <xf numFmtId="0" fontId="2" fillId="0" borderId="64" xfId="0" applyFont="1" applyBorder="1"/>
    <xf numFmtId="0" fontId="2" fillId="0" borderId="65" xfId="0" applyFont="1" applyBorder="1"/>
    <xf numFmtId="164" fontId="11" fillId="0" borderId="66" xfId="0" applyNumberFormat="1" applyFont="1" applyBorder="1" applyAlignment="1">
      <alignment horizontal="right"/>
    </xf>
    <xf numFmtId="0" fontId="2" fillId="0" borderId="67" xfId="0" applyFont="1" applyBorder="1"/>
    <xf numFmtId="0" fontId="3" fillId="0" borderId="27" xfId="0" applyFont="1" applyBorder="1" applyAlignment="1">
      <alignment horizontal="center"/>
    </xf>
    <xf numFmtId="0" fontId="2" fillId="0" borderId="56" xfId="0" applyFont="1" applyBorder="1"/>
    <xf numFmtId="0" fontId="2" fillId="0" borderId="77" xfId="0" applyFont="1" applyBorder="1"/>
    <xf numFmtId="0" fontId="3" fillId="0" borderId="32" xfId="0" applyFont="1" applyBorder="1" applyAlignment="1">
      <alignment horizont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center" vertical="center"/>
    </xf>
    <xf numFmtId="0" fontId="25" fillId="3" borderId="8" xfId="0" applyFont="1" applyFill="1" applyBorder="1" applyAlignment="1">
      <alignment horizontal="center" vertical="center" wrapText="1"/>
    </xf>
    <xf numFmtId="0" fontId="26" fillId="0" borderId="0" xfId="0" applyFont="1" applyAlignment="1"/>
    <xf numFmtId="0" fontId="27" fillId="2" borderId="1" xfId="0" applyFont="1" applyFill="1" applyBorder="1" applyAlignment="1">
      <alignment horizontal="center"/>
    </xf>
    <xf numFmtId="0" fontId="28" fillId="0" borderId="2" xfId="0" applyFont="1" applyBorder="1"/>
    <xf numFmtId="0" fontId="28" fillId="0" borderId="3" xfId="0" applyFont="1" applyBorder="1"/>
    <xf numFmtId="0" fontId="26" fillId="0" borderId="0" xfId="0" applyFont="1"/>
    <xf numFmtId="0" fontId="28" fillId="0" borderId="5" xfId="0" applyFont="1" applyBorder="1"/>
    <xf numFmtId="0" fontId="26" fillId="0" borderId="0" xfId="0" applyFont="1" applyAlignment="1"/>
    <xf numFmtId="0" fontId="28" fillId="0" borderId="6" xfId="0" applyFont="1" applyBorder="1"/>
    <xf numFmtId="0" fontId="28" fillId="0" borderId="9" xfId="0" applyFont="1" applyBorder="1"/>
    <xf numFmtId="0" fontId="28" fillId="0" borderId="10" xfId="0" applyFont="1" applyBorder="1"/>
    <xf numFmtId="0" fontId="28" fillId="0" borderId="11" xfId="0" applyFont="1" applyBorder="1"/>
    <xf numFmtId="0" fontId="26" fillId="4" borderId="4" xfId="0" applyFont="1" applyFill="1" applyBorder="1"/>
    <xf numFmtId="0" fontId="29" fillId="5" borderId="12" xfId="0" applyFont="1" applyFill="1" applyBorder="1" applyAlignment="1">
      <alignment horizontal="center" vertical="center"/>
    </xf>
    <xf numFmtId="0" fontId="28" fillId="0" borderId="13" xfId="0" applyFont="1" applyBorder="1"/>
    <xf numFmtId="0" fontId="28" fillId="0" borderId="14" xfId="0" applyFont="1" applyBorder="1"/>
    <xf numFmtId="0" fontId="30" fillId="0" borderId="15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 vertical="center" wrapText="1"/>
    </xf>
    <xf numFmtId="0" fontId="31" fillId="0" borderId="17" xfId="0" applyFont="1" applyBorder="1" applyAlignment="1">
      <alignment horizontal="center" vertical="center"/>
    </xf>
    <xf numFmtId="0" fontId="28" fillId="0" borderId="18" xfId="0" applyFont="1" applyBorder="1"/>
    <xf numFmtId="0" fontId="28" fillId="0" borderId="19" xfId="0" applyFont="1" applyBorder="1"/>
    <xf numFmtId="0" fontId="32" fillId="0" borderId="18" xfId="0" applyFont="1" applyBorder="1" applyAlignment="1">
      <alignment horizontal="center" vertical="center"/>
    </xf>
    <xf numFmtId="0" fontId="28" fillId="0" borderId="20" xfId="0" applyFont="1" applyBorder="1"/>
    <xf numFmtId="0" fontId="31" fillId="0" borderId="21" xfId="0" applyFont="1" applyBorder="1" applyAlignment="1">
      <alignment horizontal="center" vertical="center"/>
    </xf>
    <xf numFmtId="0" fontId="28" fillId="0" borderId="22" xfId="0" applyFont="1" applyBorder="1"/>
    <xf numFmtId="0" fontId="28" fillId="0" borderId="23" xfId="0" applyFont="1" applyBorder="1"/>
    <xf numFmtId="0" fontId="28" fillId="0" borderId="24" xfId="0" applyFont="1" applyBorder="1"/>
    <xf numFmtId="0" fontId="28" fillId="0" borderId="25" xfId="0" applyFont="1" applyBorder="1"/>
    <xf numFmtId="0" fontId="28" fillId="0" borderId="26" xfId="0" applyFont="1" applyBorder="1"/>
    <xf numFmtId="0" fontId="32" fillId="6" borderId="27" xfId="0" applyFont="1" applyFill="1" applyBorder="1" applyAlignment="1">
      <alignment horizontal="center" vertical="center"/>
    </xf>
    <xf numFmtId="0" fontId="28" fillId="0" borderId="28" xfId="0" applyFont="1" applyBorder="1"/>
    <xf numFmtId="0" fontId="28" fillId="0" borderId="29" xfId="0" applyFont="1" applyBorder="1"/>
    <xf numFmtId="0" fontId="28" fillId="0" borderId="30" xfId="0" applyFont="1" applyBorder="1"/>
    <xf numFmtId="0" fontId="28" fillId="0" borderId="31" xfId="0" applyFont="1" applyBorder="1"/>
    <xf numFmtId="0" fontId="30" fillId="0" borderId="32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0" fillId="0" borderId="34" xfId="0" applyFont="1" applyBorder="1" applyAlignment="1">
      <alignment horizontal="center" vertical="center"/>
    </xf>
    <xf numFmtId="0" fontId="28" fillId="0" borderId="35" xfId="0" applyFont="1" applyBorder="1"/>
    <xf numFmtId="0" fontId="28" fillId="0" borderId="36" xfId="0" applyFont="1" applyBorder="1"/>
    <xf numFmtId="0" fontId="28" fillId="0" borderId="37" xfId="0" applyFont="1" applyBorder="1"/>
    <xf numFmtId="0" fontId="28" fillId="0" borderId="38" xfId="0" applyFont="1" applyBorder="1"/>
    <xf numFmtId="0" fontId="28" fillId="0" borderId="39" xfId="0" applyFont="1" applyBorder="1"/>
    <xf numFmtId="0" fontId="30" fillId="0" borderId="40" xfId="0" applyFont="1" applyBorder="1" applyAlignment="1">
      <alignment horizontal="center" vertical="center" wrapText="1"/>
    </xf>
    <xf numFmtId="0" fontId="30" fillId="0" borderId="41" xfId="0" applyFont="1" applyBorder="1" applyAlignment="1">
      <alignment horizontal="center" vertical="center" wrapText="1"/>
    </xf>
    <xf numFmtId="164" fontId="30" fillId="0" borderId="41" xfId="0" applyNumberFormat="1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26" fillId="0" borderId="40" xfId="0" applyFont="1" applyBorder="1" applyAlignment="1">
      <alignment vertical="center"/>
    </xf>
    <xf numFmtId="164" fontId="35" fillId="7" borderId="41" xfId="0" applyNumberFormat="1" applyFont="1" applyFill="1" applyBorder="1" applyAlignment="1">
      <alignment vertical="center"/>
    </xf>
    <xf numFmtId="0" fontId="35" fillId="7" borderId="41" xfId="0" applyFont="1" applyFill="1" applyBorder="1" applyAlignment="1">
      <alignment vertical="center"/>
    </xf>
    <xf numFmtId="0" fontId="35" fillId="7" borderId="42" xfId="0" applyFont="1" applyFill="1" applyBorder="1" applyAlignment="1">
      <alignment vertical="center"/>
    </xf>
    <xf numFmtId="0" fontId="36" fillId="7" borderId="40" xfId="0" applyFont="1" applyFill="1" applyBorder="1" applyAlignment="1">
      <alignment vertical="center"/>
    </xf>
    <xf numFmtId="0" fontId="37" fillId="0" borderId="41" xfId="0" applyFont="1" applyBorder="1" applyAlignment="1">
      <alignment vertical="center"/>
    </xf>
    <xf numFmtId="164" fontId="38" fillId="0" borderId="41" xfId="0" applyNumberFormat="1" applyFont="1" applyBorder="1" applyAlignment="1">
      <alignment vertical="center"/>
    </xf>
    <xf numFmtId="0" fontId="26" fillId="6" borderId="41" xfId="0" applyFont="1" applyFill="1" applyBorder="1" applyAlignment="1">
      <alignment vertical="center"/>
    </xf>
    <xf numFmtId="0" fontId="26" fillId="6" borderId="42" xfId="0" applyFont="1" applyFill="1" applyBorder="1" applyAlignment="1">
      <alignment vertical="center"/>
    </xf>
    <xf numFmtId="0" fontId="36" fillId="6" borderId="40" xfId="0" applyFont="1" applyFill="1" applyBorder="1" applyAlignment="1">
      <alignment vertical="center"/>
    </xf>
    <xf numFmtId="0" fontId="26" fillId="0" borderId="44" xfId="0" applyFont="1" applyBorder="1" applyAlignment="1">
      <alignment vertical="center"/>
    </xf>
    <xf numFmtId="164" fontId="35" fillId="7" borderId="45" xfId="0" applyNumberFormat="1" applyFont="1" applyFill="1" applyBorder="1" applyAlignment="1">
      <alignment vertical="center"/>
    </xf>
    <xf numFmtId="0" fontId="35" fillId="7" borderId="45" xfId="0" applyFont="1" applyFill="1" applyBorder="1" applyAlignment="1">
      <alignment vertical="center"/>
    </xf>
    <xf numFmtId="0" fontId="35" fillId="7" borderId="46" xfId="0" applyFont="1" applyFill="1" applyBorder="1" applyAlignment="1">
      <alignment vertical="center"/>
    </xf>
    <xf numFmtId="0" fontId="36" fillId="7" borderId="44" xfId="0" applyFont="1" applyFill="1" applyBorder="1" applyAlignment="1">
      <alignment vertical="center"/>
    </xf>
    <xf numFmtId="0" fontId="37" fillId="0" borderId="45" xfId="0" applyFont="1" applyBorder="1" applyAlignment="1">
      <alignment vertical="center"/>
    </xf>
    <xf numFmtId="164" fontId="38" fillId="0" borderId="45" xfId="0" applyNumberFormat="1" applyFont="1" applyBorder="1" applyAlignment="1">
      <alignment vertical="center"/>
    </xf>
    <xf numFmtId="0" fontId="26" fillId="6" borderId="45" xfId="0" applyFont="1" applyFill="1" applyBorder="1" applyAlignment="1">
      <alignment vertical="center"/>
    </xf>
    <xf numFmtId="0" fontId="26" fillId="6" borderId="46" xfId="0" applyFont="1" applyFill="1" applyBorder="1" applyAlignment="1">
      <alignment vertical="center"/>
    </xf>
    <xf numFmtId="0" fontId="36" fillId="6" borderId="44" xfId="0" applyFont="1" applyFill="1" applyBorder="1" applyAlignment="1">
      <alignment vertical="center"/>
    </xf>
    <xf numFmtId="0" fontId="39" fillId="8" borderId="1" xfId="0" applyFont="1" applyFill="1" applyBorder="1" applyAlignment="1">
      <alignment horizontal="center"/>
    </xf>
    <xf numFmtId="0" fontId="28" fillId="0" borderId="47" xfId="0" applyFont="1" applyBorder="1"/>
    <xf numFmtId="0" fontId="28" fillId="0" borderId="48" xfId="0" applyFont="1" applyBorder="1"/>
    <xf numFmtId="0" fontId="28" fillId="0" borderId="49" xfId="0" applyFont="1" applyBorder="1"/>
    <xf numFmtId="0" fontId="34" fillId="0" borderId="50" xfId="0" applyFont="1" applyBorder="1"/>
    <xf numFmtId="0" fontId="26" fillId="0" borderId="50" xfId="0" applyFont="1" applyBorder="1" applyAlignment="1">
      <alignment horizontal="right"/>
    </xf>
    <xf numFmtId="0" fontId="26" fillId="0" borderId="50" xfId="0" applyFont="1" applyBorder="1"/>
    <xf numFmtId="164" fontId="26" fillId="0" borderId="50" xfId="0" applyNumberFormat="1" applyFont="1" applyBorder="1"/>
    <xf numFmtId="165" fontId="26" fillId="0" borderId="50" xfId="0" applyNumberFormat="1" applyFont="1" applyBorder="1"/>
    <xf numFmtId="0" fontId="26" fillId="0" borderId="0" xfId="0" applyFont="1" applyAlignment="1">
      <alignment wrapText="1"/>
    </xf>
    <xf numFmtId="0" fontId="34" fillId="0" borderId="50" xfId="0" applyFont="1" applyBorder="1" applyAlignment="1">
      <alignment horizontal="right" wrapText="1"/>
    </xf>
    <xf numFmtId="0" fontId="26" fillId="0" borderId="50" xfId="0" applyFont="1" applyBorder="1" applyAlignment="1">
      <alignment wrapText="1"/>
    </xf>
    <xf numFmtId="164" fontId="26" fillId="0" borderId="50" xfId="0" applyNumberFormat="1" applyFont="1" applyBorder="1" applyAlignment="1">
      <alignment wrapText="1"/>
    </xf>
    <xf numFmtId="165" fontId="26" fillId="0" borderId="50" xfId="0" applyNumberFormat="1" applyFont="1" applyBorder="1" applyAlignment="1">
      <alignment wrapText="1"/>
    </xf>
    <xf numFmtId="0" fontId="40" fillId="0" borderId="50" xfId="0" applyFont="1" applyBorder="1" applyAlignment="1">
      <alignment horizontal="right" wrapText="1"/>
    </xf>
    <xf numFmtId="165" fontId="41" fillId="3" borderId="51" xfId="0" applyNumberFormat="1" applyFont="1" applyFill="1" applyBorder="1" applyAlignment="1">
      <alignment horizontal="right"/>
    </xf>
    <xf numFmtId="0" fontId="28" fillId="0" borderId="52" xfId="0" applyFont="1" applyBorder="1"/>
    <xf numFmtId="0" fontId="28" fillId="0" borderId="53" xfId="0" applyFont="1" applyBorder="1"/>
    <xf numFmtId="165" fontId="41" fillId="3" borderId="4" xfId="0" applyNumberFormat="1" applyFont="1" applyFill="1" applyBorder="1"/>
    <xf numFmtId="0" fontId="41" fillId="4" borderId="12" xfId="0" applyFont="1" applyFill="1" applyBorder="1" applyAlignment="1">
      <alignment horizontal="right"/>
    </xf>
    <xf numFmtId="9" fontId="42" fillId="9" borderId="54" xfId="0" applyNumberFormat="1" applyFont="1" applyFill="1" applyBorder="1" applyAlignment="1">
      <alignment horizontal="center"/>
    </xf>
    <xf numFmtId="165" fontId="41" fillId="4" borderId="4" xfId="0" applyNumberFormat="1" applyFont="1" applyFill="1" applyBorder="1"/>
    <xf numFmtId="0" fontId="34" fillId="0" borderId="0" xfId="0" applyFont="1" applyAlignment="1">
      <alignment horizontal="right"/>
    </xf>
    <xf numFmtId="9" fontId="43" fillId="0" borderId="0" xfId="0" applyNumberFormat="1" applyFont="1"/>
    <xf numFmtId="165" fontId="34" fillId="0" borderId="0" xfId="0" applyNumberFormat="1" applyFont="1"/>
    <xf numFmtId="0" fontId="34" fillId="0" borderId="0" xfId="0" applyFont="1" applyAlignment="1">
      <alignment horizontal="right"/>
    </xf>
    <xf numFmtId="164" fontId="34" fillId="0" borderId="0" xfId="0" applyNumberFormat="1" applyFont="1"/>
    <xf numFmtId="0" fontId="34" fillId="0" borderId="0" xfId="0" applyFont="1"/>
    <xf numFmtId="165" fontId="43" fillId="0" borderId="0" xfId="0" applyNumberFormat="1" applyFont="1"/>
    <xf numFmtId="165" fontId="40" fillId="10" borderId="51" xfId="0" applyNumberFormat="1" applyFont="1" applyFill="1" applyBorder="1" applyAlignment="1">
      <alignment horizontal="right"/>
    </xf>
    <xf numFmtId="165" fontId="40" fillId="10" borderId="4" xfId="0" applyNumberFormat="1" applyFont="1" applyFill="1" applyBorder="1"/>
    <xf numFmtId="165" fontId="40" fillId="11" borderId="51" xfId="0" applyNumberFormat="1" applyFont="1" applyFill="1" applyBorder="1" applyAlignment="1">
      <alignment horizontal="right"/>
    </xf>
    <xf numFmtId="165" fontId="40" fillId="11" borderId="4" xfId="0" applyNumberFormat="1" applyFont="1" applyFill="1" applyBorder="1"/>
    <xf numFmtId="164" fontId="34" fillId="6" borderId="55" xfId="0" applyNumberFormat="1" applyFont="1" applyFill="1" applyBorder="1"/>
    <xf numFmtId="165" fontId="44" fillId="0" borderId="0" xfId="0" applyNumberFormat="1" applyFont="1"/>
    <xf numFmtId="164" fontId="34" fillId="0" borderId="56" xfId="0" applyNumberFormat="1" applyFont="1" applyBorder="1"/>
    <xf numFmtId="165" fontId="34" fillId="0" borderId="56" xfId="0" applyNumberFormat="1" applyFont="1" applyBorder="1"/>
    <xf numFmtId="165" fontId="45" fillId="0" borderId="0" xfId="0" applyNumberFormat="1" applyFont="1"/>
    <xf numFmtId="0" fontId="40" fillId="3" borderId="12" xfId="0" applyFont="1" applyFill="1" applyBorder="1" applyAlignment="1">
      <alignment horizontal="right"/>
    </xf>
    <xf numFmtId="165" fontId="40" fillId="3" borderId="4" xfId="0" applyNumberFormat="1" applyFont="1" applyFill="1" applyBorder="1"/>
    <xf numFmtId="165" fontId="26" fillId="0" borderId="0" xfId="0" applyNumberFormat="1" applyFont="1"/>
    <xf numFmtId="165" fontId="34" fillId="0" borderId="57" xfId="0" applyNumberFormat="1" applyFont="1" applyBorder="1"/>
    <xf numFmtId="0" fontId="46" fillId="2" borderId="1" xfId="0" applyFont="1" applyFill="1" applyBorder="1" applyAlignment="1">
      <alignment horizontal="center"/>
    </xf>
    <xf numFmtId="0" fontId="47" fillId="0" borderId="2" xfId="0" applyFont="1" applyBorder="1"/>
    <xf numFmtId="0" fontId="47" fillId="0" borderId="3" xfId="0" applyFont="1" applyBorder="1"/>
    <xf numFmtId="0" fontId="48" fillId="0" borderId="0" xfId="0" applyFont="1"/>
    <xf numFmtId="0" fontId="48" fillId="0" borderId="0" xfId="0" applyFont="1" applyAlignment="1"/>
    <xf numFmtId="0" fontId="47" fillId="0" borderId="5" xfId="0" applyFont="1" applyBorder="1"/>
    <xf numFmtId="0" fontId="48" fillId="0" borderId="0" xfId="0" applyFont="1" applyAlignment="1"/>
    <xf numFmtId="0" fontId="47" fillId="0" borderId="6" xfId="0" applyFont="1" applyBorder="1"/>
    <xf numFmtId="0" fontId="47" fillId="0" borderId="9" xfId="0" applyFont="1" applyBorder="1"/>
    <xf numFmtId="0" fontId="47" fillId="0" borderId="10" xfId="0" applyFont="1" applyBorder="1"/>
    <xf numFmtId="0" fontId="47" fillId="0" borderId="11" xfId="0" applyFont="1" applyBorder="1"/>
    <xf numFmtId="0" fontId="48" fillId="4" borderId="4" xfId="0" applyFont="1" applyFill="1" applyBorder="1"/>
    <xf numFmtId="0" fontId="49" fillId="5" borderId="12" xfId="0" applyFont="1" applyFill="1" applyBorder="1" applyAlignment="1">
      <alignment horizontal="center" vertical="center"/>
    </xf>
    <xf numFmtId="0" fontId="47" fillId="0" borderId="13" xfId="0" applyFont="1" applyBorder="1"/>
    <xf numFmtId="0" fontId="47" fillId="0" borderId="14" xfId="0" applyFont="1" applyBorder="1"/>
    <xf numFmtId="0" fontId="49" fillId="0" borderId="0" xfId="0" applyFont="1" applyAlignment="1">
      <alignment horizontal="center" vertical="center"/>
    </xf>
    <xf numFmtId="0" fontId="50" fillId="0" borderId="15" xfId="0" applyFont="1" applyBorder="1" applyAlignment="1">
      <alignment horizontal="center" vertical="center"/>
    </xf>
    <xf numFmtId="0" fontId="50" fillId="0" borderId="16" xfId="0" applyFont="1" applyBorder="1" applyAlignment="1">
      <alignment horizontal="center" vertical="center" wrapText="1"/>
    </xf>
    <xf numFmtId="0" fontId="51" fillId="0" borderId="17" xfId="0" applyFont="1" applyBorder="1" applyAlignment="1">
      <alignment horizontal="center" vertical="center"/>
    </xf>
    <xf numFmtId="0" fontId="47" fillId="0" borderId="18" xfId="0" applyFont="1" applyBorder="1"/>
    <xf numFmtId="0" fontId="47" fillId="0" borderId="19" xfId="0" applyFont="1" applyBorder="1"/>
    <xf numFmtId="0" fontId="52" fillId="0" borderId="18" xfId="0" applyFont="1" applyBorder="1" applyAlignment="1">
      <alignment horizontal="center" vertical="center"/>
    </xf>
    <xf numFmtId="0" fontId="47" fillId="0" borderId="20" xfId="0" applyFont="1" applyBorder="1"/>
    <xf numFmtId="0" fontId="51" fillId="0" borderId="21" xfId="0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47" fillId="0" borderId="22" xfId="0" applyFont="1" applyBorder="1"/>
    <xf numFmtId="0" fontId="47" fillId="0" borderId="23" xfId="0" applyFont="1" applyBorder="1"/>
    <xf numFmtId="0" fontId="47" fillId="0" borderId="24" xfId="0" applyFont="1" applyBorder="1"/>
    <xf numFmtId="0" fontId="47" fillId="0" borderId="25" xfId="0" applyFont="1" applyBorder="1"/>
    <xf numFmtId="0" fontId="47" fillId="0" borderId="26" xfId="0" applyFont="1" applyBorder="1"/>
    <xf numFmtId="0" fontId="52" fillId="6" borderId="27" xfId="0" applyFont="1" applyFill="1" applyBorder="1" applyAlignment="1">
      <alignment horizontal="center" vertical="center"/>
    </xf>
    <xf numFmtId="0" fontId="47" fillId="0" borderId="28" xfId="0" applyFont="1" applyBorder="1"/>
    <xf numFmtId="0" fontId="47" fillId="0" borderId="29" xfId="0" applyFont="1" applyBorder="1"/>
    <xf numFmtId="0" fontId="47" fillId="0" borderId="30" xfId="0" applyFont="1" applyBorder="1"/>
    <xf numFmtId="0" fontId="47" fillId="0" borderId="31" xfId="0" applyFont="1" applyBorder="1"/>
    <xf numFmtId="0" fontId="50" fillId="0" borderId="32" xfId="0" applyFont="1" applyBorder="1" applyAlignment="1">
      <alignment horizontal="center" vertical="center" wrapText="1"/>
    </xf>
    <xf numFmtId="0" fontId="50" fillId="0" borderId="33" xfId="0" applyFont="1" applyBorder="1" applyAlignment="1">
      <alignment horizontal="center" vertical="center" wrapText="1"/>
    </xf>
    <xf numFmtId="0" fontId="50" fillId="0" borderId="34" xfId="0" applyFont="1" applyBorder="1" applyAlignment="1">
      <alignment horizontal="center" vertical="center"/>
    </xf>
    <xf numFmtId="0" fontId="47" fillId="0" borderId="35" xfId="0" applyFont="1" applyBorder="1"/>
    <xf numFmtId="0" fontId="47" fillId="0" borderId="36" xfId="0" applyFont="1" applyBorder="1"/>
    <xf numFmtId="0" fontId="48" fillId="0" borderId="0" xfId="0" applyFont="1" applyAlignment="1">
      <alignment horizontal="center" wrapText="1"/>
    </xf>
    <xf numFmtId="0" fontId="48" fillId="0" borderId="0" xfId="0" applyFont="1" applyAlignment="1">
      <alignment horizontal="center"/>
    </xf>
    <xf numFmtId="0" fontId="47" fillId="0" borderId="37" xfId="0" applyFont="1" applyBorder="1"/>
    <xf numFmtId="0" fontId="47" fillId="0" borderId="38" xfId="0" applyFont="1" applyBorder="1"/>
    <xf numFmtId="0" fontId="47" fillId="0" borderId="39" xfId="0" applyFont="1" applyBorder="1"/>
    <xf numFmtId="0" fontId="50" fillId="0" borderId="40" xfId="0" applyFont="1" applyBorder="1" applyAlignment="1">
      <alignment horizontal="center" vertical="center" wrapText="1"/>
    </xf>
    <xf numFmtId="0" fontId="50" fillId="0" borderId="41" xfId="0" applyFont="1" applyBorder="1" applyAlignment="1">
      <alignment horizontal="center" vertical="center" wrapText="1"/>
    </xf>
    <xf numFmtId="164" fontId="50" fillId="0" borderId="41" xfId="0" applyNumberFormat="1" applyFont="1" applyBorder="1" applyAlignment="1">
      <alignment horizontal="center" vertical="center" wrapText="1"/>
    </xf>
    <xf numFmtId="0" fontId="50" fillId="0" borderId="42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0" fontId="48" fillId="0" borderId="43" xfId="0" applyFont="1" applyBorder="1" applyAlignment="1">
      <alignment horizontal="center" vertical="center" wrapText="1"/>
    </xf>
    <xf numFmtId="0" fontId="48" fillId="0" borderId="40" xfId="0" applyFont="1" applyBorder="1" applyAlignment="1">
      <alignment vertical="center"/>
    </xf>
    <xf numFmtId="164" fontId="55" fillId="7" borderId="41" xfId="0" applyNumberFormat="1" applyFont="1" applyFill="1" applyBorder="1" applyAlignment="1">
      <alignment vertical="center"/>
    </xf>
    <xf numFmtId="0" fontId="55" fillId="7" borderId="41" xfId="0" applyFont="1" applyFill="1" applyBorder="1" applyAlignment="1">
      <alignment vertical="center"/>
    </xf>
    <xf numFmtId="0" fontId="55" fillId="7" borderId="42" xfId="0" applyFont="1" applyFill="1" applyBorder="1" applyAlignment="1">
      <alignment vertical="center"/>
    </xf>
    <xf numFmtId="0" fontId="56" fillId="7" borderId="40" xfId="0" applyFont="1" applyFill="1" applyBorder="1" applyAlignment="1">
      <alignment vertical="center"/>
    </xf>
    <xf numFmtId="0" fontId="57" fillId="0" borderId="41" xfId="0" applyFont="1" applyBorder="1" applyAlignment="1">
      <alignment vertical="center"/>
    </xf>
    <xf numFmtId="164" fontId="58" fillId="0" borderId="41" xfId="0" applyNumberFormat="1" applyFont="1" applyBorder="1" applyAlignment="1">
      <alignment vertical="center"/>
    </xf>
    <xf numFmtId="0" fontId="48" fillId="6" borderId="41" xfId="0" applyFont="1" applyFill="1" applyBorder="1" applyAlignment="1">
      <alignment vertical="center"/>
    </xf>
    <xf numFmtId="0" fontId="48" fillId="6" borderId="42" xfId="0" applyFont="1" applyFill="1" applyBorder="1" applyAlignment="1">
      <alignment vertical="center"/>
    </xf>
    <xf numFmtId="0" fontId="56" fillId="6" borderId="40" xfId="0" applyFont="1" applyFill="1" applyBorder="1" applyAlignment="1">
      <alignment vertical="center"/>
    </xf>
    <xf numFmtId="0" fontId="48" fillId="0" borderId="0" xfId="0" applyFont="1" applyAlignment="1">
      <alignment vertical="center"/>
    </xf>
    <xf numFmtId="164" fontId="48" fillId="0" borderId="0" xfId="0" applyNumberFormat="1" applyFont="1" applyAlignment="1">
      <alignment vertical="center"/>
    </xf>
    <xf numFmtId="164" fontId="48" fillId="0" borderId="0" xfId="0" applyNumberFormat="1" applyFont="1"/>
    <xf numFmtId="0" fontId="48" fillId="0" borderId="43" xfId="0" applyFont="1" applyBorder="1"/>
    <xf numFmtId="0" fontId="48" fillId="0" borderId="44" xfId="0" applyFont="1" applyBorder="1" applyAlignment="1">
      <alignment vertical="center"/>
    </xf>
    <xf numFmtId="164" fontId="55" fillId="7" borderId="45" xfId="0" applyNumberFormat="1" applyFont="1" applyFill="1" applyBorder="1" applyAlignment="1">
      <alignment vertical="center"/>
    </xf>
    <xf numFmtId="0" fontId="55" fillId="7" borderId="45" xfId="0" applyFont="1" applyFill="1" applyBorder="1" applyAlignment="1">
      <alignment vertical="center"/>
    </xf>
    <xf numFmtId="0" fontId="55" fillId="7" borderId="46" xfId="0" applyFont="1" applyFill="1" applyBorder="1" applyAlignment="1">
      <alignment vertical="center"/>
    </xf>
    <xf numFmtId="0" fontId="56" fillId="7" borderId="44" xfId="0" applyFont="1" applyFill="1" applyBorder="1" applyAlignment="1">
      <alignment vertical="center"/>
    </xf>
    <xf numFmtId="0" fontId="57" fillId="0" borderId="45" xfId="0" applyFont="1" applyBorder="1" applyAlignment="1">
      <alignment vertical="center"/>
    </xf>
    <xf numFmtId="164" fontId="58" fillId="0" borderId="45" xfId="0" applyNumberFormat="1" applyFont="1" applyBorder="1" applyAlignment="1">
      <alignment vertical="center"/>
    </xf>
    <xf numFmtId="0" fontId="48" fillId="6" borderId="45" xfId="0" applyFont="1" applyFill="1" applyBorder="1" applyAlignment="1">
      <alignment vertical="center"/>
    </xf>
    <xf numFmtId="0" fontId="48" fillId="6" borderId="46" xfId="0" applyFont="1" applyFill="1" applyBorder="1" applyAlignment="1">
      <alignment vertical="center"/>
    </xf>
    <xf numFmtId="0" fontId="56" fillId="6" borderId="44" xfId="0" applyFont="1" applyFill="1" applyBorder="1" applyAlignment="1">
      <alignment vertical="center"/>
    </xf>
    <xf numFmtId="0" fontId="59" fillId="8" borderId="1" xfId="0" applyFont="1" applyFill="1" applyBorder="1" applyAlignment="1">
      <alignment horizontal="center"/>
    </xf>
    <xf numFmtId="0" fontId="47" fillId="0" borderId="47" xfId="0" applyFont="1" applyBorder="1"/>
    <xf numFmtId="0" fontId="47" fillId="0" borderId="48" xfId="0" applyFont="1" applyBorder="1"/>
    <xf numFmtId="0" fontId="47" fillId="0" borderId="49" xfId="0" applyFont="1" applyBorder="1"/>
    <xf numFmtId="0" fontId="54" fillId="0" borderId="50" xfId="0" applyFont="1" applyBorder="1"/>
    <xf numFmtId="0" fontId="48" fillId="0" borderId="50" xfId="0" applyFont="1" applyBorder="1" applyAlignment="1">
      <alignment horizontal="right"/>
    </xf>
    <xf numFmtId="0" fontId="48" fillId="0" borderId="50" xfId="0" applyFont="1" applyBorder="1"/>
    <xf numFmtId="164" fontId="48" fillId="0" borderId="50" xfId="0" applyNumberFormat="1" applyFont="1" applyBorder="1"/>
    <xf numFmtId="165" fontId="48" fillId="0" borderId="50" xfId="0" applyNumberFormat="1" applyFont="1" applyBorder="1"/>
    <xf numFmtId="0" fontId="48" fillId="0" borderId="0" xfId="0" applyFont="1" applyAlignment="1">
      <alignment wrapText="1"/>
    </xf>
    <xf numFmtId="0" fontId="54" fillId="0" borderId="50" xfId="0" applyFont="1" applyBorder="1" applyAlignment="1">
      <alignment horizontal="right" wrapText="1"/>
    </xf>
    <xf numFmtId="0" fontId="48" fillId="0" borderId="50" xfId="0" applyFont="1" applyBorder="1" applyAlignment="1">
      <alignment wrapText="1"/>
    </xf>
    <xf numFmtId="164" fontId="48" fillId="0" borderId="50" xfId="0" applyNumberFormat="1" applyFont="1" applyBorder="1" applyAlignment="1">
      <alignment wrapText="1"/>
    </xf>
    <xf numFmtId="165" fontId="48" fillId="0" borderId="50" xfId="0" applyNumberFormat="1" applyFont="1" applyBorder="1" applyAlignment="1">
      <alignment wrapText="1"/>
    </xf>
    <xf numFmtId="0" fontId="60" fillId="0" borderId="50" xfId="0" applyFont="1" applyBorder="1" applyAlignment="1">
      <alignment horizontal="right" wrapText="1"/>
    </xf>
    <xf numFmtId="165" fontId="61" fillId="3" borderId="51" xfId="0" applyNumberFormat="1" applyFont="1" applyFill="1" applyBorder="1" applyAlignment="1">
      <alignment horizontal="right"/>
    </xf>
    <xf numFmtId="0" fontId="47" fillId="0" borderId="52" xfId="0" applyFont="1" applyBorder="1"/>
    <xf numFmtId="0" fontId="47" fillId="0" borderId="53" xfId="0" applyFont="1" applyBorder="1"/>
    <xf numFmtId="165" fontId="61" fillId="3" borderId="4" xfId="0" applyNumberFormat="1" applyFont="1" applyFill="1" applyBorder="1"/>
    <xf numFmtId="0" fontId="61" fillId="4" borderId="12" xfId="0" applyFont="1" applyFill="1" applyBorder="1" applyAlignment="1">
      <alignment horizontal="right"/>
    </xf>
    <xf numFmtId="9" fontId="62" fillId="9" borderId="54" xfId="0" applyNumberFormat="1" applyFont="1" applyFill="1" applyBorder="1" applyAlignment="1">
      <alignment horizontal="center"/>
    </xf>
    <xf numFmtId="165" fontId="61" fillId="4" borderId="4" xfId="0" applyNumberFormat="1" applyFont="1" applyFill="1" applyBorder="1"/>
    <xf numFmtId="0" fontId="54" fillId="0" borderId="0" xfId="0" applyFont="1" applyAlignment="1">
      <alignment horizontal="right"/>
    </xf>
    <xf numFmtId="9" fontId="63" fillId="0" borderId="0" xfId="0" applyNumberFormat="1" applyFont="1"/>
    <xf numFmtId="165" fontId="54" fillId="0" borderId="0" xfId="0" applyNumberFormat="1" applyFont="1"/>
    <xf numFmtId="0" fontId="54" fillId="0" borderId="0" xfId="0" applyFont="1" applyAlignment="1">
      <alignment horizontal="right"/>
    </xf>
    <xf numFmtId="164" fontId="54" fillId="0" borderId="0" xfId="0" applyNumberFormat="1" applyFont="1"/>
    <xf numFmtId="0" fontId="54" fillId="0" borderId="0" xfId="0" applyFont="1"/>
    <xf numFmtId="165" fontId="63" fillId="0" borderId="0" xfId="0" applyNumberFormat="1" applyFont="1"/>
    <xf numFmtId="165" fontId="60" fillId="10" borderId="51" xfId="0" applyNumberFormat="1" applyFont="1" applyFill="1" applyBorder="1" applyAlignment="1">
      <alignment horizontal="right"/>
    </xf>
    <xf numFmtId="165" fontId="60" fillId="10" borderId="4" xfId="0" applyNumberFormat="1" applyFont="1" applyFill="1" applyBorder="1"/>
    <xf numFmtId="165" fontId="60" fillId="11" borderId="51" xfId="0" applyNumberFormat="1" applyFont="1" applyFill="1" applyBorder="1" applyAlignment="1">
      <alignment horizontal="right"/>
    </xf>
    <xf numFmtId="165" fontId="60" fillId="11" borderId="4" xfId="0" applyNumberFormat="1" applyFont="1" applyFill="1" applyBorder="1"/>
    <xf numFmtId="164" fontId="54" fillId="6" borderId="55" xfId="0" applyNumberFormat="1" applyFont="1" applyFill="1" applyBorder="1"/>
    <xf numFmtId="165" fontId="64" fillId="0" borderId="0" xfId="0" applyNumberFormat="1" applyFont="1"/>
    <xf numFmtId="164" fontId="54" fillId="0" borderId="56" xfId="0" applyNumberFormat="1" applyFont="1" applyBorder="1"/>
    <xf numFmtId="165" fontId="54" fillId="0" borderId="56" xfId="0" applyNumberFormat="1" applyFont="1" applyBorder="1"/>
    <xf numFmtId="165" fontId="65" fillId="0" borderId="0" xfId="0" applyNumberFormat="1" applyFont="1"/>
    <xf numFmtId="0" fontId="60" fillId="3" borderId="12" xfId="0" applyFont="1" applyFill="1" applyBorder="1" applyAlignment="1">
      <alignment horizontal="right"/>
    </xf>
    <xf numFmtId="165" fontId="60" fillId="3" borderId="4" xfId="0" applyNumberFormat="1" applyFont="1" applyFill="1" applyBorder="1"/>
    <xf numFmtId="165" fontId="48" fillId="0" borderId="0" xfId="0" applyNumberFormat="1" applyFont="1"/>
    <xf numFmtId="165" fontId="54" fillId="0" borderId="57" xfId="0" applyNumberFormat="1" applyFont="1" applyBorder="1"/>
    <xf numFmtId="0" fontId="66" fillId="0" borderId="35" xfId="0" applyFont="1" applyBorder="1"/>
    <xf numFmtId="0" fontId="66" fillId="0" borderId="36" xfId="0" applyFont="1" applyBorder="1"/>
    <xf numFmtId="0" fontId="30" fillId="0" borderId="15" xfId="0" applyFont="1" applyBorder="1" applyAlignment="1">
      <alignment horizontal="center" vertical="center" wrapText="1"/>
    </xf>
    <xf numFmtId="164" fontId="37" fillId="0" borderId="41" xfId="0" applyNumberFormat="1" applyFont="1" applyBorder="1" applyAlignment="1">
      <alignment vertical="center"/>
    </xf>
    <xf numFmtId="164" fontId="38" fillId="12" borderId="41" xfId="0" applyNumberFormat="1" applyFont="1" applyFill="1" applyBorder="1" applyAlignment="1">
      <alignment vertical="center"/>
    </xf>
    <xf numFmtId="0" fontId="26" fillId="0" borderId="41" xfId="0" applyFont="1" applyBorder="1" applyAlignment="1">
      <alignment vertical="center"/>
    </xf>
    <xf numFmtId="0" fontId="26" fillId="0" borderId="42" xfId="0" applyFont="1" applyBorder="1" applyAlignment="1">
      <alignment vertical="center"/>
    </xf>
    <xf numFmtId="164" fontId="37" fillId="0" borderId="45" xfId="0" applyNumberFormat="1" applyFont="1" applyBorder="1" applyAlignment="1">
      <alignment vertical="center"/>
    </xf>
    <xf numFmtId="164" fontId="38" fillId="12" borderId="45" xfId="0" applyNumberFormat="1" applyFont="1" applyFill="1" applyBorder="1" applyAlignment="1">
      <alignment vertical="center"/>
    </xf>
    <xf numFmtId="0" fontId="26" fillId="0" borderId="45" xfId="0" applyFont="1" applyBorder="1" applyAlignment="1">
      <alignment vertical="center"/>
    </xf>
    <xf numFmtId="0" fontId="26" fillId="0" borderId="46" xfId="0" applyFont="1" applyBorder="1" applyAlignment="1">
      <alignment vertical="center"/>
    </xf>
    <xf numFmtId="164" fontId="26" fillId="0" borderId="42" xfId="0" applyNumberFormat="1" applyFont="1" applyBorder="1" applyAlignment="1">
      <alignment vertical="center"/>
    </xf>
    <xf numFmtId="164" fontId="26" fillId="0" borderId="46" xfId="0" applyNumberFormat="1" applyFont="1" applyBorder="1" applyAlignment="1">
      <alignment vertical="center"/>
    </xf>
    <xf numFmtId="164" fontId="34" fillId="0" borderId="25" xfId="0" applyNumberFormat="1" applyFont="1" applyBorder="1"/>
    <xf numFmtId="164" fontId="43" fillId="0" borderId="56" xfId="0" applyNumberFormat="1" applyFont="1" applyBorder="1"/>
    <xf numFmtId="0" fontId="31" fillId="0" borderId="20" xfId="0" applyFont="1" applyBorder="1" applyAlignment="1">
      <alignment vertical="center"/>
    </xf>
    <xf numFmtId="0" fontId="31" fillId="0" borderId="31" xfId="0" applyFont="1" applyBorder="1" applyAlignment="1">
      <alignment vertical="center"/>
    </xf>
    <xf numFmtId="0" fontId="30" fillId="0" borderId="36" xfId="0" applyFont="1" applyBorder="1" applyAlignment="1">
      <alignment vertical="center"/>
    </xf>
    <xf numFmtId="0" fontId="30" fillId="0" borderId="28" xfId="0" applyFont="1" applyBorder="1" applyAlignment="1">
      <alignment horizontal="center" vertical="center" wrapText="1"/>
    </xf>
    <xf numFmtId="164" fontId="26" fillId="0" borderId="28" xfId="0" applyNumberFormat="1" applyFont="1" applyBorder="1" applyAlignment="1">
      <alignment vertical="center"/>
    </xf>
    <xf numFmtId="164" fontId="26" fillId="0" borderId="74" xfId="0" applyNumberFormat="1" applyFont="1" applyBorder="1" applyAlignment="1">
      <alignment vertical="center"/>
    </xf>
    <xf numFmtId="0" fontId="34" fillId="0" borderId="25" xfId="0" applyFont="1" applyBorder="1" applyAlignment="1">
      <alignment horizontal="center"/>
    </xf>
    <xf numFmtId="165" fontId="43" fillId="0" borderId="75" xfId="0" applyNumberFormat="1" applyFont="1" applyBorder="1"/>
    <xf numFmtId="165" fontId="34" fillId="0" borderId="76" xfId="0" applyNumberFormat="1" applyFont="1" applyBorder="1" applyAlignment="1">
      <alignment horizontal="center" vertical="top" wrapText="1"/>
    </xf>
    <xf numFmtId="164" fontId="34" fillId="0" borderId="0" xfId="0" applyNumberFormat="1" applyFont="1" applyAlignment="1">
      <alignment horizontal="right"/>
    </xf>
    <xf numFmtId="0" fontId="34" fillId="0" borderId="0" xfId="0" applyFont="1" applyAlignment="1">
      <alignment horizontal="left"/>
    </xf>
    <xf numFmtId="166" fontId="35" fillId="7" borderId="41" xfId="0" applyNumberFormat="1" applyFont="1" applyFill="1" applyBorder="1" applyAlignment="1">
      <alignment vertical="center"/>
    </xf>
    <xf numFmtId="0" fontId="35" fillId="0" borderId="42" xfId="0" applyFont="1" applyBorder="1" applyAlignment="1">
      <alignment vertical="center"/>
    </xf>
    <xf numFmtId="166" fontId="35" fillId="7" borderId="45" xfId="0" applyNumberFormat="1" applyFont="1" applyFill="1" applyBorder="1" applyAlignment="1">
      <alignment vertical="center"/>
    </xf>
    <xf numFmtId="0" fontId="35" fillId="0" borderId="46" xfId="0" applyFont="1" applyBorder="1" applyAlignment="1">
      <alignment vertical="center"/>
    </xf>
    <xf numFmtId="167" fontId="35" fillId="7" borderId="41" xfId="0" applyNumberFormat="1" applyFont="1" applyFill="1" applyBorder="1" applyAlignment="1">
      <alignment vertical="center"/>
    </xf>
    <xf numFmtId="164" fontId="38" fillId="6" borderId="41" xfId="0" applyNumberFormat="1" applyFont="1" applyFill="1" applyBorder="1" applyAlignment="1">
      <alignment vertical="center"/>
    </xf>
    <xf numFmtId="167" fontId="35" fillId="7" borderId="45" xfId="0" applyNumberFormat="1" applyFont="1" applyFill="1" applyBorder="1" applyAlignment="1">
      <alignment vertical="center"/>
    </xf>
    <xf numFmtId="164" fontId="38" fillId="6" borderId="45" xfId="0" applyNumberFormat="1" applyFont="1" applyFill="1" applyBorder="1" applyAlignment="1">
      <alignment vertical="center"/>
    </xf>
  </cellXfs>
  <cellStyles count="1">
    <cellStyle name="Normal" xfId="0" builtinId="0"/>
  </cellStyles>
  <dxfs count="13"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D6DCE4"/>
          <bgColor rgb="FFD6DC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#'Home Page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hyperlink" Target="#'Home Page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hyperlink" Target="#'Home Page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g"/><Relationship Id="rId1" Type="http://schemas.openxmlformats.org/officeDocument/2006/relationships/hyperlink" Target="#'Home Page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g"/><Relationship Id="rId1" Type="http://schemas.openxmlformats.org/officeDocument/2006/relationships/hyperlink" Target="#'Home Page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hyperlink" Target="#'Home Page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#'Home Page'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7</xdr:row>
      <xdr:rowOff>104775</xdr:rowOff>
    </xdr:from>
    <xdr:ext cx="7391400" cy="6191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652917" y="3475200"/>
          <a:ext cx="7386167" cy="6096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000" b="1" i="1" cap="none">
              <a:solidFill>
                <a:schemeClr val="lt1"/>
              </a:solidFill>
              <a:latin typeface="Bahnschrift Light" panose="020B0502040204020203" pitchFamily="34" charset="0"/>
            </a:rPr>
            <a:t>INPUT ON GRAY CELLS ONLY</a:t>
          </a:r>
          <a:endParaRPr sz="2000" b="1" i="1" cap="none">
            <a:solidFill>
              <a:schemeClr val="lt1"/>
            </a:solidFill>
            <a:latin typeface="Bahnschrift Light" panose="020B0502040204020203" pitchFamily="34" charset="0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809625</xdr:colOff>
      <xdr:row>0</xdr:row>
      <xdr:rowOff>152400</xdr:rowOff>
    </xdr:from>
    <xdr:ext cx="1171575" cy="685800"/>
    <xdr:pic>
      <xdr:nvPicPr>
        <xdr:cNvPr id="2" name="image2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419100</xdr:colOff>
      <xdr:row>0</xdr:row>
      <xdr:rowOff>95250</xdr:rowOff>
    </xdr:from>
    <xdr:ext cx="1162050" cy="685800"/>
    <xdr:pic>
      <xdr:nvPicPr>
        <xdr:cNvPr id="2" name="image3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247650</xdr:colOff>
      <xdr:row>0</xdr:row>
      <xdr:rowOff>76200</xdr:rowOff>
    </xdr:from>
    <xdr:ext cx="1171575" cy="685800"/>
    <xdr:pic>
      <xdr:nvPicPr>
        <xdr:cNvPr id="2" name="image4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285750</xdr:colOff>
      <xdr:row>0</xdr:row>
      <xdr:rowOff>95250</xdr:rowOff>
    </xdr:from>
    <xdr:ext cx="1171575" cy="639536"/>
    <xdr:pic>
      <xdr:nvPicPr>
        <xdr:cNvPr id="2" name="image5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164786" y="95250"/>
          <a:ext cx="1171575" cy="639536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438150</xdr:colOff>
      <xdr:row>0</xdr:row>
      <xdr:rowOff>95250</xdr:rowOff>
    </xdr:from>
    <xdr:ext cx="1162050" cy="685800"/>
    <xdr:pic>
      <xdr:nvPicPr>
        <xdr:cNvPr id="2" name="image6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238125</xdr:colOff>
      <xdr:row>0</xdr:row>
      <xdr:rowOff>95250</xdr:rowOff>
    </xdr:from>
    <xdr:ext cx="1162050" cy="685800"/>
    <xdr:pic>
      <xdr:nvPicPr>
        <xdr:cNvPr id="2" name="image7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247650</xdr:colOff>
      <xdr:row>0</xdr:row>
      <xdr:rowOff>76200</xdr:rowOff>
    </xdr:from>
    <xdr:ext cx="1171575" cy="666750"/>
    <xdr:pic>
      <xdr:nvPicPr>
        <xdr:cNvPr id="2" name="image2.jp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ore fonts"/>
        <a:ea typeface="more fonts"/>
        <a:cs typeface="more fonts"/>
      </a:majorFont>
      <a:minorFont>
        <a:latin typeface="more fonts"/>
        <a:ea typeface="more fonts"/>
        <a:cs typeface="more font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00"/>
  <sheetViews>
    <sheetView showGridLines="0" tabSelected="1" zoomScale="85" zoomScaleNormal="85" workbookViewId="0">
      <selection activeCell="A12" sqref="A12"/>
    </sheetView>
  </sheetViews>
  <sheetFormatPr defaultColWidth="12.625" defaultRowHeight="15" customHeight="1"/>
  <cols>
    <col min="1" max="7" width="25.625" customWidth="1"/>
    <col min="8" max="26" width="8.625" customWidth="1"/>
  </cols>
  <sheetData>
    <row r="1" spans="1:26" ht="14.25" customHeight="1">
      <c r="A1" s="168" t="s">
        <v>0</v>
      </c>
      <c r="B1" s="166"/>
      <c r="C1" s="166"/>
      <c r="D1" s="166"/>
      <c r="E1" s="166"/>
      <c r="F1" s="166"/>
      <c r="G1" s="16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66"/>
      <c r="B2" s="166"/>
      <c r="C2" s="166"/>
      <c r="D2" s="166"/>
      <c r="E2" s="166"/>
      <c r="F2" s="166"/>
      <c r="G2" s="16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66"/>
      <c r="B3" s="166"/>
      <c r="C3" s="166"/>
      <c r="D3" s="166"/>
      <c r="E3" s="166"/>
      <c r="F3" s="166"/>
      <c r="G3" s="16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66"/>
      <c r="B4" s="166"/>
      <c r="C4" s="166"/>
      <c r="D4" s="166"/>
      <c r="E4" s="166"/>
      <c r="F4" s="166"/>
      <c r="G4" s="166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66"/>
      <c r="B5" s="166"/>
      <c r="C5" s="166"/>
      <c r="D5" s="166"/>
      <c r="E5" s="166"/>
      <c r="F5" s="166"/>
      <c r="G5" s="166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66"/>
      <c r="B6" s="166"/>
      <c r="C6" s="166"/>
      <c r="D6" s="166"/>
      <c r="E6" s="166"/>
      <c r="F6" s="166"/>
      <c r="G6" s="166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66"/>
      <c r="B7" s="166"/>
      <c r="C7" s="166"/>
      <c r="D7" s="166"/>
      <c r="E7" s="166"/>
      <c r="F7" s="166"/>
      <c r="G7" s="166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>
      <c r="A8" s="166"/>
      <c r="B8" s="166"/>
      <c r="C8" s="166"/>
      <c r="D8" s="166"/>
      <c r="E8" s="166"/>
      <c r="F8" s="166"/>
      <c r="G8" s="16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66"/>
      <c r="B9" s="166"/>
      <c r="C9" s="166"/>
      <c r="D9" s="166"/>
      <c r="E9" s="166"/>
      <c r="F9" s="166"/>
      <c r="G9" s="166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8.25" customHeight="1">
      <c r="A10" s="166"/>
      <c r="B10" s="166"/>
      <c r="C10" s="166"/>
      <c r="D10" s="166"/>
      <c r="E10" s="166"/>
      <c r="F10" s="166"/>
      <c r="G10" s="166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6.75" hidden="1" customHeight="1">
      <c r="A11" s="167"/>
      <c r="B11" s="167"/>
      <c r="C11" s="167"/>
      <c r="D11" s="167"/>
      <c r="E11" s="167"/>
      <c r="F11" s="167"/>
      <c r="G11" s="167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07.25" customHeight="1">
      <c r="A12" s="169" t="s">
        <v>1</v>
      </c>
      <c r="B12" s="169" t="s">
        <v>2</v>
      </c>
      <c r="C12" s="169" t="s">
        <v>3</v>
      </c>
      <c r="D12" s="169" t="s">
        <v>4</v>
      </c>
      <c r="E12" s="169" t="s">
        <v>5</v>
      </c>
      <c r="F12" s="169" t="s">
        <v>6</v>
      </c>
      <c r="G12" s="169" t="s">
        <v>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170"/>
      <c r="B13" s="170"/>
      <c r="C13" s="170"/>
      <c r="D13" s="170"/>
      <c r="E13" s="170"/>
      <c r="F13" s="170"/>
      <c r="G13" s="170"/>
    </row>
    <row r="14" spans="1:26" ht="14.25" customHeight="1"/>
    <row r="15" spans="1:26" ht="14.25" customHeight="1"/>
    <row r="16" spans="1:26" ht="14.25" customHeight="1"/>
    <row r="17" ht="14.25" hidden="1" customHeight="1"/>
    <row r="18" ht="14.25" hidden="1" customHeight="1"/>
    <row r="19" ht="14.25" hidden="1" customHeight="1"/>
    <row r="20" ht="14.25" hidden="1" customHeight="1"/>
    <row r="21" ht="14.25" hidden="1" customHeight="1"/>
    <row r="22" ht="14.25" hidden="1" customHeight="1"/>
    <row r="23" ht="14.25" hidden="1" customHeight="1"/>
    <row r="24" ht="14.25" hidden="1" customHeight="1"/>
    <row r="25" ht="14.25" hidden="1" customHeight="1"/>
    <row r="26" ht="14.25" hidden="1" customHeight="1"/>
    <row r="27" ht="14.25" hidden="1" customHeight="1"/>
    <row r="28" ht="14.25" hidden="1" customHeight="1"/>
    <row r="29" ht="14.25" hidden="1" customHeight="1"/>
    <row r="30" ht="14.25" hidden="1" customHeight="1"/>
    <row r="31" ht="14.25" hidden="1" customHeight="1"/>
    <row r="32" ht="14.25" hidden="1" customHeight="1"/>
    <row r="33" ht="14.25" hidden="1" customHeight="1"/>
    <row r="34" ht="14.25" hidden="1" customHeight="1"/>
    <row r="35" ht="14.25" hidden="1" customHeight="1"/>
    <row r="36" ht="14.25" hidden="1" customHeight="1"/>
    <row r="37" ht="14.25" hidden="1" customHeight="1"/>
    <row r="38" ht="14.25" hidden="1" customHeight="1"/>
    <row r="39" ht="14.25" hidden="1" customHeight="1"/>
    <row r="40" ht="14.25" hidden="1" customHeight="1"/>
    <row r="41" ht="14.25" hidden="1" customHeight="1"/>
    <row r="42" ht="14.25" hidden="1" customHeight="1"/>
    <row r="43" ht="14.25" hidden="1" customHeight="1"/>
    <row r="44" ht="14.25" hidden="1" customHeight="1"/>
    <row r="45" ht="14.25" hidden="1" customHeight="1"/>
    <row r="46" ht="14.25" hidden="1" customHeight="1"/>
    <row r="47" ht="14.25" hidden="1" customHeight="1"/>
    <row r="48" ht="14.25" hidden="1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1"/>
  </mergeCells>
  <hyperlinks>
    <hyperlink ref="A12" location="Footing!A1" display="FOOTING" xr:uid="{00000000-0004-0000-0000-000000000000}"/>
    <hyperlink ref="B12" location="'Wall Footing'!A1" display="WALL FOOTING" xr:uid="{00000000-0004-0000-0000-000001000000}"/>
    <hyperlink ref="C12" location="Column!A1" display="COLUMN" xr:uid="{00000000-0004-0000-0000-000002000000}"/>
    <hyperlink ref="D12" location="Beam!A1" display="BEAM" xr:uid="{00000000-0004-0000-0000-000003000000}"/>
    <hyperlink ref="E12" location="Slab!A1" display="SLAB" xr:uid="{00000000-0004-0000-0000-000004000000}"/>
    <hyperlink ref="F12" location="Wall!A1" display="WALL" xr:uid="{00000000-0004-0000-0000-000005000000}"/>
    <hyperlink ref="G12" location="'Materials Price List'!A1" display="MATERIALS PRICE LIST" xr:uid="{00000000-0004-0000-0000-000006000000}"/>
  </hyperlink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E1000"/>
  <sheetViews>
    <sheetView showGridLines="0" topLeftCell="B1" zoomScale="70" zoomScaleNormal="70" workbookViewId="0">
      <pane ySplit="4" topLeftCell="A5" activePane="bottomLeft" state="frozen"/>
      <selection pane="bottomLeft"/>
    </sheetView>
  </sheetViews>
  <sheetFormatPr defaultColWidth="12.625" defaultRowHeight="15" customHeight="1"/>
  <cols>
    <col min="1" max="1" width="9" hidden="1" customWidth="1"/>
    <col min="2" max="3" width="10" customWidth="1"/>
    <col min="4" max="4" width="9" customWidth="1"/>
    <col min="5" max="5" width="7.875" customWidth="1"/>
    <col min="6" max="6" width="10.75" customWidth="1"/>
    <col min="7" max="7" width="14.875" customWidth="1"/>
    <col min="8" max="8" width="12.75" customWidth="1"/>
    <col min="9" max="9" width="9.5" customWidth="1"/>
    <col min="10" max="10" width="13" customWidth="1"/>
    <col min="11" max="11" width="18.375" customWidth="1"/>
    <col min="12" max="12" width="7.875" customWidth="1"/>
    <col min="13" max="16" width="10.875" customWidth="1"/>
    <col min="17" max="17" width="8" customWidth="1"/>
    <col min="18" max="18" width="8.875" customWidth="1"/>
    <col min="19" max="27" width="10.875" hidden="1" customWidth="1"/>
    <col min="28" max="51" width="9" hidden="1" customWidth="1"/>
    <col min="52" max="52" width="9.75" hidden="1" customWidth="1"/>
    <col min="53" max="53" width="11.375" hidden="1" customWidth="1"/>
    <col min="54" max="54" width="7.625" hidden="1" customWidth="1"/>
    <col min="55" max="55" width="10.625" hidden="1" customWidth="1"/>
    <col min="56" max="56" width="9" hidden="1" customWidth="1"/>
  </cols>
  <sheetData>
    <row r="1" spans="1:57" ht="16.5" customHeight="1">
      <c r="A1" s="3"/>
      <c r="B1" s="277" t="s">
        <v>8</v>
      </c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9"/>
      <c r="S1" s="280"/>
      <c r="T1" s="280"/>
      <c r="U1" s="280"/>
      <c r="V1" s="280"/>
      <c r="W1" s="280"/>
      <c r="X1" s="280"/>
      <c r="Y1" s="280"/>
      <c r="Z1" s="280"/>
      <c r="AA1" s="280"/>
      <c r="AB1" s="280"/>
      <c r="AC1" s="280"/>
      <c r="AD1" s="280"/>
      <c r="AE1" s="280"/>
      <c r="AF1" s="280"/>
      <c r="AG1" s="280"/>
      <c r="AH1" s="280"/>
      <c r="AI1" s="280"/>
      <c r="AJ1" s="280"/>
      <c r="AK1" s="280"/>
      <c r="AL1" s="280"/>
      <c r="AM1" s="280"/>
      <c r="AN1" s="280"/>
      <c r="AO1" s="280"/>
      <c r="AP1" s="280"/>
      <c r="AQ1" s="280"/>
      <c r="AR1" s="280"/>
      <c r="AS1" s="280"/>
      <c r="AT1" s="280"/>
      <c r="AU1" s="280"/>
      <c r="AV1" s="280"/>
      <c r="AW1" s="280"/>
      <c r="AX1" s="280"/>
      <c r="AY1" s="280"/>
      <c r="AZ1" s="280"/>
      <c r="BA1" s="280"/>
      <c r="BB1" s="280"/>
      <c r="BC1" s="280"/>
      <c r="BD1" s="280"/>
      <c r="BE1" s="281"/>
    </row>
    <row r="2" spans="1:57" ht="16.5" customHeight="1">
      <c r="A2" s="3"/>
      <c r="B2" s="282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  <c r="N2" s="283"/>
      <c r="O2" s="283"/>
      <c r="P2" s="283"/>
      <c r="Q2" s="283"/>
      <c r="R2" s="284"/>
      <c r="S2" s="280"/>
      <c r="T2" s="280"/>
      <c r="U2" s="280"/>
      <c r="V2" s="280"/>
      <c r="W2" s="280"/>
      <c r="X2" s="280"/>
      <c r="Y2" s="280"/>
      <c r="Z2" s="280"/>
      <c r="AA2" s="280"/>
      <c r="AB2" s="280"/>
      <c r="AC2" s="280"/>
      <c r="AD2" s="280"/>
      <c r="AE2" s="280"/>
      <c r="AF2" s="280"/>
      <c r="AG2" s="280"/>
      <c r="AH2" s="280"/>
      <c r="AI2" s="280"/>
      <c r="AJ2" s="280"/>
      <c r="AK2" s="280"/>
      <c r="AL2" s="280"/>
      <c r="AM2" s="280"/>
      <c r="AN2" s="280"/>
      <c r="AO2" s="280"/>
      <c r="AP2" s="280"/>
      <c r="AQ2" s="280"/>
      <c r="AR2" s="280"/>
      <c r="AS2" s="280"/>
      <c r="AT2" s="280"/>
      <c r="AU2" s="280"/>
      <c r="AV2" s="280"/>
      <c r="AW2" s="280"/>
      <c r="AX2" s="280"/>
      <c r="AY2" s="280"/>
      <c r="AZ2" s="280"/>
      <c r="BA2" s="280"/>
      <c r="BB2" s="280"/>
      <c r="BC2" s="280"/>
      <c r="BD2" s="280"/>
      <c r="BE2" s="281"/>
    </row>
    <row r="3" spans="1:57" ht="16.5" customHeight="1">
      <c r="A3" s="3"/>
      <c r="B3" s="285"/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O3" s="286"/>
      <c r="P3" s="286"/>
      <c r="Q3" s="286"/>
      <c r="R3" s="287"/>
      <c r="S3" s="280"/>
      <c r="T3" s="280"/>
      <c r="U3" s="280"/>
      <c r="V3" s="280"/>
      <c r="W3" s="280"/>
      <c r="X3" s="280"/>
      <c r="Y3" s="280"/>
      <c r="Z3" s="280"/>
      <c r="AA3" s="280"/>
      <c r="AB3" s="280"/>
      <c r="AC3" s="280"/>
      <c r="AD3" s="280"/>
      <c r="AE3" s="280"/>
      <c r="AF3" s="280"/>
      <c r="AG3" s="280"/>
      <c r="AH3" s="280"/>
      <c r="AI3" s="280"/>
      <c r="AJ3" s="280"/>
      <c r="AK3" s="280"/>
      <c r="AL3" s="280"/>
      <c r="AM3" s="280"/>
      <c r="AN3" s="280"/>
      <c r="AO3" s="280"/>
      <c r="AP3" s="280"/>
      <c r="AQ3" s="280"/>
      <c r="AR3" s="280"/>
      <c r="AS3" s="280"/>
      <c r="AT3" s="280"/>
      <c r="AU3" s="280"/>
      <c r="AV3" s="280"/>
      <c r="AW3" s="280"/>
      <c r="AX3" s="280"/>
      <c r="AY3" s="280"/>
      <c r="AZ3" s="280"/>
      <c r="BA3" s="280"/>
      <c r="BB3" s="280"/>
      <c r="BC3" s="280"/>
      <c r="BD3" s="280"/>
      <c r="BE3" s="281"/>
    </row>
    <row r="4" spans="1:57" ht="19.5" customHeight="1">
      <c r="A4" s="4"/>
      <c r="B4" s="288"/>
      <c r="C4" s="288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8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8"/>
      <c r="AB4" s="288"/>
      <c r="AC4" s="288"/>
      <c r="AD4" s="288"/>
      <c r="AE4" s="288"/>
      <c r="AF4" s="288"/>
      <c r="AG4" s="288"/>
      <c r="AH4" s="288"/>
      <c r="AI4" s="288"/>
      <c r="AJ4" s="288"/>
      <c r="AK4" s="288"/>
      <c r="AL4" s="288"/>
      <c r="AM4" s="288"/>
      <c r="AN4" s="288"/>
      <c r="AO4" s="288"/>
      <c r="AP4" s="288"/>
      <c r="AQ4" s="288"/>
      <c r="AR4" s="288"/>
      <c r="AS4" s="288"/>
      <c r="AT4" s="288"/>
      <c r="AU4" s="288"/>
      <c r="AV4" s="288"/>
      <c r="AW4" s="288"/>
      <c r="AX4" s="288"/>
      <c r="AY4" s="288"/>
      <c r="AZ4" s="288"/>
      <c r="BA4" s="288"/>
      <c r="BB4" s="288"/>
      <c r="BC4" s="288"/>
      <c r="BD4" s="288"/>
      <c r="BE4" s="281"/>
    </row>
    <row r="5" spans="1:57" ht="16.5" customHeight="1">
      <c r="A5" s="4"/>
      <c r="B5" s="288"/>
      <c r="C5" s="288"/>
      <c r="D5" s="288"/>
      <c r="E5" s="288"/>
      <c r="F5" s="288"/>
      <c r="G5" s="288"/>
      <c r="H5" s="288"/>
      <c r="I5" s="28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288"/>
      <c r="AO5" s="288"/>
      <c r="AP5" s="288"/>
      <c r="AQ5" s="288"/>
      <c r="AR5" s="288"/>
      <c r="AS5" s="288"/>
      <c r="AT5" s="288"/>
      <c r="AU5" s="288"/>
      <c r="AV5" s="288"/>
      <c r="AW5" s="288"/>
      <c r="AX5" s="288"/>
      <c r="AY5" s="288"/>
      <c r="AZ5" s="288"/>
      <c r="BA5" s="288"/>
      <c r="BB5" s="288"/>
      <c r="BC5" s="288"/>
      <c r="BD5" s="288"/>
      <c r="BE5" s="281"/>
    </row>
    <row r="6" spans="1:57" ht="16.5" customHeight="1">
      <c r="A6" s="3"/>
      <c r="B6" s="289" t="s">
        <v>9</v>
      </c>
      <c r="C6" s="290"/>
      <c r="D6" s="290"/>
      <c r="E6" s="290"/>
      <c r="F6" s="290"/>
      <c r="G6" s="290"/>
      <c r="H6" s="290"/>
      <c r="I6" s="290"/>
      <c r="J6" s="290"/>
      <c r="K6" s="290"/>
      <c r="L6" s="290"/>
      <c r="M6" s="290"/>
      <c r="N6" s="290"/>
      <c r="O6" s="290"/>
      <c r="P6" s="290"/>
      <c r="Q6" s="290"/>
      <c r="R6" s="291"/>
      <c r="S6" s="292"/>
      <c r="T6" s="292"/>
      <c r="U6" s="292"/>
      <c r="V6" s="292"/>
      <c r="W6" s="292"/>
      <c r="X6" s="292"/>
      <c r="Y6" s="292"/>
      <c r="Z6" s="292"/>
      <c r="AA6" s="292"/>
      <c r="AB6" s="280"/>
      <c r="AC6" s="280"/>
      <c r="AD6" s="280"/>
      <c r="AE6" s="280"/>
      <c r="AF6" s="280"/>
      <c r="AG6" s="280"/>
      <c r="AH6" s="280"/>
      <c r="AI6" s="280"/>
      <c r="AJ6" s="280"/>
      <c r="AK6" s="280"/>
      <c r="AL6" s="280"/>
      <c r="AM6" s="280"/>
      <c r="AN6" s="280"/>
      <c r="AO6" s="280"/>
      <c r="AP6" s="280"/>
      <c r="AQ6" s="280"/>
      <c r="AR6" s="280"/>
      <c r="AS6" s="280"/>
      <c r="AT6" s="280"/>
      <c r="AU6" s="280"/>
      <c r="AV6" s="280"/>
      <c r="AW6" s="280"/>
      <c r="AX6" s="280"/>
      <c r="AY6" s="280"/>
      <c r="AZ6" s="280"/>
      <c r="BA6" s="280"/>
      <c r="BB6" s="280"/>
      <c r="BC6" s="280"/>
      <c r="BD6" s="280"/>
      <c r="BE6" s="281"/>
    </row>
    <row r="7" spans="1:57" ht="16.5" customHeight="1">
      <c r="A7" s="3"/>
      <c r="B7" s="293" t="s">
        <v>1</v>
      </c>
      <c r="C7" s="294" t="s">
        <v>10</v>
      </c>
      <c r="D7" s="295" t="s">
        <v>11</v>
      </c>
      <c r="E7" s="296"/>
      <c r="F7" s="297"/>
      <c r="G7" s="298" t="s">
        <v>12</v>
      </c>
      <c r="H7" s="299"/>
      <c r="I7" s="300" t="s">
        <v>250</v>
      </c>
      <c r="J7" s="296"/>
      <c r="K7" s="296"/>
      <c r="L7" s="296"/>
      <c r="M7" s="296"/>
      <c r="N7" s="296"/>
      <c r="O7" s="296"/>
      <c r="P7" s="296"/>
      <c r="Q7" s="296"/>
      <c r="R7" s="299"/>
      <c r="S7" s="301"/>
      <c r="T7" s="301"/>
      <c r="U7" s="301"/>
      <c r="V7" s="301"/>
      <c r="W7" s="301"/>
      <c r="X7" s="301"/>
      <c r="Y7" s="301"/>
      <c r="Z7" s="301"/>
      <c r="AA7" s="301"/>
      <c r="AB7" s="280"/>
      <c r="AC7" s="280"/>
      <c r="AD7" s="280"/>
      <c r="AE7" s="280"/>
      <c r="AF7" s="280"/>
      <c r="AG7" s="280"/>
      <c r="AH7" s="280"/>
      <c r="AI7" s="280"/>
      <c r="AJ7" s="280"/>
      <c r="AK7" s="280"/>
      <c r="AL7" s="280"/>
      <c r="AM7" s="280"/>
      <c r="AN7" s="280"/>
      <c r="AO7" s="280"/>
      <c r="AP7" s="280"/>
      <c r="AQ7" s="280"/>
      <c r="AR7" s="280"/>
      <c r="AS7" s="280"/>
      <c r="AT7" s="280"/>
      <c r="AU7" s="280"/>
      <c r="AV7" s="280"/>
      <c r="AW7" s="280"/>
      <c r="AX7" s="280"/>
      <c r="AY7" s="280"/>
      <c r="AZ7" s="280"/>
      <c r="BA7" s="280"/>
      <c r="BB7" s="280"/>
      <c r="BC7" s="280"/>
      <c r="BD7" s="280"/>
      <c r="BE7" s="281"/>
    </row>
    <row r="8" spans="1:57" ht="16.5" customHeight="1">
      <c r="A8" s="3"/>
      <c r="B8" s="302"/>
      <c r="C8" s="303"/>
      <c r="D8" s="304"/>
      <c r="E8" s="305"/>
      <c r="F8" s="306"/>
      <c r="G8" s="307" t="s">
        <v>13</v>
      </c>
      <c r="H8" s="308"/>
      <c r="I8" s="309"/>
      <c r="J8" s="310"/>
      <c r="K8" s="310"/>
      <c r="L8" s="310"/>
      <c r="M8" s="310"/>
      <c r="N8" s="310"/>
      <c r="O8" s="310"/>
      <c r="P8" s="310"/>
      <c r="Q8" s="310"/>
      <c r="R8" s="311"/>
      <c r="S8" s="301"/>
      <c r="T8" s="301"/>
      <c r="U8" s="301"/>
      <c r="V8" s="301"/>
      <c r="W8" s="301"/>
      <c r="X8" s="301"/>
      <c r="Y8" s="301"/>
      <c r="Z8" s="301"/>
      <c r="AA8" s="301"/>
      <c r="AB8" s="280"/>
      <c r="AC8" s="280"/>
      <c r="AD8" s="280"/>
      <c r="AE8" s="280"/>
      <c r="AF8" s="280"/>
      <c r="AG8" s="280"/>
      <c r="AH8" s="280"/>
      <c r="AI8" s="280"/>
      <c r="AJ8" s="280"/>
      <c r="AK8" s="280"/>
      <c r="AL8" s="280"/>
      <c r="AM8" s="280"/>
      <c r="AN8" s="280"/>
      <c r="AO8" s="280"/>
      <c r="AP8" s="280"/>
      <c r="AQ8" s="280"/>
      <c r="AR8" s="280"/>
      <c r="AS8" s="280"/>
      <c r="AT8" s="280"/>
      <c r="AU8" s="280"/>
      <c r="AV8" s="280"/>
      <c r="AW8" s="280"/>
      <c r="AX8" s="280"/>
      <c r="AY8" s="280"/>
      <c r="AZ8" s="280"/>
      <c r="BA8" s="280"/>
      <c r="BB8" s="280"/>
      <c r="BC8" s="280"/>
      <c r="BD8" s="280"/>
      <c r="BE8" s="281"/>
    </row>
    <row r="9" spans="1:57" ht="16.5" customHeight="1">
      <c r="A9" s="3"/>
      <c r="B9" s="302"/>
      <c r="C9" s="303"/>
      <c r="D9" s="312" t="s">
        <v>14</v>
      </c>
      <c r="E9" s="312" t="s">
        <v>15</v>
      </c>
      <c r="F9" s="312" t="s">
        <v>16</v>
      </c>
      <c r="G9" s="312" t="s">
        <v>17</v>
      </c>
      <c r="H9" s="313" t="s">
        <v>18</v>
      </c>
      <c r="I9" s="314" t="s">
        <v>19</v>
      </c>
      <c r="J9" s="395"/>
      <c r="K9" s="395"/>
      <c r="L9" s="395"/>
      <c r="M9" s="396"/>
      <c r="N9" s="314" t="s">
        <v>20</v>
      </c>
      <c r="O9" s="315"/>
      <c r="P9" s="315"/>
      <c r="Q9" s="315"/>
      <c r="R9" s="316"/>
      <c r="S9" s="301"/>
      <c r="T9" s="301"/>
      <c r="U9" s="301"/>
      <c r="V9" s="301"/>
      <c r="W9" s="301"/>
      <c r="X9" s="301"/>
      <c r="Y9" s="301"/>
      <c r="Z9" s="301"/>
      <c r="AA9" s="301"/>
      <c r="AB9" s="280"/>
      <c r="AC9" s="280"/>
      <c r="AD9" s="280"/>
      <c r="AE9" s="280"/>
      <c r="AF9" s="280"/>
      <c r="AG9" s="280"/>
      <c r="AH9" s="280"/>
      <c r="AI9" s="280"/>
      <c r="AJ9" s="280"/>
      <c r="AK9" s="280"/>
      <c r="AL9" s="317" t="s">
        <v>21</v>
      </c>
      <c r="AM9" s="318" t="s">
        <v>22</v>
      </c>
      <c r="AN9" s="318" t="s">
        <v>23</v>
      </c>
      <c r="AO9" s="318" t="s">
        <v>24</v>
      </c>
      <c r="AP9" s="280"/>
      <c r="AQ9" s="280"/>
      <c r="AR9" s="280"/>
      <c r="AS9" s="280"/>
      <c r="AT9" s="280"/>
      <c r="AU9" s="280"/>
      <c r="AV9" s="280"/>
      <c r="AW9" s="280"/>
      <c r="AX9" s="280"/>
      <c r="AY9" s="280"/>
      <c r="AZ9" s="280"/>
      <c r="BA9" s="280"/>
      <c r="BB9" s="280"/>
      <c r="BC9" s="280"/>
      <c r="BD9" s="280"/>
      <c r="BE9" s="281"/>
    </row>
    <row r="10" spans="1:57" ht="75.75" customHeight="1">
      <c r="A10" s="9"/>
      <c r="B10" s="319"/>
      <c r="C10" s="320"/>
      <c r="D10" s="320"/>
      <c r="E10" s="320"/>
      <c r="F10" s="320"/>
      <c r="G10" s="320"/>
      <c r="H10" s="321"/>
      <c r="I10" s="322" t="s">
        <v>25</v>
      </c>
      <c r="J10" s="323" t="s">
        <v>26</v>
      </c>
      <c r="K10" s="324" t="s">
        <v>27</v>
      </c>
      <c r="L10" s="323" t="s">
        <v>28</v>
      </c>
      <c r="M10" s="325" t="s">
        <v>29</v>
      </c>
      <c r="N10" s="322" t="s">
        <v>25</v>
      </c>
      <c r="O10" s="323" t="s">
        <v>26</v>
      </c>
      <c r="P10" s="324" t="s">
        <v>27</v>
      </c>
      <c r="Q10" s="323" t="s">
        <v>28</v>
      </c>
      <c r="R10" s="325" t="s">
        <v>29</v>
      </c>
      <c r="S10" s="326"/>
      <c r="T10" s="326"/>
      <c r="U10" s="326"/>
      <c r="V10" s="326"/>
      <c r="W10" s="326"/>
      <c r="X10" s="326" t="s">
        <v>30</v>
      </c>
      <c r="Y10" s="326" t="s">
        <v>30</v>
      </c>
      <c r="Z10" s="326"/>
      <c r="AA10" s="326"/>
      <c r="AB10" s="327"/>
      <c r="AC10" s="327"/>
      <c r="AD10" s="327"/>
      <c r="AE10" s="327"/>
      <c r="AF10" s="327"/>
      <c r="AG10" s="327"/>
      <c r="AH10" s="327"/>
      <c r="AI10" s="328"/>
      <c r="AJ10" s="327"/>
      <c r="AK10" s="327"/>
      <c r="AL10" s="283"/>
      <c r="AM10" s="283"/>
      <c r="AN10" s="283"/>
      <c r="AO10" s="283"/>
      <c r="AP10" s="327"/>
      <c r="AQ10" s="327"/>
      <c r="AR10" s="327"/>
      <c r="AS10" s="327"/>
      <c r="AT10" s="327"/>
      <c r="AU10" s="327"/>
      <c r="AV10" s="327"/>
      <c r="AW10" s="327"/>
      <c r="AX10" s="327"/>
      <c r="AY10" s="327" t="s">
        <v>31</v>
      </c>
      <c r="AZ10" s="327" t="s">
        <v>32</v>
      </c>
      <c r="BA10" s="327" t="s">
        <v>19</v>
      </c>
      <c r="BB10" s="327" t="s">
        <v>10</v>
      </c>
      <c r="BC10" s="327" t="s">
        <v>20</v>
      </c>
      <c r="BD10" s="327" t="s">
        <v>10</v>
      </c>
      <c r="BE10" s="281"/>
    </row>
    <row r="11" spans="1:57" ht="16.5" customHeight="1">
      <c r="A11" s="3"/>
      <c r="B11" s="329" t="s">
        <v>33</v>
      </c>
      <c r="C11" s="330">
        <v>4</v>
      </c>
      <c r="D11" s="330">
        <v>1.5</v>
      </c>
      <c r="E11" s="330">
        <v>2</v>
      </c>
      <c r="F11" s="330">
        <v>0.3</v>
      </c>
      <c r="G11" s="331">
        <v>70</v>
      </c>
      <c r="H11" s="332">
        <v>1.5</v>
      </c>
      <c r="I11" s="333" t="s">
        <v>34</v>
      </c>
      <c r="J11" s="334">
        <f t="shared" ref="J11:J20" si="0">AI11</f>
        <v>12</v>
      </c>
      <c r="K11" s="335">
        <f t="shared" ref="K11:K20" si="1">D11-0.002*G11+2*F11/2</f>
        <v>1.66</v>
      </c>
      <c r="L11" s="336">
        <v>10</v>
      </c>
      <c r="M11" s="337">
        <v>10</v>
      </c>
      <c r="N11" s="338" t="s">
        <v>35</v>
      </c>
      <c r="O11" s="334">
        <f t="shared" ref="O11:O20" si="2">AX11</f>
        <v>9</v>
      </c>
      <c r="P11" s="335">
        <f t="shared" ref="P11:P20" si="3">E11-0.002*G11+2*F11/2</f>
        <v>2.1599999999999997</v>
      </c>
      <c r="Q11" s="336">
        <v>8</v>
      </c>
      <c r="R11" s="337">
        <v>8</v>
      </c>
      <c r="S11" s="339"/>
      <c r="T11" s="339"/>
      <c r="U11" s="339"/>
      <c r="V11" s="280" t="s">
        <v>36</v>
      </c>
      <c r="W11" s="339">
        <v>0.61735017716184748</v>
      </c>
      <c r="X11" s="340">
        <f t="shared" ref="X11:X20" si="4">IF(C11&gt;0,Z11*J11*VLOOKUP(I11,$V$11:$W$17,2,FALSE),"")</f>
        <v>227.57996930894348</v>
      </c>
      <c r="Y11" s="341">
        <f t="shared" ref="Y11:Y20" si="5">IF(C11&gt;0,O11*AA11*VLOOKUP(I11,$V$11:$W$17,2,FALSE),"")</f>
        <v>227.57996930894348</v>
      </c>
      <c r="Z11" s="340">
        <f t="shared" ref="Z11:Z20" si="6">IF(C11&gt;0,CEILING(C11*K11*(L11+M11)/J11,1),"")</f>
        <v>12</v>
      </c>
      <c r="AA11" s="340">
        <f t="shared" ref="AA11:AA20" si="7">IF(C11&gt;0,CEILING(C11*P11*(Q11+R11)/O11,1),"")</f>
        <v>16</v>
      </c>
      <c r="AB11" s="341">
        <f t="shared" ref="AB11:AB20" si="8">K11</f>
        <v>1.66</v>
      </c>
      <c r="AC11" s="280">
        <f t="shared" ref="AC11:AG11" si="9">IF(C11&gt;0,AC$21-$AB11*FLOOR(AC$21/$AB11,1),"")</f>
        <v>1.0200000000000005</v>
      </c>
      <c r="AD11" s="280">
        <f t="shared" si="9"/>
        <v>0.86000000000000032</v>
      </c>
      <c r="AE11" s="280">
        <f t="shared" si="9"/>
        <v>0.70000000000000107</v>
      </c>
      <c r="AF11" s="280">
        <f t="shared" si="9"/>
        <v>0.54000000000000092</v>
      </c>
      <c r="AG11" s="280">
        <f t="shared" si="9"/>
        <v>0.38000000000000078</v>
      </c>
      <c r="AH11" s="280">
        <f t="shared" ref="AH11:AH20" si="10">IF(AB11&gt;0,SMALL(AC11:AG11,1),"")</f>
        <v>0.38000000000000078</v>
      </c>
      <c r="AI11" s="342">
        <f>IF(AB11&gt;0,HLOOKUP(AH11,AC11:AG21,11,FALSE),"")</f>
        <v>12</v>
      </c>
      <c r="AJ11" s="339" t="s">
        <v>13</v>
      </c>
      <c r="AK11" s="280">
        <v>12</v>
      </c>
      <c r="AL11" s="341">
        <f t="shared" ref="AL11:AL20" si="11">C11*D11*E11*F11</f>
        <v>3.5999999999999996</v>
      </c>
      <c r="AM11" s="341">
        <f t="shared" ref="AM11:AM20" si="12">C11*D11*E11*H11*1.05</f>
        <v>18.900000000000002</v>
      </c>
      <c r="AN11" s="341">
        <f>AM11-(AL11*1.05)</f>
        <v>15.120000000000003</v>
      </c>
      <c r="AO11" s="341">
        <f t="shared" ref="AO11:AO20" si="13">D11*E11*C11</f>
        <v>12</v>
      </c>
      <c r="AP11" s="280"/>
      <c r="AQ11" s="341">
        <f t="shared" ref="AQ11:AQ20" si="14">P11</f>
        <v>2.1599999999999997</v>
      </c>
      <c r="AR11" s="280">
        <f t="shared" ref="AR11:AV11" si="15">IF(C11&gt;0,AR$21-$AQ11*FLOOR(AR$21/$AQ11,1),"")</f>
        <v>1.6800000000000006</v>
      </c>
      <c r="AS11" s="280">
        <f t="shared" si="15"/>
        <v>1.0200000000000014</v>
      </c>
      <c r="AT11" s="280">
        <f t="shared" si="15"/>
        <v>0.36000000000000121</v>
      </c>
      <c r="AU11" s="280">
        <f t="shared" si="15"/>
        <v>1.8600000000000012</v>
      </c>
      <c r="AV11" s="280">
        <f t="shared" si="15"/>
        <v>1.2000000000000011</v>
      </c>
      <c r="AW11" s="280">
        <f t="shared" ref="AW11:AW20" si="16">IF(AQ11&gt;0,SMALL(AR11:AV11,1),"")</f>
        <v>0.36000000000000121</v>
      </c>
      <c r="AX11" s="342">
        <f>IF(AQ11&gt;0,HLOOKUP(AW11,AR11:AV21,11,FALSE),"")</f>
        <v>9</v>
      </c>
      <c r="AY11" s="280"/>
      <c r="AZ11" s="280"/>
      <c r="BA11" s="280"/>
      <c r="BB11" s="280"/>
      <c r="BC11" s="280"/>
      <c r="BD11" s="280"/>
      <c r="BE11" s="281"/>
    </row>
    <row r="12" spans="1:57" ht="16.5" customHeight="1">
      <c r="A12" s="3"/>
      <c r="B12" s="329" t="s">
        <v>37</v>
      </c>
      <c r="C12" s="330"/>
      <c r="D12" s="330"/>
      <c r="E12" s="330"/>
      <c r="F12" s="330"/>
      <c r="G12" s="331"/>
      <c r="H12" s="332"/>
      <c r="I12" s="333"/>
      <c r="J12" s="334" t="str">
        <f t="shared" si="0"/>
        <v/>
      </c>
      <c r="K12" s="335">
        <f t="shared" si="1"/>
        <v>0</v>
      </c>
      <c r="L12" s="336"/>
      <c r="M12" s="337"/>
      <c r="N12" s="338"/>
      <c r="O12" s="334" t="str">
        <f t="shared" si="2"/>
        <v/>
      </c>
      <c r="P12" s="335">
        <f t="shared" si="3"/>
        <v>0</v>
      </c>
      <c r="Q12" s="336"/>
      <c r="R12" s="337"/>
      <c r="S12" s="339"/>
      <c r="T12" s="339"/>
      <c r="U12" s="339"/>
      <c r="V12" s="280" t="s">
        <v>35</v>
      </c>
      <c r="W12" s="339">
        <v>0.88898425511306034</v>
      </c>
      <c r="X12" s="340" t="str">
        <f t="shared" si="4"/>
        <v/>
      </c>
      <c r="Y12" s="341" t="str">
        <f t="shared" si="5"/>
        <v/>
      </c>
      <c r="Z12" s="340" t="str">
        <f t="shared" si="6"/>
        <v/>
      </c>
      <c r="AA12" s="340" t="str">
        <f t="shared" si="7"/>
        <v/>
      </c>
      <c r="AB12" s="341">
        <f t="shared" si="8"/>
        <v>0</v>
      </c>
      <c r="AC12" s="280" t="str">
        <f t="shared" ref="AC12:AG12" si="17">IF(C12&gt;0,AC$21-$AB12*FLOOR(AC$21/$AB12,1),"")</f>
        <v/>
      </c>
      <c r="AD12" s="280" t="str">
        <f t="shared" si="17"/>
        <v/>
      </c>
      <c r="AE12" s="280" t="str">
        <f t="shared" si="17"/>
        <v/>
      </c>
      <c r="AF12" s="280" t="str">
        <f t="shared" si="17"/>
        <v/>
      </c>
      <c r="AG12" s="280" t="str">
        <f t="shared" si="17"/>
        <v/>
      </c>
      <c r="AH12" s="280" t="str">
        <f t="shared" si="10"/>
        <v/>
      </c>
      <c r="AI12" s="342" t="str">
        <f>IF(AB12&gt;0,HLOOKUP(AH12,AC12:AG22,10,FALSE),"")</f>
        <v/>
      </c>
      <c r="AJ12" s="339" t="s">
        <v>38</v>
      </c>
      <c r="AK12" s="280">
        <v>10</v>
      </c>
      <c r="AL12" s="341">
        <f t="shared" si="11"/>
        <v>0</v>
      </c>
      <c r="AM12" s="341">
        <f t="shared" si="12"/>
        <v>0</v>
      </c>
      <c r="AN12" s="341">
        <f t="shared" ref="AN12:AN20" si="18">AM12-(AL12*1.15)</f>
        <v>0</v>
      </c>
      <c r="AO12" s="341">
        <f t="shared" si="13"/>
        <v>0</v>
      </c>
      <c r="AP12" s="280"/>
      <c r="AQ12" s="341">
        <f t="shared" si="14"/>
        <v>0</v>
      </c>
      <c r="AR12" s="280" t="str">
        <f t="shared" ref="AR12:AV12" si="19">IF(C12&gt;0,AR$21-$AQ12*FLOOR(AR$21/$AQ12,1),"")</f>
        <v/>
      </c>
      <c r="AS12" s="280" t="str">
        <f t="shared" si="19"/>
        <v/>
      </c>
      <c r="AT12" s="280" t="str">
        <f t="shared" si="19"/>
        <v/>
      </c>
      <c r="AU12" s="280" t="str">
        <f t="shared" si="19"/>
        <v/>
      </c>
      <c r="AV12" s="280" t="str">
        <f t="shared" si="19"/>
        <v/>
      </c>
      <c r="AW12" s="280" t="str">
        <f t="shared" si="16"/>
        <v/>
      </c>
      <c r="AX12" s="342" t="str">
        <f>IF(AQ12&gt;0,HLOOKUP(AW12,AR12:AV22,10,FALSE),"")</f>
        <v/>
      </c>
      <c r="AY12" s="280"/>
      <c r="AZ12" s="280"/>
      <c r="BA12" s="280"/>
      <c r="BB12" s="280"/>
      <c r="BC12" s="280"/>
      <c r="BD12" s="280"/>
      <c r="BE12" s="281"/>
    </row>
    <row r="13" spans="1:57" ht="16.5" customHeight="1">
      <c r="A13" s="3"/>
      <c r="B13" s="329" t="s">
        <v>39</v>
      </c>
      <c r="C13" s="330"/>
      <c r="D13" s="330"/>
      <c r="E13" s="330"/>
      <c r="F13" s="330"/>
      <c r="G13" s="331"/>
      <c r="H13" s="332"/>
      <c r="I13" s="333"/>
      <c r="J13" s="334" t="str">
        <f t="shared" si="0"/>
        <v/>
      </c>
      <c r="K13" s="335">
        <f t="shared" si="1"/>
        <v>0</v>
      </c>
      <c r="L13" s="336"/>
      <c r="M13" s="337"/>
      <c r="N13" s="338"/>
      <c r="O13" s="334" t="str">
        <f t="shared" si="2"/>
        <v/>
      </c>
      <c r="P13" s="335">
        <f t="shared" si="3"/>
        <v>0</v>
      </c>
      <c r="Q13" s="336"/>
      <c r="R13" s="337"/>
      <c r="S13" s="339"/>
      <c r="T13" s="339"/>
      <c r="U13" s="339"/>
      <c r="V13" s="280" t="s">
        <v>34</v>
      </c>
      <c r="W13" s="339">
        <v>1.5804164535343297</v>
      </c>
      <c r="X13" s="340" t="str">
        <f t="shared" si="4"/>
        <v/>
      </c>
      <c r="Y13" s="341" t="str">
        <f t="shared" si="5"/>
        <v/>
      </c>
      <c r="Z13" s="340" t="str">
        <f t="shared" si="6"/>
        <v/>
      </c>
      <c r="AA13" s="340" t="str">
        <f t="shared" si="7"/>
        <v/>
      </c>
      <c r="AB13" s="341">
        <f t="shared" si="8"/>
        <v>0</v>
      </c>
      <c r="AC13" s="280" t="str">
        <f t="shared" ref="AC13:AG13" si="20">IF(C13&gt;0,AC$21-$AB13*FLOOR(AC$21/$AB13,1),"")</f>
        <v/>
      </c>
      <c r="AD13" s="280" t="str">
        <f t="shared" si="20"/>
        <v/>
      </c>
      <c r="AE13" s="280" t="str">
        <f t="shared" si="20"/>
        <v/>
      </c>
      <c r="AF13" s="280" t="str">
        <f t="shared" si="20"/>
        <v/>
      </c>
      <c r="AG13" s="280" t="str">
        <f t="shared" si="20"/>
        <v/>
      </c>
      <c r="AH13" s="280" t="str">
        <f t="shared" si="10"/>
        <v/>
      </c>
      <c r="AI13" s="342" t="str">
        <f>IF(AB13&gt;0,HLOOKUP(AH13,AC13:AG23,9,FALSE),"")</f>
        <v/>
      </c>
      <c r="AJ13" s="339" t="s">
        <v>40</v>
      </c>
      <c r="AK13" s="280">
        <v>8</v>
      </c>
      <c r="AL13" s="341">
        <f t="shared" si="11"/>
        <v>0</v>
      </c>
      <c r="AM13" s="341">
        <f t="shared" si="12"/>
        <v>0</v>
      </c>
      <c r="AN13" s="341">
        <f t="shared" si="18"/>
        <v>0</v>
      </c>
      <c r="AO13" s="341">
        <f t="shared" si="13"/>
        <v>0</v>
      </c>
      <c r="AP13" s="280"/>
      <c r="AQ13" s="341">
        <f t="shared" si="14"/>
        <v>0</v>
      </c>
      <c r="AR13" s="280" t="str">
        <f t="shared" ref="AR13:AV13" si="21">IF(C13&gt;0,AR$21-$AQ13*FLOOR(AR$21/$AQ13,1),"")</f>
        <v/>
      </c>
      <c r="AS13" s="280" t="str">
        <f t="shared" si="21"/>
        <v/>
      </c>
      <c r="AT13" s="280" t="str">
        <f t="shared" si="21"/>
        <v/>
      </c>
      <c r="AU13" s="280" t="str">
        <f t="shared" si="21"/>
        <v/>
      </c>
      <c r="AV13" s="280" t="str">
        <f t="shared" si="21"/>
        <v/>
      </c>
      <c r="AW13" s="280" t="str">
        <f t="shared" si="16"/>
        <v/>
      </c>
      <c r="AX13" s="342" t="str">
        <f>IF(AQ13&gt;0,HLOOKUP(AW13,AR13:AV23,9,FALSE),"")</f>
        <v/>
      </c>
      <c r="AY13" s="280"/>
      <c r="AZ13" s="280"/>
      <c r="BA13" s="280"/>
      <c r="BB13" s="280"/>
      <c r="BC13" s="280"/>
      <c r="BD13" s="280"/>
      <c r="BE13" s="281"/>
    </row>
    <row r="14" spans="1:57" ht="16.5" customHeight="1">
      <c r="A14" s="3"/>
      <c r="B14" s="329" t="s">
        <v>41</v>
      </c>
      <c r="C14" s="330"/>
      <c r="D14" s="330"/>
      <c r="E14" s="330"/>
      <c r="F14" s="330"/>
      <c r="G14" s="331"/>
      <c r="H14" s="332"/>
      <c r="I14" s="333"/>
      <c r="J14" s="334" t="str">
        <f t="shared" si="0"/>
        <v/>
      </c>
      <c r="K14" s="335">
        <f t="shared" si="1"/>
        <v>0</v>
      </c>
      <c r="L14" s="336"/>
      <c r="M14" s="337"/>
      <c r="N14" s="338"/>
      <c r="O14" s="334" t="str">
        <f t="shared" si="2"/>
        <v/>
      </c>
      <c r="P14" s="335">
        <f t="shared" si="3"/>
        <v>0</v>
      </c>
      <c r="Q14" s="336"/>
      <c r="R14" s="337"/>
      <c r="S14" s="339"/>
      <c r="T14" s="339"/>
      <c r="U14" s="339"/>
      <c r="V14" s="280" t="s">
        <v>42</v>
      </c>
      <c r="W14" s="339">
        <v>2.4694007086473899</v>
      </c>
      <c r="X14" s="340" t="str">
        <f t="shared" si="4"/>
        <v/>
      </c>
      <c r="Y14" s="341" t="str">
        <f t="shared" si="5"/>
        <v/>
      </c>
      <c r="Z14" s="340" t="str">
        <f t="shared" si="6"/>
        <v/>
      </c>
      <c r="AA14" s="340" t="str">
        <f t="shared" si="7"/>
        <v/>
      </c>
      <c r="AB14" s="341">
        <f t="shared" si="8"/>
        <v>0</v>
      </c>
      <c r="AC14" s="280" t="str">
        <f t="shared" ref="AC14:AG14" si="22">IF(C14&gt;0,AC$21-$AB14*FLOOR(AC$21/$AB14,1),"")</f>
        <v/>
      </c>
      <c r="AD14" s="280" t="str">
        <f t="shared" si="22"/>
        <v/>
      </c>
      <c r="AE14" s="280" t="str">
        <f t="shared" si="22"/>
        <v/>
      </c>
      <c r="AF14" s="280" t="str">
        <f t="shared" si="22"/>
        <v/>
      </c>
      <c r="AG14" s="280" t="str">
        <f t="shared" si="22"/>
        <v/>
      </c>
      <c r="AH14" s="280" t="str">
        <f t="shared" si="10"/>
        <v/>
      </c>
      <c r="AI14" s="342" t="str">
        <f>IF(AB14&gt;0,HLOOKUP(AH14,AC14:AG24,8,FALSE),"")</f>
        <v/>
      </c>
      <c r="AJ14" s="339" t="s">
        <v>43</v>
      </c>
      <c r="AK14" s="280">
        <v>6.5</v>
      </c>
      <c r="AL14" s="341">
        <f t="shared" si="11"/>
        <v>0</v>
      </c>
      <c r="AM14" s="341">
        <f t="shared" si="12"/>
        <v>0</v>
      </c>
      <c r="AN14" s="341">
        <f t="shared" si="18"/>
        <v>0</v>
      </c>
      <c r="AO14" s="341">
        <f t="shared" si="13"/>
        <v>0</v>
      </c>
      <c r="AP14" s="280"/>
      <c r="AQ14" s="341">
        <f t="shared" si="14"/>
        <v>0</v>
      </c>
      <c r="AR14" s="280" t="str">
        <f t="shared" ref="AR14:AV14" si="23">IF(C14&gt;0,AR$21-$AQ14*FLOOR(AR$21/$AQ14,1),"")</f>
        <v/>
      </c>
      <c r="AS14" s="280" t="str">
        <f t="shared" si="23"/>
        <v/>
      </c>
      <c r="AT14" s="280" t="str">
        <f t="shared" si="23"/>
        <v/>
      </c>
      <c r="AU14" s="280" t="str">
        <f t="shared" si="23"/>
        <v/>
      </c>
      <c r="AV14" s="280" t="str">
        <f t="shared" si="23"/>
        <v/>
      </c>
      <c r="AW14" s="280" t="str">
        <f t="shared" si="16"/>
        <v/>
      </c>
      <c r="AX14" s="342" t="str">
        <f>IF(AQ14&gt;0,HLOOKUP(AW14,AR14:AV24,8,FALSE),"")</f>
        <v/>
      </c>
      <c r="AY14" s="280" t="str">
        <f t="shared" ref="AY14:AY20" si="24">IF(AQ14&gt;0,SMALL(AR14:AV14,1),"")</f>
        <v/>
      </c>
      <c r="AZ14" s="280" t="str">
        <f>IF(AQ14&gt;0,HLOOKUP(AY14,AR14:AV24,8,FALSE),"")</f>
        <v/>
      </c>
      <c r="BA14" s="280"/>
      <c r="BB14" s="280"/>
      <c r="BC14" s="280"/>
      <c r="BD14" s="280"/>
      <c r="BE14" s="281"/>
    </row>
    <row r="15" spans="1:57" ht="16.5" customHeight="1">
      <c r="A15" s="3"/>
      <c r="B15" s="329" t="s">
        <v>44</v>
      </c>
      <c r="C15" s="330"/>
      <c r="D15" s="330"/>
      <c r="E15" s="330"/>
      <c r="F15" s="330"/>
      <c r="G15" s="331"/>
      <c r="H15" s="332"/>
      <c r="I15" s="333"/>
      <c r="J15" s="334" t="str">
        <f t="shared" si="0"/>
        <v/>
      </c>
      <c r="K15" s="335">
        <f t="shared" si="1"/>
        <v>0</v>
      </c>
      <c r="L15" s="336"/>
      <c r="M15" s="337"/>
      <c r="N15" s="338"/>
      <c r="O15" s="334" t="str">
        <f t="shared" si="2"/>
        <v/>
      </c>
      <c r="P15" s="335">
        <f t="shared" si="3"/>
        <v>0</v>
      </c>
      <c r="Q15" s="336"/>
      <c r="R15" s="337"/>
      <c r="S15" s="339"/>
      <c r="T15" s="339"/>
      <c r="U15" s="339"/>
      <c r="V15" s="280" t="s">
        <v>45</v>
      </c>
      <c r="W15" s="339">
        <v>3.8584386072615469</v>
      </c>
      <c r="X15" s="340" t="str">
        <f t="shared" si="4"/>
        <v/>
      </c>
      <c r="Y15" s="341" t="str">
        <f t="shared" si="5"/>
        <v/>
      </c>
      <c r="Z15" s="340" t="str">
        <f t="shared" si="6"/>
        <v/>
      </c>
      <c r="AA15" s="340" t="str">
        <f t="shared" si="7"/>
        <v/>
      </c>
      <c r="AB15" s="341">
        <f t="shared" si="8"/>
        <v>0</v>
      </c>
      <c r="AC15" s="280" t="str">
        <f t="shared" ref="AC15:AG15" si="25">IF(C15&gt;0,AC$21-$AB15*FLOOR(AC$21/$AB15,1),"")</f>
        <v/>
      </c>
      <c r="AD15" s="280" t="str">
        <f t="shared" si="25"/>
        <v/>
      </c>
      <c r="AE15" s="280" t="str">
        <f t="shared" si="25"/>
        <v/>
      </c>
      <c r="AF15" s="280" t="str">
        <f t="shared" si="25"/>
        <v/>
      </c>
      <c r="AG15" s="280" t="str">
        <f t="shared" si="25"/>
        <v/>
      </c>
      <c r="AH15" s="280" t="str">
        <f t="shared" si="10"/>
        <v/>
      </c>
      <c r="AI15" s="342" t="str">
        <f>IF(AB15&gt;0,HLOOKUP(AH15,AC15:AG29,7,FALSE),"")</f>
        <v/>
      </c>
      <c r="AJ15" s="280"/>
      <c r="AK15" s="280"/>
      <c r="AL15" s="341">
        <f t="shared" si="11"/>
        <v>0</v>
      </c>
      <c r="AM15" s="341">
        <f t="shared" si="12"/>
        <v>0</v>
      </c>
      <c r="AN15" s="341">
        <f t="shared" si="18"/>
        <v>0</v>
      </c>
      <c r="AO15" s="341">
        <f t="shared" si="13"/>
        <v>0</v>
      </c>
      <c r="AP15" s="280"/>
      <c r="AQ15" s="341">
        <f t="shared" si="14"/>
        <v>0</v>
      </c>
      <c r="AR15" s="280" t="str">
        <f t="shared" ref="AR15:AV15" si="26">IF(C15&gt;0,AR$21-$AQ15*FLOOR(AR$21/$AQ15,1),"")</f>
        <v/>
      </c>
      <c r="AS15" s="280" t="str">
        <f t="shared" si="26"/>
        <v/>
      </c>
      <c r="AT15" s="280" t="str">
        <f t="shared" si="26"/>
        <v/>
      </c>
      <c r="AU15" s="280" t="str">
        <f t="shared" si="26"/>
        <v/>
      </c>
      <c r="AV15" s="280" t="str">
        <f t="shared" si="26"/>
        <v/>
      </c>
      <c r="AW15" s="280" t="str">
        <f t="shared" si="16"/>
        <v/>
      </c>
      <c r="AX15" s="342" t="str">
        <f>IF(AQ15&gt;0,HLOOKUP(AW15,AR15:AV29,7,FALSE),"")</f>
        <v/>
      </c>
      <c r="AY15" s="280" t="str">
        <f t="shared" si="24"/>
        <v/>
      </c>
      <c r="AZ15" s="280" t="str">
        <f>IF(AQ15&gt;0,HLOOKUP(AY15,AR15:AV29,7,FALSE),"")</f>
        <v/>
      </c>
      <c r="BA15" s="280"/>
      <c r="BB15" s="280"/>
      <c r="BC15" s="280"/>
      <c r="BD15" s="280"/>
      <c r="BE15" s="281"/>
    </row>
    <row r="16" spans="1:57" ht="16.5" customHeight="1">
      <c r="A16" s="3"/>
      <c r="B16" s="329" t="s">
        <v>46</v>
      </c>
      <c r="C16" s="330"/>
      <c r="D16" s="330"/>
      <c r="E16" s="330"/>
      <c r="F16" s="330"/>
      <c r="G16" s="331"/>
      <c r="H16" s="332"/>
      <c r="I16" s="333"/>
      <c r="J16" s="334" t="str">
        <f t="shared" si="0"/>
        <v/>
      </c>
      <c r="K16" s="335">
        <f t="shared" si="1"/>
        <v>0</v>
      </c>
      <c r="L16" s="336"/>
      <c r="M16" s="337"/>
      <c r="N16" s="338"/>
      <c r="O16" s="334" t="str">
        <f t="shared" si="2"/>
        <v/>
      </c>
      <c r="P16" s="335">
        <f t="shared" si="3"/>
        <v>0</v>
      </c>
      <c r="Q16" s="336"/>
      <c r="R16" s="337"/>
      <c r="S16" s="339"/>
      <c r="T16" s="339"/>
      <c r="U16" s="339"/>
      <c r="V16" s="280" t="s">
        <v>47</v>
      </c>
      <c r="W16" s="339">
        <v>4.8400253889488836</v>
      </c>
      <c r="X16" s="340" t="str">
        <f t="shared" si="4"/>
        <v/>
      </c>
      <c r="Y16" s="341" t="str">
        <f t="shared" si="5"/>
        <v/>
      </c>
      <c r="Z16" s="340" t="str">
        <f t="shared" si="6"/>
        <v/>
      </c>
      <c r="AA16" s="340" t="str">
        <f t="shared" si="7"/>
        <v/>
      </c>
      <c r="AB16" s="341">
        <f t="shared" si="8"/>
        <v>0</v>
      </c>
      <c r="AC16" s="280" t="str">
        <f t="shared" ref="AC16:AG16" si="27">IF(C16&gt;0,AC$21-$AB16*FLOOR(AC$21/$AB16,1),"")</f>
        <v/>
      </c>
      <c r="AD16" s="280" t="str">
        <f t="shared" si="27"/>
        <v/>
      </c>
      <c r="AE16" s="280" t="str">
        <f t="shared" si="27"/>
        <v/>
      </c>
      <c r="AF16" s="280" t="str">
        <f t="shared" si="27"/>
        <v/>
      </c>
      <c r="AG16" s="280" t="str">
        <f t="shared" si="27"/>
        <v/>
      </c>
      <c r="AH16" s="280" t="str">
        <f t="shared" si="10"/>
        <v/>
      </c>
      <c r="AI16" s="342" t="str">
        <f>IF(AB16&gt;0,HLOOKUP(AH16,AC16:AG31,6,FALSE),"")</f>
        <v/>
      </c>
      <c r="AJ16" s="280"/>
      <c r="AK16" s="280"/>
      <c r="AL16" s="341">
        <f t="shared" si="11"/>
        <v>0</v>
      </c>
      <c r="AM16" s="341">
        <f t="shared" si="12"/>
        <v>0</v>
      </c>
      <c r="AN16" s="341">
        <f t="shared" si="18"/>
        <v>0</v>
      </c>
      <c r="AO16" s="341">
        <f t="shared" si="13"/>
        <v>0</v>
      </c>
      <c r="AP16" s="280"/>
      <c r="AQ16" s="341">
        <f t="shared" si="14"/>
        <v>0</v>
      </c>
      <c r="AR16" s="280" t="str">
        <f t="shared" ref="AR16:AV16" si="28">IF(C16&gt;0,AR$21-$AQ16*FLOOR(AR$21/$AQ16,1),"")</f>
        <v/>
      </c>
      <c r="AS16" s="280" t="str">
        <f t="shared" si="28"/>
        <v/>
      </c>
      <c r="AT16" s="280" t="str">
        <f t="shared" si="28"/>
        <v/>
      </c>
      <c r="AU16" s="280" t="str">
        <f t="shared" si="28"/>
        <v/>
      </c>
      <c r="AV16" s="280" t="str">
        <f t="shared" si="28"/>
        <v/>
      </c>
      <c r="AW16" s="280" t="str">
        <f t="shared" si="16"/>
        <v/>
      </c>
      <c r="AX16" s="342" t="str">
        <f>IF(AQ16&gt;0,HLOOKUP(AW16,AR16:AV31,6,FALSE),"")</f>
        <v/>
      </c>
      <c r="AY16" s="280" t="str">
        <f t="shared" si="24"/>
        <v/>
      </c>
      <c r="AZ16" s="280" t="str">
        <f>IF(AQ16&gt;0,HLOOKUP(AY16,AR16:AV31,6,FALSE),"")</f>
        <v/>
      </c>
      <c r="BA16" s="280"/>
      <c r="BB16" s="280"/>
      <c r="BC16" s="280"/>
      <c r="BD16" s="280"/>
      <c r="BE16" s="281"/>
    </row>
    <row r="17" spans="1:57" ht="16.5" customHeight="1">
      <c r="A17" s="3"/>
      <c r="B17" s="329" t="s">
        <v>48</v>
      </c>
      <c r="C17" s="330"/>
      <c r="D17" s="330"/>
      <c r="E17" s="330"/>
      <c r="F17" s="330"/>
      <c r="G17" s="331"/>
      <c r="H17" s="332"/>
      <c r="I17" s="333"/>
      <c r="J17" s="334" t="str">
        <f t="shared" si="0"/>
        <v/>
      </c>
      <c r="K17" s="335">
        <f t="shared" si="1"/>
        <v>0</v>
      </c>
      <c r="L17" s="336"/>
      <c r="M17" s="337"/>
      <c r="N17" s="338"/>
      <c r="O17" s="334" t="str">
        <f t="shared" si="2"/>
        <v/>
      </c>
      <c r="P17" s="335">
        <f t="shared" si="3"/>
        <v>0</v>
      </c>
      <c r="Q17" s="336"/>
      <c r="R17" s="337"/>
      <c r="S17" s="339"/>
      <c r="T17" s="339"/>
      <c r="U17" s="339"/>
      <c r="V17" s="280" t="s">
        <v>49</v>
      </c>
      <c r="W17" s="339">
        <v>6.3216658141373188</v>
      </c>
      <c r="X17" s="340" t="str">
        <f t="shared" si="4"/>
        <v/>
      </c>
      <c r="Y17" s="341" t="str">
        <f t="shared" si="5"/>
        <v/>
      </c>
      <c r="Z17" s="340" t="str">
        <f t="shared" si="6"/>
        <v/>
      </c>
      <c r="AA17" s="340" t="str">
        <f t="shared" si="7"/>
        <v/>
      </c>
      <c r="AB17" s="341">
        <f t="shared" si="8"/>
        <v>0</v>
      </c>
      <c r="AC17" s="280" t="str">
        <f t="shared" ref="AC17:AG17" si="29">IF(C17&gt;0,AC$21-$AB17*FLOOR(AC$21/$AB17,1),"")</f>
        <v/>
      </c>
      <c r="AD17" s="280" t="str">
        <f t="shared" si="29"/>
        <v/>
      </c>
      <c r="AE17" s="280" t="str">
        <f t="shared" si="29"/>
        <v/>
      </c>
      <c r="AF17" s="280" t="str">
        <f t="shared" si="29"/>
        <v/>
      </c>
      <c r="AG17" s="280" t="str">
        <f t="shared" si="29"/>
        <v/>
      </c>
      <c r="AH17" s="280" t="str">
        <f t="shared" si="10"/>
        <v/>
      </c>
      <c r="AI17" s="342" t="str">
        <f>IF(AB17&gt;0,HLOOKUP(AH17,AC17:AG33,5,FALSE),"")</f>
        <v/>
      </c>
      <c r="AJ17" s="280"/>
      <c r="AK17" s="280"/>
      <c r="AL17" s="341">
        <f t="shared" si="11"/>
        <v>0</v>
      </c>
      <c r="AM17" s="341">
        <f t="shared" si="12"/>
        <v>0</v>
      </c>
      <c r="AN17" s="341">
        <f t="shared" si="18"/>
        <v>0</v>
      </c>
      <c r="AO17" s="341">
        <f t="shared" si="13"/>
        <v>0</v>
      </c>
      <c r="AP17" s="280"/>
      <c r="AQ17" s="341">
        <f t="shared" si="14"/>
        <v>0</v>
      </c>
      <c r="AR17" s="280" t="str">
        <f t="shared" ref="AR17:AV17" si="30">IF(C17&gt;0,AR$21-$AQ17*FLOOR(AR$21/$AQ17,1),"")</f>
        <v/>
      </c>
      <c r="AS17" s="280" t="str">
        <f t="shared" si="30"/>
        <v/>
      </c>
      <c r="AT17" s="280" t="str">
        <f t="shared" si="30"/>
        <v/>
      </c>
      <c r="AU17" s="280" t="str">
        <f t="shared" si="30"/>
        <v/>
      </c>
      <c r="AV17" s="280" t="str">
        <f t="shared" si="30"/>
        <v/>
      </c>
      <c r="AW17" s="280" t="str">
        <f t="shared" si="16"/>
        <v/>
      </c>
      <c r="AX17" s="342" t="str">
        <f>IF(AQ17&gt;0,HLOOKUP(AW17,AR17:AV33,5,FALSE),"")</f>
        <v/>
      </c>
      <c r="AY17" s="280" t="str">
        <f t="shared" si="24"/>
        <v/>
      </c>
      <c r="AZ17" s="280" t="str">
        <f>IF(AQ17&gt;0,HLOOKUP(AY17,AR17:AV33,5,FALSE),"")</f>
        <v/>
      </c>
      <c r="BA17" s="280"/>
      <c r="BB17" s="280"/>
      <c r="BC17" s="280"/>
      <c r="BD17" s="280"/>
      <c r="BE17" s="281"/>
    </row>
    <row r="18" spans="1:57" ht="16.5" customHeight="1">
      <c r="A18" s="3"/>
      <c r="B18" s="329" t="s">
        <v>50</v>
      </c>
      <c r="C18" s="330"/>
      <c r="D18" s="330"/>
      <c r="E18" s="330"/>
      <c r="F18" s="330"/>
      <c r="G18" s="331"/>
      <c r="H18" s="332"/>
      <c r="I18" s="333"/>
      <c r="J18" s="334" t="str">
        <f t="shared" si="0"/>
        <v/>
      </c>
      <c r="K18" s="335">
        <f t="shared" si="1"/>
        <v>0</v>
      </c>
      <c r="L18" s="336"/>
      <c r="M18" s="337"/>
      <c r="N18" s="338"/>
      <c r="O18" s="334" t="str">
        <f t="shared" si="2"/>
        <v/>
      </c>
      <c r="P18" s="335">
        <f t="shared" si="3"/>
        <v>0</v>
      </c>
      <c r="Q18" s="336"/>
      <c r="R18" s="337"/>
      <c r="S18" s="339"/>
      <c r="T18" s="339"/>
      <c r="U18" s="339"/>
      <c r="V18" s="339"/>
      <c r="W18" s="339"/>
      <c r="X18" s="340" t="str">
        <f t="shared" si="4"/>
        <v/>
      </c>
      <c r="Y18" s="341" t="str">
        <f t="shared" si="5"/>
        <v/>
      </c>
      <c r="Z18" s="340" t="str">
        <f t="shared" si="6"/>
        <v/>
      </c>
      <c r="AA18" s="340" t="str">
        <f t="shared" si="7"/>
        <v/>
      </c>
      <c r="AB18" s="341">
        <f t="shared" si="8"/>
        <v>0</v>
      </c>
      <c r="AC18" s="280" t="str">
        <f t="shared" ref="AC18:AG18" si="31">IF(C18&gt;0,AC$21-$AB18*FLOOR(AC$21/$AB18,1),"")</f>
        <v/>
      </c>
      <c r="AD18" s="280" t="str">
        <f t="shared" si="31"/>
        <v/>
      </c>
      <c r="AE18" s="280" t="str">
        <f t="shared" si="31"/>
        <v/>
      </c>
      <c r="AF18" s="280" t="str">
        <f t="shared" si="31"/>
        <v/>
      </c>
      <c r="AG18" s="280" t="str">
        <f t="shared" si="31"/>
        <v/>
      </c>
      <c r="AH18" s="280" t="str">
        <f t="shared" si="10"/>
        <v/>
      </c>
      <c r="AI18" s="342" t="str">
        <f>IF(AB18&gt;0,HLOOKUP(AH18,AC18:AG35,4,FALSE),"")</f>
        <v/>
      </c>
      <c r="AJ18" s="280"/>
      <c r="AK18" s="280"/>
      <c r="AL18" s="341">
        <f t="shared" si="11"/>
        <v>0</v>
      </c>
      <c r="AM18" s="341">
        <f t="shared" si="12"/>
        <v>0</v>
      </c>
      <c r="AN18" s="341">
        <f t="shared" si="18"/>
        <v>0</v>
      </c>
      <c r="AO18" s="341">
        <f t="shared" si="13"/>
        <v>0</v>
      </c>
      <c r="AP18" s="280"/>
      <c r="AQ18" s="341">
        <f t="shared" si="14"/>
        <v>0</v>
      </c>
      <c r="AR18" s="280" t="str">
        <f t="shared" ref="AR18:AV18" si="32">IF(C18&gt;0,AR$21-$AQ18*FLOOR(AR$21/$AQ18,1),"")</f>
        <v/>
      </c>
      <c r="AS18" s="280" t="str">
        <f t="shared" si="32"/>
        <v/>
      </c>
      <c r="AT18" s="280" t="str">
        <f t="shared" si="32"/>
        <v/>
      </c>
      <c r="AU18" s="280" t="str">
        <f t="shared" si="32"/>
        <v/>
      </c>
      <c r="AV18" s="280" t="str">
        <f t="shared" si="32"/>
        <v/>
      </c>
      <c r="AW18" s="280" t="str">
        <f t="shared" si="16"/>
        <v/>
      </c>
      <c r="AX18" s="342" t="str">
        <f>IF(AQ18&gt;0,HLOOKUP(AW18,AR18:AV35,4,FALSE),"")</f>
        <v/>
      </c>
      <c r="AY18" s="280" t="str">
        <f t="shared" si="24"/>
        <v/>
      </c>
      <c r="AZ18" s="280" t="str">
        <f>IF(AQ18&gt;0,HLOOKUP(AY18,AR18:AV35,4,FALSE),"")</f>
        <v/>
      </c>
      <c r="BA18" s="280"/>
      <c r="BB18" s="280"/>
      <c r="BC18" s="280"/>
      <c r="BD18" s="280"/>
      <c r="BE18" s="281"/>
    </row>
    <row r="19" spans="1:57" ht="16.5" customHeight="1">
      <c r="A19" s="3"/>
      <c r="B19" s="329" t="s">
        <v>51</v>
      </c>
      <c r="C19" s="330"/>
      <c r="D19" s="330"/>
      <c r="E19" s="330"/>
      <c r="F19" s="330"/>
      <c r="G19" s="331"/>
      <c r="H19" s="332"/>
      <c r="I19" s="333"/>
      <c r="J19" s="334" t="str">
        <f t="shared" si="0"/>
        <v/>
      </c>
      <c r="K19" s="335">
        <f t="shared" si="1"/>
        <v>0</v>
      </c>
      <c r="L19" s="336"/>
      <c r="M19" s="337"/>
      <c r="N19" s="338"/>
      <c r="O19" s="334" t="str">
        <f t="shared" si="2"/>
        <v/>
      </c>
      <c r="P19" s="335">
        <f t="shared" si="3"/>
        <v>0</v>
      </c>
      <c r="Q19" s="336"/>
      <c r="R19" s="337"/>
      <c r="S19" s="339"/>
      <c r="T19" s="339"/>
      <c r="U19" s="339"/>
      <c r="V19" s="339"/>
      <c r="W19" s="339"/>
      <c r="X19" s="340" t="str">
        <f t="shared" si="4"/>
        <v/>
      </c>
      <c r="Y19" s="341" t="str">
        <f t="shared" si="5"/>
        <v/>
      </c>
      <c r="Z19" s="340" t="str">
        <f t="shared" si="6"/>
        <v/>
      </c>
      <c r="AA19" s="340" t="str">
        <f t="shared" si="7"/>
        <v/>
      </c>
      <c r="AB19" s="341">
        <f t="shared" si="8"/>
        <v>0</v>
      </c>
      <c r="AC19" s="280" t="str">
        <f t="shared" ref="AC19:AG19" si="33">IF(C19&gt;0,AC$21-$AB19*FLOOR(AC$21/$AB19,1),"")</f>
        <v/>
      </c>
      <c r="AD19" s="280" t="str">
        <f t="shared" si="33"/>
        <v/>
      </c>
      <c r="AE19" s="280" t="str">
        <f t="shared" si="33"/>
        <v/>
      </c>
      <c r="AF19" s="280" t="str">
        <f t="shared" si="33"/>
        <v/>
      </c>
      <c r="AG19" s="280" t="str">
        <f t="shared" si="33"/>
        <v/>
      </c>
      <c r="AH19" s="280" t="str">
        <f t="shared" si="10"/>
        <v/>
      </c>
      <c r="AI19" s="342" t="str">
        <f>IF(AB19&gt;0,HLOOKUP(AH19,AC19:AG37,3,FALSE),"")</f>
        <v/>
      </c>
      <c r="AJ19" s="280"/>
      <c r="AK19" s="280"/>
      <c r="AL19" s="341">
        <f t="shared" si="11"/>
        <v>0</v>
      </c>
      <c r="AM19" s="341">
        <f t="shared" si="12"/>
        <v>0</v>
      </c>
      <c r="AN19" s="341">
        <f t="shared" si="18"/>
        <v>0</v>
      </c>
      <c r="AO19" s="341">
        <f t="shared" si="13"/>
        <v>0</v>
      </c>
      <c r="AP19" s="280"/>
      <c r="AQ19" s="341">
        <f t="shared" si="14"/>
        <v>0</v>
      </c>
      <c r="AR19" s="280" t="str">
        <f t="shared" ref="AR19:AV19" si="34">IF(C19&gt;0,AR$21-$AQ19*FLOOR(AR$21/$AQ19,1),"")</f>
        <v/>
      </c>
      <c r="AS19" s="280" t="str">
        <f t="shared" si="34"/>
        <v/>
      </c>
      <c r="AT19" s="280" t="str">
        <f t="shared" si="34"/>
        <v/>
      </c>
      <c r="AU19" s="280" t="str">
        <f t="shared" si="34"/>
        <v/>
      </c>
      <c r="AV19" s="280" t="str">
        <f t="shared" si="34"/>
        <v/>
      </c>
      <c r="AW19" s="280" t="str">
        <f t="shared" si="16"/>
        <v/>
      </c>
      <c r="AX19" s="342" t="str">
        <f>IF(AQ19&gt;0,HLOOKUP(AW19,AR19:AV37,3,FALSE),"")</f>
        <v/>
      </c>
      <c r="AY19" s="280" t="str">
        <f t="shared" si="24"/>
        <v/>
      </c>
      <c r="AZ19" s="280" t="str">
        <f>IF(AQ19&gt;0,HLOOKUP(AY19,AR19:AV37,3,FALSE),"")</f>
        <v/>
      </c>
      <c r="BA19" s="280"/>
      <c r="BB19" s="280"/>
      <c r="BC19" s="280"/>
      <c r="BD19" s="280"/>
      <c r="BE19" s="281"/>
    </row>
    <row r="20" spans="1:57" ht="16.5" customHeight="1">
      <c r="A20" s="3"/>
      <c r="B20" s="343" t="s">
        <v>52</v>
      </c>
      <c r="C20" s="344"/>
      <c r="D20" s="344"/>
      <c r="E20" s="344"/>
      <c r="F20" s="344"/>
      <c r="G20" s="345"/>
      <c r="H20" s="346"/>
      <c r="I20" s="347"/>
      <c r="J20" s="348" t="str">
        <f t="shared" si="0"/>
        <v/>
      </c>
      <c r="K20" s="349">
        <f t="shared" si="1"/>
        <v>0</v>
      </c>
      <c r="L20" s="350"/>
      <c r="M20" s="351"/>
      <c r="N20" s="352"/>
      <c r="O20" s="348" t="str">
        <f t="shared" si="2"/>
        <v/>
      </c>
      <c r="P20" s="349">
        <f t="shared" si="3"/>
        <v>0</v>
      </c>
      <c r="Q20" s="350"/>
      <c r="R20" s="351"/>
      <c r="S20" s="339"/>
      <c r="T20" s="339"/>
      <c r="U20" s="339"/>
      <c r="V20" s="339"/>
      <c r="W20" s="339"/>
      <c r="X20" s="340" t="str">
        <f t="shared" si="4"/>
        <v/>
      </c>
      <c r="Y20" s="341" t="str">
        <f t="shared" si="5"/>
        <v/>
      </c>
      <c r="Z20" s="340" t="str">
        <f t="shared" si="6"/>
        <v/>
      </c>
      <c r="AA20" s="340" t="str">
        <f t="shared" si="7"/>
        <v/>
      </c>
      <c r="AB20" s="341">
        <f t="shared" si="8"/>
        <v>0</v>
      </c>
      <c r="AC20" s="280" t="str">
        <f t="shared" ref="AC20:AG20" si="35">IF(C20&gt;0,AC$21-$AB20*FLOOR(AC$21/$AB20,1),"")</f>
        <v/>
      </c>
      <c r="AD20" s="280" t="str">
        <f t="shared" si="35"/>
        <v/>
      </c>
      <c r="AE20" s="280" t="str">
        <f t="shared" si="35"/>
        <v/>
      </c>
      <c r="AF20" s="280" t="str">
        <f t="shared" si="35"/>
        <v/>
      </c>
      <c r="AG20" s="280" t="str">
        <f t="shared" si="35"/>
        <v/>
      </c>
      <c r="AH20" s="280" t="str">
        <f t="shared" si="10"/>
        <v/>
      </c>
      <c r="AI20" s="342" t="str">
        <f>IF(AB20&gt;0,HLOOKUP(AH20,AC20:AG39,2,FALSE),"")</f>
        <v/>
      </c>
      <c r="AJ20" s="280"/>
      <c r="AK20" s="280"/>
      <c r="AL20" s="341">
        <f t="shared" si="11"/>
        <v>0</v>
      </c>
      <c r="AM20" s="341">
        <f t="shared" si="12"/>
        <v>0</v>
      </c>
      <c r="AN20" s="341">
        <f t="shared" si="18"/>
        <v>0</v>
      </c>
      <c r="AO20" s="341">
        <f t="shared" si="13"/>
        <v>0</v>
      </c>
      <c r="AP20" s="280"/>
      <c r="AQ20" s="341">
        <f t="shared" si="14"/>
        <v>0</v>
      </c>
      <c r="AR20" s="280" t="str">
        <f t="shared" ref="AR20:AV20" si="36">IF(C20&gt;0,AR$21-$AQ20*FLOOR(AR$21/$AQ20,1),"")</f>
        <v/>
      </c>
      <c r="AS20" s="280" t="str">
        <f t="shared" si="36"/>
        <v/>
      </c>
      <c r="AT20" s="280" t="str">
        <f t="shared" si="36"/>
        <v/>
      </c>
      <c r="AU20" s="280" t="str">
        <f t="shared" si="36"/>
        <v/>
      </c>
      <c r="AV20" s="280" t="str">
        <f t="shared" si="36"/>
        <v/>
      </c>
      <c r="AW20" s="280" t="str">
        <f t="shared" si="16"/>
        <v/>
      </c>
      <c r="AX20" s="342" t="str">
        <f>IF(AQ20&gt;0,HLOOKUP(AW20,AR20:AV39,2,FALSE),"")</f>
        <v/>
      </c>
      <c r="AY20" s="280" t="str">
        <f t="shared" si="24"/>
        <v/>
      </c>
      <c r="AZ20" s="280" t="str">
        <f>IF(AQ20&gt;0,HLOOKUP(AY20,AR20:AV39,2,FALSE),"")</f>
        <v/>
      </c>
      <c r="BA20" s="280"/>
      <c r="BB20" s="280"/>
      <c r="BC20" s="280"/>
      <c r="BD20" s="280"/>
      <c r="BE20" s="281"/>
    </row>
    <row r="21" spans="1:57" ht="16.5" customHeight="1">
      <c r="A21" s="3"/>
      <c r="B21" s="280"/>
      <c r="C21" s="280"/>
      <c r="D21" s="280"/>
      <c r="E21" s="280"/>
      <c r="F21" s="280"/>
      <c r="G21" s="280"/>
      <c r="H21" s="280"/>
      <c r="I21" s="280"/>
      <c r="J21" s="280"/>
      <c r="K21" s="280"/>
      <c r="L21" s="280"/>
      <c r="M21" s="280"/>
      <c r="N21" s="280"/>
      <c r="O21" s="280"/>
      <c r="P21" s="280"/>
      <c r="Q21" s="280"/>
      <c r="R21" s="280"/>
      <c r="S21" s="280"/>
      <c r="T21" s="280"/>
      <c r="U21" s="280"/>
      <c r="V21" s="280"/>
      <c r="W21" s="280"/>
      <c r="X21" s="340">
        <f t="shared" ref="X21:Y21" si="37">SUM(X11:X17)</f>
        <v>227.57996930894348</v>
      </c>
      <c r="Y21" s="340">
        <f t="shared" si="37"/>
        <v>227.57996930894348</v>
      </c>
      <c r="Z21" s="280"/>
      <c r="AA21" s="280"/>
      <c r="AB21" s="280"/>
      <c r="AC21" s="280">
        <v>6</v>
      </c>
      <c r="AD21" s="280">
        <f t="shared" ref="AD21:AG21" si="38">AC21+1.5</f>
        <v>7.5</v>
      </c>
      <c r="AE21" s="280">
        <f t="shared" si="38"/>
        <v>9</v>
      </c>
      <c r="AF21" s="280">
        <f t="shared" si="38"/>
        <v>10.5</v>
      </c>
      <c r="AG21" s="280">
        <f t="shared" si="38"/>
        <v>12</v>
      </c>
      <c r="AH21" s="280"/>
      <c r="AI21" s="342"/>
      <c r="AJ21" s="280"/>
      <c r="AK21" s="280"/>
      <c r="AL21" s="341">
        <f t="shared" ref="AL21:AN21" si="39">SUM(AL11:AL20)</f>
        <v>3.5999999999999996</v>
      </c>
      <c r="AM21" s="341">
        <f t="shared" si="39"/>
        <v>18.900000000000002</v>
      </c>
      <c r="AN21" s="341">
        <f t="shared" si="39"/>
        <v>15.120000000000003</v>
      </c>
      <c r="AO21" s="341"/>
      <c r="AP21" s="280"/>
      <c r="AQ21" s="280"/>
      <c r="AR21" s="280">
        <v>6</v>
      </c>
      <c r="AS21" s="280">
        <f t="shared" ref="AS21:AV21" si="40">AR21+1.5</f>
        <v>7.5</v>
      </c>
      <c r="AT21" s="280">
        <f t="shared" si="40"/>
        <v>9</v>
      </c>
      <c r="AU21" s="280">
        <f t="shared" si="40"/>
        <v>10.5</v>
      </c>
      <c r="AV21" s="280">
        <f t="shared" si="40"/>
        <v>12</v>
      </c>
      <c r="AW21" s="280"/>
      <c r="AX21" s="280"/>
      <c r="AY21" s="280"/>
      <c r="AZ21" s="280"/>
      <c r="BA21" s="280"/>
      <c r="BB21" s="280"/>
      <c r="BC21" s="280"/>
      <c r="BD21" s="280"/>
      <c r="BE21" s="281"/>
    </row>
    <row r="22" spans="1:57" ht="16.5" customHeight="1">
      <c r="A22" s="3"/>
      <c r="B22" s="280"/>
      <c r="C22" s="280"/>
      <c r="D22" s="280"/>
      <c r="E22" s="280"/>
      <c r="F22" s="353" t="s">
        <v>53</v>
      </c>
      <c r="G22" s="278"/>
      <c r="H22" s="278"/>
      <c r="I22" s="278"/>
      <c r="J22" s="278"/>
      <c r="K22" s="279"/>
      <c r="L22" s="280"/>
      <c r="M22" s="280"/>
      <c r="N22" s="280"/>
      <c r="O22" s="280"/>
      <c r="P22" s="280"/>
      <c r="Q22" s="280"/>
      <c r="R22" s="280"/>
      <c r="S22" s="280"/>
      <c r="T22" s="280"/>
      <c r="U22" s="280"/>
      <c r="V22" s="280"/>
      <c r="W22" s="280"/>
      <c r="X22" s="340">
        <f>X21+Y21</f>
        <v>455.15993861788695</v>
      </c>
      <c r="Y22" s="339"/>
      <c r="Z22" s="280"/>
      <c r="AA22" s="280"/>
      <c r="AB22" s="280"/>
      <c r="AC22" s="280"/>
      <c r="AD22" s="280"/>
      <c r="AE22" s="280"/>
      <c r="AF22" s="280"/>
      <c r="AG22" s="280"/>
      <c r="AH22" s="280"/>
      <c r="AI22" s="280"/>
      <c r="AJ22" s="280"/>
      <c r="AK22" s="280"/>
      <c r="AL22" s="341">
        <f>VLOOKUP(G8,AJ11:AK14,2,FALSE)</f>
        <v>12</v>
      </c>
      <c r="AM22" s="280"/>
      <c r="AN22" s="280"/>
      <c r="AO22" s="280"/>
      <c r="AP22" s="280"/>
      <c r="AQ22" s="280"/>
      <c r="AR22" s="280"/>
      <c r="AS22" s="280"/>
      <c r="AT22" s="280"/>
      <c r="AU22" s="280"/>
      <c r="AV22" s="280"/>
      <c r="AW22" s="280"/>
      <c r="AX22" s="280"/>
      <c r="AY22" s="280"/>
      <c r="AZ22" s="280"/>
      <c r="BA22" s="280"/>
      <c r="BB22" s="280"/>
      <c r="BC22" s="280"/>
      <c r="BD22" s="280"/>
      <c r="BE22" s="281"/>
    </row>
    <row r="23" spans="1:57" ht="16.5" customHeight="1">
      <c r="A23" s="3"/>
      <c r="B23" s="280"/>
      <c r="C23" s="280"/>
      <c r="D23" s="280"/>
      <c r="E23" s="280"/>
      <c r="F23" s="354"/>
      <c r="G23" s="355"/>
      <c r="H23" s="355"/>
      <c r="I23" s="355"/>
      <c r="J23" s="355"/>
      <c r="K23" s="356"/>
      <c r="L23" s="280"/>
      <c r="M23" s="280"/>
      <c r="N23" s="280"/>
      <c r="O23" s="280"/>
      <c r="P23" s="280"/>
      <c r="Q23" s="280"/>
      <c r="R23" s="280"/>
      <c r="S23" s="280"/>
      <c r="T23" s="280"/>
      <c r="U23" s="280"/>
      <c r="V23" s="280"/>
      <c r="W23" s="280"/>
      <c r="X23" s="339" t="s">
        <v>30</v>
      </c>
      <c r="Y23" s="340">
        <f>CEILING(0.013*X22,0.5)</f>
        <v>6</v>
      </c>
      <c r="Z23" s="280"/>
      <c r="AA23" s="280"/>
      <c r="AB23" s="280"/>
      <c r="AC23" s="280"/>
      <c r="AD23" s="280"/>
      <c r="AE23" s="280"/>
      <c r="AF23" s="280"/>
      <c r="AG23" s="280"/>
      <c r="AH23" s="280"/>
      <c r="AI23" s="280"/>
      <c r="AJ23" s="280"/>
      <c r="AK23" s="280" t="s">
        <v>54</v>
      </c>
      <c r="AL23" s="280">
        <f>CEILING(AL22*AL21,1)</f>
        <v>44</v>
      </c>
      <c r="AM23" s="280"/>
      <c r="AN23" s="280"/>
      <c r="AO23" s="280"/>
      <c r="AP23" s="280"/>
      <c r="AQ23" s="280"/>
      <c r="AR23" s="280"/>
      <c r="AS23" s="280"/>
      <c r="AT23" s="280"/>
      <c r="AU23" s="280"/>
      <c r="AV23" s="280"/>
      <c r="AW23" s="280"/>
      <c r="AX23" s="280"/>
      <c r="AY23" s="280"/>
      <c r="AZ23" s="280"/>
      <c r="BA23" s="280"/>
      <c r="BB23" s="280"/>
      <c r="BC23" s="280"/>
      <c r="BD23" s="280"/>
      <c r="BE23" s="281"/>
    </row>
    <row r="24" spans="1:57" ht="16.5" customHeight="1">
      <c r="A24" s="3"/>
      <c r="B24" s="280"/>
      <c r="C24" s="280"/>
      <c r="D24" s="280"/>
      <c r="E24" s="280"/>
      <c r="F24" s="357" t="s">
        <v>1</v>
      </c>
      <c r="G24" s="357" t="s">
        <v>55</v>
      </c>
      <c r="H24" s="357" t="s">
        <v>56</v>
      </c>
      <c r="I24" s="357" t="s">
        <v>57</v>
      </c>
      <c r="J24" s="357" t="s">
        <v>58</v>
      </c>
      <c r="K24" s="357" t="s">
        <v>59</v>
      </c>
      <c r="L24" s="280"/>
      <c r="M24" s="280"/>
      <c r="N24" s="280"/>
      <c r="O24" s="280"/>
      <c r="P24" s="280"/>
      <c r="Q24" s="280"/>
      <c r="R24" s="280"/>
      <c r="S24" s="280"/>
      <c r="T24" s="280"/>
      <c r="U24" s="280"/>
      <c r="V24" s="280"/>
      <c r="W24" s="280"/>
      <c r="X24" s="280"/>
      <c r="Y24" s="280"/>
      <c r="Z24" s="280"/>
      <c r="AA24" s="280"/>
      <c r="AB24" s="280"/>
      <c r="AC24" s="280"/>
      <c r="AD24" s="280"/>
      <c r="AE24" s="280"/>
      <c r="AF24" s="280"/>
      <c r="AG24" s="280"/>
      <c r="AH24" s="280"/>
      <c r="AI24" s="280"/>
      <c r="AJ24" s="280"/>
      <c r="AK24" s="280" t="s">
        <v>60</v>
      </c>
      <c r="AL24" s="341">
        <f>AL21/2</f>
        <v>1.7999999999999998</v>
      </c>
      <c r="AM24" s="280"/>
      <c r="AN24" s="280"/>
      <c r="AO24" s="280"/>
      <c r="AP24" s="280"/>
      <c r="AQ24" s="280"/>
      <c r="AR24" s="280"/>
      <c r="AS24" s="280"/>
      <c r="AT24" s="280"/>
      <c r="AU24" s="280"/>
      <c r="AV24" s="280"/>
      <c r="AW24" s="280"/>
      <c r="AX24" s="280"/>
      <c r="AY24" s="280"/>
      <c r="AZ24" s="280"/>
      <c r="BA24" s="280"/>
      <c r="BB24" s="280"/>
      <c r="BC24" s="280"/>
      <c r="BD24" s="280"/>
      <c r="BE24" s="281"/>
    </row>
    <row r="25" spans="1:57" ht="16.5" customHeight="1">
      <c r="A25" s="3"/>
      <c r="B25" s="280"/>
      <c r="C25" s="280"/>
      <c r="D25" s="280"/>
      <c r="E25" s="280"/>
      <c r="F25" s="358"/>
      <c r="G25" s="359" t="str">
        <f>'Materials Price List'!A8</f>
        <v>Cement</v>
      </c>
      <c r="H25" s="359">
        <f t="shared" ref="H25:H27" si="41">AL23</f>
        <v>44</v>
      </c>
      <c r="I25" s="360" t="s">
        <v>61</v>
      </c>
      <c r="J25" s="361">
        <f>IF(H25="","",VLOOKUP(G25,'Materials Price List'!$A$8:$B$46,2,FALSE))</f>
        <v>220</v>
      </c>
      <c r="K25" s="361">
        <f t="shared" ref="K25:K48" si="42">IF(H25="","",H25*J25)</f>
        <v>9680</v>
      </c>
      <c r="L25" s="280"/>
      <c r="M25" s="280"/>
      <c r="N25" s="280"/>
      <c r="O25" s="280"/>
      <c r="P25" s="280"/>
      <c r="Q25" s="280"/>
      <c r="R25" s="280"/>
      <c r="S25" s="280"/>
      <c r="T25" s="280"/>
      <c r="U25" s="280"/>
      <c r="V25" s="280"/>
      <c r="W25" s="280"/>
      <c r="X25" s="280"/>
      <c r="Y25" s="280"/>
      <c r="Z25" s="280"/>
      <c r="AA25" s="280"/>
      <c r="AB25" s="280"/>
      <c r="AC25" s="280"/>
      <c r="AD25" s="280"/>
      <c r="AE25" s="280"/>
      <c r="AF25" s="280"/>
      <c r="AG25" s="280"/>
      <c r="AH25" s="280"/>
      <c r="AI25" s="280"/>
      <c r="AJ25" s="280"/>
      <c r="AK25" s="280" t="s">
        <v>62</v>
      </c>
      <c r="AL25" s="341">
        <f>AL21</f>
        <v>3.5999999999999996</v>
      </c>
      <c r="AM25" s="280"/>
      <c r="AN25" s="280"/>
      <c r="AO25" s="280"/>
      <c r="AP25" s="280"/>
      <c r="AQ25" s="280"/>
      <c r="AR25" s="280"/>
      <c r="AS25" s="280"/>
      <c r="AT25" s="280"/>
      <c r="AU25" s="280"/>
      <c r="AV25" s="280"/>
      <c r="AW25" s="280"/>
      <c r="AX25" s="280"/>
      <c r="AY25" s="280"/>
      <c r="AZ25" s="280"/>
      <c r="BA25" s="280"/>
      <c r="BB25" s="280"/>
      <c r="BC25" s="280"/>
      <c r="BD25" s="280"/>
      <c r="BE25" s="281"/>
    </row>
    <row r="26" spans="1:57" ht="16.5" customHeight="1">
      <c r="A26" s="3"/>
      <c r="B26" s="280"/>
      <c r="C26" s="280"/>
      <c r="D26" s="280"/>
      <c r="E26" s="280"/>
      <c r="F26" s="358"/>
      <c r="G26" s="359" t="str">
        <f>'Materials Price List'!A9</f>
        <v>Sand</v>
      </c>
      <c r="H26" s="360">
        <f t="shared" si="41"/>
        <v>1.7999999999999998</v>
      </c>
      <c r="I26" s="359" t="s">
        <v>63</v>
      </c>
      <c r="J26" s="361">
        <f>IF(H26="","",VLOOKUP(G26,'Materials Price List'!$A$8:$B$46,2,FALSE))</f>
        <v>875</v>
      </c>
      <c r="K26" s="361">
        <f t="shared" si="42"/>
        <v>1574.9999999999998</v>
      </c>
      <c r="L26" s="280"/>
      <c r="M26" s="280"/>
      <c r="N26" s="280"/>
      <c r="O26" s="280"/>
      <c r="P26" s="280"/>
      <c r="Q26" s="280"/>
      <c r="R26" s="280"/>
      <c r="S26" s="280"/>
      <c r="T26" s="280"/>
      <c r="U26" s="280"/>
      <c r="V26" s="280"/>
      <c r="W26" s="280"/>
      <c r="X26" s="280"/>
      <c r="Y26" s="280"/>
      <c r="Z26" s="280"/>
      <c r="AA26" s="280"/>
      <c r="AB26" s="280"/>
      <c r="AC26" s="280"/>
      <c r="AD26" s="280"/>
      <c r="AE26" s="280"/>
      <c r="AF26" s="280"/>
      <c r="AG26" s="280"/>
      <c r="AH26" s="280"/>
      <c r="AI26" s="280"/>
      <c r="AJ26" s="280"/>
      <c r="AK26" s="280"/>
      <c r="AL26" s="280"/>
      <c r="AM26" s="280"/>
      <c r="AN26" s="280"/>
      <c r="AO26" s="280"/>
      <c r="AP26" s="280"/>
      <c r="AQ26" s="280"/>
      <c r="AR26" s="280"/>
      <c r="AS26" s="280"/>
      <c r="AT26" s="280"/>
      <c r="AU26" s="280"/>
      <c r="AV26" s="280"/>
      <c r="AW26" s="280"/>
      <c r="AX26" s="280"/>
      <c r="AY26" s="280"/>
      <c r="AZ26" s="280"/>
      <c r="BA26" s="280"/>
      <c r="BB26" s="280"/>
      <c r="BC26" s="280"/>
      <c r="BD26" s="280"/>
      <c r="BE26" s="281"/>
    </row>
    <row r="27" spans="1:57" ht="16.5" customHeight="1">
      <c r="A27" s="3"/>
      <c r="B27" s="280"/>
      <c r="C27" s="280"/>
      <c r="D27" s="280"/>
      <c r="E27" s="280"/>
      <c r="F27" s="358"/>
      <c r="G27" s="359" t="str">
        <f>'Materials Price List'!A10</f>
        <v>Gravel</v>
      </c>
      <c r="H27" s="360">
        <f t="shared" si="41"/>
        <v>3.5999999999999996</v>
      </c>
      <c r="I27" s="359" t="s">
        <v>63</v>
      </c>
      <c r="J27" s="361">
        <f>IF(H27="","",VLOOKUP(G27,'Materials Price List'!$A$8:$B$46,2,FALSE))</f>
        <v>1875</v>
      </c>
      <c r="K27" s="361">
        <f t="shared" si="42"/>
        <v>6749.9999999999991</v>
      </c>
      <c r="L27" s="280"/>
      <c r="M27" s="280"/>
      <c r="N27" s="280"/>
      <c r="O27" s="280"/>
      <c r="P27" s="280"/>
      <c r="Q27" s="280"/>
      <c r="R27" s="280"/>
      <c r="S27" s="280"/>
      <c r="T27" s="280"/>
      <c r="U27" s="280"/>
      <c r="V27" s="280"/>
      <c r="W27" s="280"/>
      <c r="X27" s="280"/>
      <c r="Y27" s="280"/>
      <c r="Z27" s="280"/>
      <c r="AA27" s="280"/>
      <c r="AB27" s="280"/>
      <c r="AC27" s="280"/>
      <c r="AD27" s="280"/>
      <c r="AE27" s="280"/>
      <c r="AF27" s="280"/>
      <c r="AG27" s="280"/>
      <c r="AH27" s="280"/>
      <c r="AI27" s="280"/>
      <c r="AJ27" s="280"/>
      <c r="AK27" s="280"/>
      <c r="AL27" s="280"/>
      <c r="AM27" s="280"/>
      <c r="AN27" s="280"/>
      <c r="AO27" s="280"/>
      <c r="AP27" s="280"/>
      <c r="AQ27" s="280"/>
      <c r="AR27" s="280"/>
      <c r="AS27" s="280"/>
      <c r="AT27" s="280"/>
      <c r="AU27" s="280"/>
      <c r="AV27" s="280"/>
      <c r="AW27" s="280"/>
      <c r="AX27" s="280"/>
      <c r="AY27" s="280"/>
      <c r="AZ27" s="280"/>
      <c r="BA27" s="280"/>
      <c r="BB27" s="280"/>
      <c r="BC27" s="280"/>
      <c r="BD27" s="280"/>
      <c r="BE27" s="281"/>
    </row>
    <row r="28" spans="1:57" ht="16.5" customHeight="1">
      <c r="A28" s="3"/>
      <c r="B28" s="280"/>
      <c r="C28" s="280"/>
      <c r="D28" s="280"/>
      <c r="E28" s="280"/>
      <c r="F28" s="358"/>
      <c r="G28" s="359" t="s">
        <v>30</v>
      </c>
      <c r="H28" s="360">
        <f>Y23</f>
        <v>6</v>
      </c>
      <c r="I28" s="359" t="s">
        <v>64</v>
      </c>
      <c r="J28" s="361">
        <f>IF(H28="","",VLOOKUP(G28,'Materials Price List'!$A$8:$B$46,2,FALSE))</f>
        <v>95</v>
      </c>
      <c r="K28" s="361">
        <f t="shared" si="42"/>
        <v>570</v>
      </c>
      <c r="L28" s="280"/>
      <c r="M28" s="280"/>
      <c r="N28" s="281"/>
      <c r="O28" s="280"/>
      <c r="P28" s="280"/>
      <c r="Q28" s="280"/>
      <c r="R28" s="280"/>
      <c r="S28" s="280"/>
      <c r="T28" s="280"/>
      <c r="U28" s="280"/>
      <c r="V28" s="280"/>
      <c r="W28" s="280"/>
      <c r="X28" s="280"/>
      <c r="Y28" s="280"/>
      <c r="Z28" s="280"/>
      <c r="AA28" s="280"/>
      <c r="AB28" s="280"/>
      <c r="AC28" s="280"/>
      <c r="AD28" s="280"/>
      <c r="AE28" s="280"/>
      <c r="AF28" s="280"/>
      <c r="AG28" s="280"/>
      <c r="AH28" s="280"/>
      <c r="AI28" s="280"/>
      <c r="AJ28" s="280"/>
      <c r="AK28" s="280"/>
      <c r="AL28" s="280"/>
      <c r="AM28" s="280"/>
      <c r="AN28" s="280"/>
      <c r="AO28" s="280"/>
      <c r="AP28" s="280"/>
      <c r="AQ28" s="280"/>
      <c r="AR28" s="280"/>
      <c r="AS28" s="280"/>
      <c r="AT28" s="280"/>
      <c r="AU28" s="280"/>
      <c r="AV28" s="280"/>
      <c r="AW28" s="280"/>
      <c r="AX28" s="280"/>
      <c r="AY28" s="280"/>
      <c r="AZ28" s="280"/>
      <c r="BA28" s="280"/>
      <c r="BB28" s="280"/>
      <c r="BC28" s="280"/>
      <c r="BD28" s="280"/>
      <c r="BE28" s="281"/>
    </row>
    <row r="29" spans="1:57" ht="16.5" customHeight="1">
      <c r="A29" s="37"/>
      <c r="B29" s="362"/>
      <c r="C29" s="362"/>
      <c r="D29" s="362"/>
      <c r="E29" s="362"/>
      <c r="F29" s="363" t="str">
        <f>IF(C11&gt;0,B11,"")</f>
        <v>F-1</v>
      </c>
      <c r="G29" s="364" t="str">
        <f>IF(C11&gt;0,CONCATENATE(I11," X ",J11,"m"),"")</f>
        <v>16mm Ø X 12m</v>
      </c>
      <c r="H29" s="365">
        <f>Z11</f>
        <v>12</v>
      </c>
      <c r="I29" s="365" t="str">
        <f t="shared" ref="I29:I48" si="43">IF(H29="","","pcs")</f>
        <v>pcs</v>
      </c>
      <c r="J29" s="366">
        <f>IF(H29="","",VLOOKUP(G29,'Materials Price List'!$A$8:$B$46,2))</f>
        <v>471.76056338028167</v>
      </c>
      <c r="K29" s="366">
        <f t="shared" si="42"/>
        <v>5661.1267605633802</v>
      </c>
      <c r="L29" s="362"/>
      <c r="M29" s="362"/>
      <c r="N29" s="362"/>
      <c r="O29" s="362"/>
      <c r="P29" s="362"/>
      <c r="Q29" s="362"/>
      <c r="R29" s="362"/>
      <c r="S29" s="362"/>
      <c r="T29" s="362"/>
      <c r="U29" s="362"/>
      <c r="V29" s="362"/>
      <c r="W29" s="362"/>
      <c r="X29" s="362"/>
      <c r="Y29" s="362"/>
      <c r="Z29" s="362"/>
      <c r="AA29" s="362"/>
      <c r="AB29" s="362"/>
      <c r="AC29" s="362"/>
      <c r="AD29" s="362"/>
      <c r="AE29" s="362"/>
      <c r="AF29" s="362"/>
      <c r="AG29" s="362"/>
      <c r="AH29" s="362"/>
      <c r="AI29" s="362"/>
      <c r="AJ29" s="362"/>
      <c r="AK29" s="362"/>
      <c r="AL29" s="362"/>
      <c r="AM29" s="362"/>
      <c r="AN29" s="362"/>
      <c r="AO29" s="362"/>
      <c r="AP29" s="362"/>
      <c r="AQ29" s="362"/>
      <c r="AR29" s="362"/>
      <c r="AS29" s="362"/>
      <c r="AT29" s="362"/>
      <c r="AU29" s="362"/>
      <c r="AV29" s="362"/>
      <c r="AW29" s="362"/>
      <c r="AX29" s="362"/>
      <c r="AY29" s="362"/>
      <c r="AZ29" s="362"/>
      <c r="BA29" s="362"/>
      <c r="BB29" s="362"/>
      <c r="BC29" s="362"/>
      <c r="BD29" s="362"/>
      <c r="BE29" s="281"/>
    </row>
    <row r="30" spans="1:57" ht="16.5" customHeight="1">
      <c r="A30" s="37"/>
      <c r="B30" s="362"/>
      <c r="C30" s="362"/>
      <c r="D30" s="362"/>
      <c r="E30" s="362"/>
      <c r="F30" s="367" t="str">
        <f>F29</f>
        <v>F-1</v>
      </c>
      <c r="G30" s="364" t="str">
        <f>IF(C11&gt;0,CONCATENATE(N11," X ",O11,"m"),"")</f>
        <v>12mm Ø X 9m</v>
      </c>
      <c r="H30" s="365">
        <f>AA11</f>
        <v>16</v>
      </c>
      <c r="I30" s="365" t="str">
        <f t="shared" si="43"/>
        <v>pcs</v>
      </c>
      <c r="J30" s="366">
        <f>IF(H30="","",VLOOKUP(G30,'Materials Price List'!$A$8:$B$46,2))</f>
        <v>354.40140845070425</v>
      </c>
      <c r="K30" s="366">
        <f t="shared" si="42"/>
        <v>5670.422535211268</v>
      </c>
      <c r="L30" s="362"/>
      <c r="M30" s="362"/>
      <c r="N30" s="362"/>
      <c r="O30" s="362"/>
      <c r="P30" s="362"/>
      <c r="Q30" s="362"/>
      <c r="R30" s="362"/>
      <c r="S30" s="362"/>
      <c r="T30" s="362"/>
      <c r="U30" s="362"/>
      <c r="V30" s="362"/>
      <c r="W30" s="362"/>
      <c r="X30" s="362"/>
      <c r="Y30" s="362"/>
      <c r="Z30" s="362"/>
      <c r="AA30" s="362"/>
      <c r="AB30" s="362"/>
      <c r="AC30" s="362"/>
      <c r="AD30" s="362"/>
      <c r="AE30" s="362"/>
      <c r="AF30" s="362"/>
      <c r="AG30" s="362"/>
      <c r="AH30" s="362"/>
      <c r="AI30" s="362"/>
      <c r="AJ30" s="362"/>
      <c r="AK30" s="362"/>
      <c r="AL30" s="362"/>
      <c r="AM30" s="362"/>
      <c r="AN30" s="362"/>
      <c r="AO30" s="362"/>
      <c r="AP30" s="362"/>
      <c r="AQ30" s="362"/>
      <c r="AR30" s="362"/>
      <c r="AS30" s="362"/>
      <c r="AT30" s="362"/>
      <c r="AU30" s="362"/>
      <c r="AV30" s="362"/>
      <c r="AW30" s="362"/>
      <c r="AX30" s="362"/>
      <c r="AY30" s="362"/>
      <c r="AZ30" s="362"/>
      <c r="BA30" s="362"/>
      <c r="BB30" s="362"/>
      <c r="BC30" s="362"/>
      <c r="BD30" s="362"/>
      <c r="BE30" s="281"/>
    </row>
    <row r="31" spans="1:57" ht="16.5" customHeight="1">
      <c r="A31" s="37"/>
      <c r="B31" s="362"/>
      <c r="C31" s="362"/>
      <c r="D31" s="362"/>
      <c r="E31" s="362"/>
      <c r="F31" s="363" t="str">
        <f>IF(C12&gt;0,B12,"")</f>
        <v/>
      </c>
      <c r="G31" s="364" t="str">
        <f>IF(C12&gt;0,CONCATENATE(I12," X ",J12,"m"),"")</f>
        <v/>
      </c>
      <c r="H31" s="365" t="str">
        <f>Z12</f>
        <v/>
      </c>
      <c r="I31" s="365" t="str">
        <f t="shared" si="43"/>
        <v/>
      </c>
      <c r="J31" s="366" t="str">
        <f>IF(H31="","",VLOOKUP(G31,'Materials Price List'!$A$8:$B$46,2))</f>
        <v/>
      </c>
      <c r="K31" s="366" t="str">
        <f t="shared" si="42"/>
        <v/>
      </c>
      <c r="L31" s="362"/>
      <c r="M31" s="362"/>
      <c r="N31" s="362"/>
      <c r="O31" s="362"/>
      <c r="P31" s="362"/>
      <c r="Q31" s="362"/>
      <c r="R31" s="362"/>
      <c r="S31" s="362"/>
      <c r="T31" s="362"/>
      <c r="U31" s="362"/>
      <c r="V31" s="362"/>
      <c r="W31" s="362"/>
      <c r="X31" s="362"/>
      <c r="Y31" s="362"/>
      <c r="Z31" s="362"/>
      <c r="AA31" s="362"/>
      <c r="AB31" s="362"/>
      <c r="AC31" s="362"/>
      <c r="AD31" s="362"/>
      <c r="AE31" s="362"/>
      <c r="AF31" s="362"/>
      <c r="AG31" s="362"/>
      <c r="AH31" s="362"/>
      <c r="AI31" s="362"/>
      <c r="AJ31" s="362"/>
      <c r="AK31" s="362"/>
      <c r="AL31" s="362"/>
      <c r="AM31" s="362"/>
      <c r="AN31" s="362"/>
      <c r="AO31" s="362"/>
      <c r="AP31" s="362"/>
      <c r="AQ31" s="362"/>
      <c r="AR31" s="362"/>
      <c r="AS31" s="362"/>
      <c r="AT31" s="362"/>
      <c r="AU31" s="362"/>
      <c r="AV31" s="362"/>
      <c r="AW31" s="362"/>
      <c r="AX31" s="362"/>
      <c r="AY31" s="362"/>
      <c r="AZ31" s="362"/>
      <c r="BA31" s="362"/>
      <c r="BB31" s="362"/>
      <c r="BC31" s="362"/>
      <c r="BD31" s="362"/>
      <c r="BE31" s="281"/>
    </row>
    <row r="32" spans="1:57" ht="16.5" customHeight="1">
      <c r="A32" s="37"/>
      <c r="B32" s="362"/>
      <c r="C32" s="362"/>
      <c r="D32" s="362"/>
      <c r="E32" s="362"/>
      <c r="F32" s="367" t="str">
        <f>F31</f>
        <v/>
      </c>
      <c r="G32" s="364" t="str">
        <f>IF(C12&gt;0,CONCATENATE(N12," X ",O12,"m"),"")</f>
        <v/>
      </c>
      <c r="H32" s="365" t="str">
        <f>AA12</f>
        <v/>
      </c>
      <c r="I32" s="365" t="str">
        <f t="shared" si="43"/>
        <v/>
      </c>
      <c r="J32" s="366" t="str">
        <f>IF(H32="","",VLOOKUP(G32,'Materials Price List'!$A$8:$B$46,2))</f>
        <v/>
      </c>
      <c r="K32" s="366" t="str">
        <f t="shared" si="42"/>
        <v/>
      </c>
      <c r="L32" s="362"/>
      <c r="M32" s="362"/>
      <c r="N32" s="362"/>
      <c r="O32" s="362"/>
      <c r="P32" s="362"/>
      <c r="Q32" s="362"/>
      <c r="R32" s="362"/>
      <c r="S32" s="362"/>
      <c r="T32" s="362"/>
      <c r="U32" s="362"/>
      <c r="V32" s="362"/>
      <c r="W32" s="362"/>
      <c r="X32" s="362"/>
      <c r="Y32" s="362"/>
      <c r="Z32" s="362"/>
      <c r="AA32" s="362"/>
      <c r="AB32" s="362"/>
      <c r="AC32" s="362"/>
      <c r="AD32" s="362"/>
      <c r="AE32" s="362"/>
      <c r="AF32" s="362"/>
      <c r="AG32" s="362"/>
      <c r="AH32" s="362"/>
      <c r="AI32" s="362"/>
      <c r="AJ32" s="362"/>
      <c r="AK32" s="362"/>
      <c r="AL32" s="362"/>
      <c r="AM32" s="362"/>
      <c r="AN32" s="362"/>
      <c r="AO32" s="362"/>
      <c r="AP32" s="362"/>
      <c r="AQ32" s="362"/>
      <c r="AR32" s="362"/>
      <c r="AS32" s="362"/>
      <c r="AT32" s="362"/>
      <c r="AU32" s="362"/>
      <c r="AV32" s="362"/>
      <c r="AW32" s="362"/>
      <c r="AX32" s="362"/>
      <c r="AY32" s="362"/>
      <c r="AZ32" s="362"/>
      <c r="BA32" s="362"/>
      <c r="BB32" s="362"/>
      <c r="BC32" s="362"/>
      <c r="BD32" s="362"/>
      <c r="BE32" s="281"/>
    </row>
    <row r="33" spans="1:57" ht="16.5" customHeight="1">
      <c r="A33" s="37"/>
      <c r="B33" s="362"/>
      <c r="C33" s="362"/>
      <c r="D33" s="362"/>
      <c r="E33" s="362"/>
      <c r="F33" s="363" t="str">
        <f>IF(C13&gt;0,B13,"")</f>
        <v/>
      </c>
      <c r="G33" s="364" t="str">
        <f>IF(C13&gt;0,CONCATENATE(I13," X ",J13,"m"),"")</f>
        <v/>
      </c>
      <c r="H33" s="365" t="str">
        <f>Z13</f>
        <v/>
      </c>
      <c r="I33" s="365" t="str">
        <f t="shared" si="43"/>
        <v/>
      </c>
      <c r="J33" s="366" t="str">
        <f>IF(H33="","",VLOOKUP(G33,'Materials Price List'!$A$8:$B$46,2))</f>
        <v/>
      </c>
      <c r="K33" s="366" t="str">
        <f t="shared" si="42"/>
        <v/>
      </c>
      <c r="L33" s="362"/>
      <c r="M33" s="362"/>
      <c r="N33" s="362"/>
      <c r="O33" s="362"/>
      <c r="P33" s="362"/>
      <c r="Q33" s="362"/>
      <c r="R33" s="362"/>
      <c r="S33" s="362"/>
      <c r="T33" s="362"/>
      <c r="U33" s="362"/>
      <c r="V33" s="362"/>
      <c r="W33" s="362"/>
      <c r="X33" s="362"/>
      <c r="Y33" s="362"/>
      <c r="Z33" s="362"/>
      <c r="AA33" s="362"/>
      <c r="AB33" s="362"/>
      <c r="AC33" s="362"/>
      <c r="AD33" s="362"/>
      <c r="AE33" s="362"/>
      <c r="AF33" s="362"/>
      <c r="AG33" s="362"/>
      <c r="AH33" s="362"/>
      <c r="AI33" s="362"/>
      <c r="AJ33" s="362"/>
      <c r="AK33" s="362"/>
      <c r="AL33" s="362"/>
      <c r="AM33" s="362"/>
      <c r="AN33" s="362"/>
      <c r="AO33" s="362"/>
      <c r="AP33" s="362"/>
      <c r="AQ33" s="362"/>
      <c r="AR33" s="362"/>
      <c r="AS33" s="362"/>
      <c r="AT33" s="362"/>
      <c r="AU33" s="362"/>
      <c r="AV33" s="362"/>
      <c r="AW33" s="362"/>
      <c r="AX33" s="362"/>
      <c r="AY33" s="362"/>
      <c r="AZ33" s="362"/>
      <c r="BA33" s="362"/>
      <c r="BB33" s="362"/>
      <c r="BC33" s="362"/>
      <c r="BD33" s="362"/>
      <c r="BE33" s="281"/>
    </row>
    <row r="34" spans="1:57" ht="16.5" customHeight="1">
      <c r="A34" s="37"/>
      <c r="B34" s="362"/>
      <c r="C34" s="362"/>
      <c r="D34" s="362"/>
      <c r="E34" s="362"/>
      <c r="F34" s="367" t="str">
        <f>F33</f>
        <v/>
      </c>
      <c r="G34" s="364" t="str">
        <f>IF(C13&gt;0,CONCATENATE(N13," X ",O13,"m"),"")</f>
        <v/>
      </c>
      <c r="H34" s="365" t="str">
        <f>AA13</f>
        <v/>
      </c>
      <c r="I34" s="365" t="str">
        <f t="shared" si="43"/>
        <v/>
      </c>
      <c r="J34" s="366" t="str">
        <f>IF(H34="","",VLOOKUP(G34,'Materials Price List'!$A$8:$B$46,2))</f>
        <v/>
      </c>
      <c r="K34" s="366" t="str">
        <f t="shared" si="42"/>
        <v/>
      </c>
      <c r="L34" s="362"/>
      <c r="M34" s="362"/>
      <c r="N34" s="362"/>
      <c r="O34" s="362"/>
      <c r="P34" s="362"/>
      <c r="Q34" s="362"/>
      <c r="R34" s="362"/>
      <c r="S34" s="362"/>
      <c r="T34" s="362"/>
      <c r="U34" s="362"/>
      <c r="V34" s="362"/>
      <c r="W34" s="362"/>
      <c r="X34" s="362"/>
      <c r="Y34" s="362"/>
      <c r="Z34" s="362"/>
      <c r="AA34" s="362"/>
      <c r="AB34" s="362"/>
      <c r="AC34" s="362"/>
      <c r="AD34" s="362"/>
      <c r="AE34" s="362"/>
      <c r="AF34" s="362"/>
      <c r="AG34" s="362"/>
      <c r="AH34" s="362"/>
      <c r="AI34" s="362"/>
      <c r="AJ34" s="362"/>
      <c r="AK34" s="362"/>
      <c r="AL34" s="362"/>
      <c r="AM34" s="362"/>
      <c r="AN34" s="362"/>
      <c r="AO34" s="362"/>
      <c r="AP34" s="362"/>
      <c r="AQ34" s="362"/>
      <c r="AR34" s="362"/>
      <c r="AS34" s="362"/>
      <c r="AT34" s="362"/>
      <c r="AU34" s="362"/>
      <c r="AV34" s="362"/>
      <c r="AW34" s="362"/>
      <c r="AX34" s="362"/>
      <c r="AY34" s="362"/>
      <c r="AZ34" s="362"/>
      <c r="BA34" s="362"/>
      <c r="BB34" s="362"/>
      <c r="BC34" s="362"/>
      <c r="BD34" s="362"/>
      <c r="BE34" s="281"/>
    </row>
    <row r="35" spans="1:57" ht="16.5" customHeight="1">
      <c r="A35" s="37"/>
      <c r="B35" s="362"/>
      <c r="C35" s="362"/>
      <c r="D35" s="362"/>
      <c r="E35" s="362"/>
      <c r="F35" s="363" t="str">
        <f>IF(C14&gt;0,B14,"")</f>
        <v/>
      </c>
      <c r="G35" s="364" t="str">
        <f>IF(C14&gt;0,CONCATENATE(I14," X ",J14,"m"),"")</f>
        <v/>
      </c>
      <c r="H35" s="365" t="str">
        <f>Z14</f>
        <v/>
      </c>
      <c r="I35" s="365" t="str">
        <f t="shared" si="43"/>
        <v/>
      </c>
      <c r="J35" s="366" t="str">
        <f>IF(H35="","",VLOOKUP(G35,'Materials Price List'!$A$8:$B$46,2))</f>
        <v/>
      </c>
      <c r="K35" s="366" t="str">
        <f t="shared" si="42"/>
        <v/>
      </c>
      <c r="L35" s="362"/>
      <c r="M35" s="362"/>
      <c r="N35" s="362"/>
      <c r="O35" s="362"/>
      <c r="P35" s="362"/>
      <c r="Q35" s="362"/>
      <c r="R35" s="362"/>
      <c r="S35" s="362"/>
      <c r="T35" s="362"/>
      <c r="U35" s="362"/>
      <c r="V35" s="362"/>
      <c r="W35" s="362"/>
      <c r="X35" s="362"/>
      <c r="Y35" s="362"/>
      <c r="Z35" s="362"/>
      <c r="AA35" s="362"/>
      <c r="AB35" s="362"/>
      <c r="AC35" s="362"/>
      <c r="AD35" s="362"/>
      <c r="AE35" s="362"/>
      <c r="AF35" s="362"/>
      <c r="AG35" s="362"/>
      <c r="AH35" s="362"/>
      <c r="AI35" s="362"/>
      <c r="AJ35" s="362"/>
      <c r="AK35" s="362"/>
      <c r="AL35" s="362"/>
      <c r="AM35" s="362"/>
      <c r="AN35" s="362"/>
      <c r="AO35" s="362"/>
      <c r="AP35" s="362"/>
      <c r="AQ35" s="362"/>
      <c r="AR35" s="362"/>
      <c r="AS35" s="362"/>
      <c r="AT35" s="362"/>
      <c r="AU35" s="362"/>
      <c r="AV35" s="362"/>
      <c r="AW35" s="362"/>
      <c r="AX35" s="362"/>
      <c r="AY35" s="362"/>
      <c r="AZ35" s="362"/>
      <c r="BA35" s="362"/>
      <c r="BB35" s="362"/>
      <c r="BC35" s="362"/>
      <c r="BD35" s="362"/>
      <c r="BE35" s="281"/>
    </row>
    <row r="36" spans="1:57" ht="16.5" customHeight="1">
      <c r="A36" s="37"/>
      <c r="B36" s="362"/>
      <c r="C36" s="362"/>
      <c r="D36" s="362"/>
      <c r="E36" s="362"/>
      <c r="F36" s="367" t="str">
        <f>F35</f>
        <v/>
      </c>
      <c r="G36" s="364" t="str">
        <f>IF(C14&gt;0,CONCATENATE(N14," X ",O14,"m"),"")</f>
        <v/>
      </c>
      <c r="H36" s="365" t="str">
        <f>AA14</f>
        <v/>
      </c>
      <c r="I36" s="365" t="str">
        <f t="shared" si="43"/>
        <v/>
      </c>
      <c r="J36" s="366" t="str">
        <f>IF(H36="","",VLOOKUP(G36,'Materials Price List'!$A$8:$B$46,2))</f>
        <v/>
      </c>
      <c r="K36" s="366" t="str">
        <f t="shared" si="42"/>
        <v/>
      </c>
      <c r="L36" s="362"/>
      <c r="M36" s="362"/>
      <c r="N36" s="362"/>
      <c r="O36" s="362"/>
      <c r="P36" s="362"/>
      <c r="Q36" s="362"/>
      <c r="R36" s="362"/>
      <c r="S36" s="362"/>
      <c r="T36" s="362"/>
      <c r="U36" s="362"/>
      <c r="V36" s="362"/>
      <c r="W36" s="362"/>
      <c r="X36" s="362"/>
      <c r="Y36" s="362"/>
      <c r="Z36" s="362"/>
      <c r="AA36" s="362"/>
      <c r="AB36" s="362"/>
      <c r="AC36" s="362"/>
      <c r="AD36" s="362"/>
      <c r="AE36" s="362"/>
      <c r="AF36" s="362"/>
      <c r="AG36" s="362"/>
      <c r="AH36" s="362"/>
      <c r="AI36" s="362"/>
      <c r="AJ36" s="362"/>
      <c r="AK36" s="362"/>
      <c r="AL36" s="362"/>
      <c r="AM36" s="362"/>
      <c r="AN36" s="362"/>
      <c r="AO36" s="362"/>
      <c r="AP36" s="362"/>
      <c r="AQ36" s="362"/>
      <c r="AR36" s="362"/>
      <c r="AS36" s="362"/>
      <c r="AT36" s="362"/>
      <c r="AU36" s="362"/>
      <c r="AV36" s="362"/>
      <c r="AW36" s="362"/>
      <c r="AX36" s="362"/>
      <c r="AY36" s="362"/>
      <c r="AZ36" s="362"/>
      <c r="BA36" s="362"/>
      <c r="BB36" s="362"/>
      <c r="BC36" s="362"/>
      <c r="BD36" s="362"/>
      <c r="BE36" s="281"/>
    </row>
    <row r="37" spans="1:57" ht="16.5" customHeight="1">
      <c r="A37" s="37"/>
      <c r="B37" s="362"/>
      <c r="C37" s="362"/>
      <c r="D37" s="362"/>
      <c r="E37" s="362"/>
      <c r="F37" s="363" t="str">
        <f>IF(C15&gt;0,B15,"")</f>
        <v/>
      </c>
      <c r="G37" s="364" t="str">
        <f>IF(C15&gt;0,CONCATENATE(I15," X ",J15,"m"),"")</f>
        <v/>
      </c>
      <c r="H37" s="365" t="str">
        <f>Z15</f>
        <v/>
      </c>
      <c r="I37" s="365" t="str">
        <f t="shared" si="43"/>
        <v/>
      </c>
      <c r="J37" s="366" t="str">
        <f>IF(H37="","",VLOOKUP(G37,'Materials Price List'!$A$8:$B$46,2))</f>
        <v/>
      </c>
      <c r="K37" s="366" t="str">
        <f t="shared" si="42"/>
        <v/>
      </c>
      <c r="L37" s="362"/>
      <c r="M37" s="362"/>
      <c r="N37" s="362"/>
      <c r="O37" s="362"/>
      <c r="P37" s="362"/>
      <c r="Q37" s="362"/>
      <c r="R37" s="362"/>
      <c r="S37" s="362"/>
      <c r="T37" s="362"/>
      <c r="U37" s="362"/>
      <c r="V37" s="362"/>
      <c r="W37" s="362"/>
      <c r="X37" s="362"/>
      <c r="Y37" s="362"/>
      <c r="Z37" s="362"/>
      <c r="AA37" s="362"/>
      <c r="AB37" s="362"/>
      <c r="AC37" s="362"/>
      <c r="AD37" s="362"/>
      <c r="AE37" s="362"/>
      <c r="AF37" s="362"/>
      <c r="AG37" s="362"/>
      <c r="AH37" s="362"/>
      <c r="AI37" s="362"/>
      <c r="AJ37" s="362"/>
      <c r="AK37" s="362"/>
      <c r="AL37" s="362"/>
      <c r="AM37" s="362"/>
      <c r="AN37" s="362"/>
      <c r="AO37" s="362"/>
      <c r="AP37" s="362"/>
      <c r="AQ37" s="362"/>
      <c r="AR37" s="362"/>
      <c r="AS37" s="362"/>
      <c r="AT37" s="362"/>
      <c r="AU37" s="362"/>
      <c r="AV37" s="362"/>
      <c r="AW37" s="362"/>
      <c r="AX37" s="362"/>
      <c r="AY37" s="362"/>
      <c r="AZ37" s="362"/>
      <c r="BA37" s="362"/>
      <c r="BB37" s="362"/>
      <c r="BC37" s="362"/>
      <c r="BD37" s="362"/>
      <c r="BE37" s="281"/>
    </row>
    <row r="38" spans="1:57" ht="16.5" customHeight="1">
      <c r="A38" s="37"/>
      <c r="B38" s="362"/>
      <c r="C38" s="362"/>
      <c r="D38" s="362"/>
      <c r="E38" s="362"/>
      <c r="F38" s="367" t="str">
        <f>F37</f>
        <v/>
      </c>
      <c r="G38" s="364" t="str">
        <f>IF(C15&gt;0,CONCATENATE(N15," X ",O15,"m"),"")</f>
        <v/>
      </c>
      <c r="H38" s="365" t="str">
        <f>AA15</f>
        <v/>
      </c>
      <c r="I38" s="365" t="str">
        <f t="shared" si="43"/>
        <v/>
      </c>
      <c r="J38" s="366" t="str">
        <f>IF(H38="","",VLOOKUP(G38,'Materials Price List'!$A$8:$B$46,2))</f>
        <v/>
      </c>
      <c r="K38" s="366" t="str">
        <f t="shared" si="42"/>
        <v/>
      </c>
      <c r="L38" s="362"/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  <c r="Y38" s="362"/>
      <c r="Z38" s="362"/>
      <c r="AA38" s="362"/>
      <c r="AB38" s="362"/>
      <c r="AC38" s="362"/>
      <c r="AD38" s="362"/>
      <c r="AE38" s="362"/>
      <c r="AF38" s="362"/>
      <c r="AG38" s="362"/>
      <c r="AH38" s="362"/>
      <c r="AI38" s="362"/>
      <c r="AJ38" s="362"/>
      <c r="AK38" s="362"/>
      <c r="AL38" s="362"/>
      <c r="AM38" s="362"/>
      <c r="AN38" s="362"/>
      <c r="AO38" s="362"/>
      <c r="AP38" s="362"/>
      <c r="AQ38" s="362"/>
      <c r="AR38" s="362"/>
      <c r="AS38" s="362"/>
      <c r="AT38" s="362"/>
      <c r="AU38" s="362"/>
      <c r="AV38" s="362"/>
      <c r="AW38" s="362"/>
      <c r="AX38" s="362"/>
      <c r="AY38" s="362"/>
      <c r="AZ38" s="362"/>
      <c r="BA38" s="362"/>
      <c r="BB38" s="362"/>
      <c r="BC38" s="362"/>
      <c r="BD38" s="362"/>
      <c r="BE38" s="281"/>
    </row>
    <row r="39" spans="1:57" ht="16.5" customHeight="1">
      <c r="A39" s="37"/>
      <c r="B39" s="362"/>
      <c r="C39" s="362"/>
      <c r="D39" s="362"/>
      <c r="E39" s="362"/>
      <c r="F39" s="363" t="str">
        <f>IF(C16&gt;0,B16,"")</f>
        <v/>
      </c>
      <c r="G39" s="364" t="str">
        <f>IF(C16&gt;0,CONCATENATE(I16," X ",J16,"m"),"")</f>
        <v/>
      </c>
      <c r="H39" s="365" t="str">
        <f>Z16</f>
        <v/>
      </c>
      <c r="I39" s="365" t="str">
        <f t="shared" si="43"/>
        <v/>
      </c>
      <c r="J39" s="366" t="str">
        <f>IF(H39="","",VLOOKUP(G39,'Materials Price List'!$A$8:$B$46,2))</f>
        <v/>
      </c>
      <c r="K39" s="366" t="str">
        <f t="shared" si="42"/>
        <v/>
      </c>
      <c r="L39" s="362"/>
      <c r="M39" s="362"/>
      <c r="N39" s="362"/>
      <c r="O39" s="362"/>
      <c r="P39" s="362"/>
      <c r="Q39" s="362"/>
      <c r="R39" s="362"/>
      <c r="S39" s="362"/>
      <c r="T39" s="362"/>
      <c r="U39" s="362"/>
      <c r="V39" s="362"/>
      <c r="W39" s="362"/>
      <c r="X39" s="362"/>
      <c r="Y39" s="362"/>
      <c r="Z39" s="362"/>
      <c r="AA39" s="362"/>
      <c r="AB39" s="362"/>
      <c r="AC39" s="362"/>
      <c r="AD39" s="362"/>
      <c r="AE39" s="362"/>
      <c r="AF39" s="362"/>
      <c r="AG39" s="362"/>
      <c r="AH39" s="362"/>
      <c r="AI39" s="362"/>
      <c r="AJ39" s="362"/>
      <c r="AK39" s="362"/>
      <c r="AL39" s="362"/>
      <c r="AM39" s="362"/>
      <c r="AN39" s="362"/>
      <c r="AO39" s="362"/>
      <c r="AP39" s="362"/>
      <c r="AQ39" s="362"/>
      <c r="AR39" s="362"/>
      <c r="AS39" s="362"/>
      <c r="AT39" s="362"/>
      <c r="AU39" s="362"/>
      <c r="AV39" s="362"/>
      <c r="AW39" s="362"/>
      <c r="AX39" s="362"/>
      <c r="AY39" s="362"/>
      <c r="AZ39" s="362"/>
      <c r="BA39" s="362"/>
      <c r="BB39" s="362"/>
      <c r="BC39" s="362"/>
      <c r="BD39" s="362"/>
      <c r="BE39" s="281"/>
    </row>
    <row r="40" spans="1:57" ht="16.5" customHeight="1">
      <c r="A40" s="37"/>
      <c r="B40" s="362"/>
      <c r="C40" s="362"/>
      <c r="D40" s="362"/>
      <c r="E40" s="362"/>
      <c r="F40" s="367" t="str">
        <f>F39</f>
        <v/>
      </c>
      <c r="G40" s="364" t="str">
        <f>IF(C16&gt;0,CONCATENATE(N16," X ",O16,"m"),"")</f>
        <v/>
      </c>
      <c r="H40" s="365" t="str">
        <f>AA16</f>
        <v/>
      </c>
      <c r="I40" s="365" t="str">
        <f t="shared" si="43"/>
        <v/>
      </c>
      <c r="J40" s="366" t="str">
        <f>IF(H40="","",VLOOKUP(G40,'Materials Price List'!$A$8:$B$46,2))</f>
        <v/>
      </c>
      <c r="K40" s="366" t="str">
        <f t="shared" si="42"/>
        <v/>
      </c>
      <c r="L40" s="362"/>
      <c r="M40" s="362"/>
      <c r="N40" s="362"/>
      <c r="O40" s="362"/>
      <c r="P40" s="362"/>
      <c r="Q40" s="362"/>
      <c r="R40" s="362"/>
      <c r="S40" s="362"/>
      <c r="T40" s="362"/>
      <c r="U40" s="362"/>
      <c r="V40" s="362"/>
      <c r="W40" s="362"/>
      <c r="X40" s="362"/>
      <c r="Y40" s="362"/>
      <c r="Z40" s="362"/>
      <c r="AA40" s="362"/>
      <c r="AB40" s="362"/>
      <c r="AC40" s="362"/>
      <c r="AD40" s="362"/>
      <c r="AE40" s="362"/>
      <c r="AF40" s="362"/>
      <c r="AG40" s="362"/>
      <c r="AH40" s="362"/>
      <c r="AI40" s="362"/>
      <c r="AJ40" s="362"/>
      <c r="AK40" s="362"/>
      <c r="AL40" s="362"/>
      <c r="AM40" s="362"/>
      <c r="AN40" s="362"/>
      <c r="AO40" s="362"/>
      <c r="AP40" s="362"/>
      <c r="AQ40" s="362"/>
      <c r="AR40" s="362"/>
      <c r="AS40" s="362"/>
      <c r="AT40" s="362"/>
      <c r="AU40" s="362"/>
      <c r="AV40" s="362"/>
      <c r="AW40" s="362"/>
      <c r="AX40" s="362"/>
      <c r="AY40" s="362"/>
      <c r="AZ40" s="362"/>
      <c r="BA40" s="362"/>
      <c r="BB40" s="362"/>
      <c r="BC40" s="362"/>
      <c r="BD40" s="362"/>
      <c r="BE40" s="281"/>
    </row>
    <row r="41" spans="1:57" ht="16.5" customHeight="1">
      <c r="A41" s="37"/>
      <c r="B41" s="362"/>
      <c r="C41" s="362"/>
      <c r="D41" s="362"/>
      <c r="E41" s="362"/>
      <c r="F41" s="363" t="str">
        <f>IF(C17&gt;0,B17,"")</f>
        <v/>
      </c>
      <c r="G41" s="364" t="str">
        <f>IF(C17&gt;0,CONCATENATE(I17," X ",J17,"m"),"")</f>
        <v/>
      </c>
      <c r="H41" s="365" t="str">
        <f>Z17</f>
        <v/>
      </c>
      <c r="I41" s="365" t="str">
        <f t="shared" si="43"/>
        <v/>
      </c>
      <c r="J41" s="366" t="str">
        <f>IF(H41="","",VLOOKUP(G41,'Materials Price List'!$A$8:$B$46,2))</f>
        <v/>
      </c>
      <c r="K41" s="366" t="str">
        <f t="shared" si="42"/>
        <v/>
      </c>
      <c r="L41" s="362"/>
      <c r="M41" s="362"/>
      <c r="N41" s="362"/>
      <c r="O41" s="362"/>
      <c r="P41" s="362"/>
      <c r="Q41" s="362"/>
      <c r="R41" s="362"/>
      <c r="S41" s="362"/>
      <c r="T41" s="362"/>
      <c r="U41" s="362"/>
      <c r="V41" s="362"/>
      <c r="W41" s="362"/>
      <c r="X41" s="362"/>
      <c r="Y41" s="362"/>
      <c r="Z41" s="362"/>
      <c r="AA41" s="362"/>
      <c r="AB41" s="362"/>
      <c r="AC41" s="362"/>
      <c r="AD41" s="362"/>
      <c r="AE41" s="362"/>
      <c r="AF41" s="362"/>
      <c r="AG41" s="362"/>
      <c r="AH41" s="362"/>
      <c r="AI41" s="362"/>
      <c r="AJ41" s="362"/>
      <c r="AK41" s="362"/>
      <c r="AL41" s="362"/>
      <c r="AM41" s="362"/>
      <c r="AN41" s="362"/>
      <c r="AO41" s="362"/>
      <c r="AP41" s="362"/>
      <c r="AQ41" s="362"/>
      <c r="AR41" s="362"/>
      <c r="AS41" s="362"/>
      <c r="AT41" s="362"/>
      <c r="AU41" s="362"/>
      <c r="AV41" s="362"/>
      <c r="AW41" s="362"/>
      <c r="AX41" s="362"/>
      <c r="AY41" s="362"/>
      <c r="AZ41" s="362"/>
      <c r="BA41" s="362"/>
      <c r="BB41" s="362"/>
      <c r="BC41" s="362"/>
      <c r="BD41" s="362"/>
      <c r="BE41" s="281"/>
    </row>
    <row r="42" spans="1:57" ht="16.5" customHeight="1">
      <c r="A42" s="37"/>
      <c r="B42" s="362"/>
      <c r="C42" s="362"/>
      <c r="D42" s="362"/>
      <c r="E42" s="362"/>
      <c r="F42" s="367" t="str">
        <f>F41</f>
        <v/>
      </c>
      <c r="G42" s="364" t="str">
        <f>IF(C17&gt;0,CONCATENATE(N17," X ",O17,"m"),"")</f>
        <v/>
      </c>
      <c r="H42" s="365" t="str">
        <f>AA17</f>
        <v/>
      </c>
      <c r="I42" s="365" t="str">
        <f t="shared" si="43"/>
        <v/>
      </c>
      <c r="J42" s="366" t="str">
        <f>IF(H42="","",VLOOKUP(G42,'Materials Price List'!$A$8:$B$46,2))</f>
        <v/>
      </c>
      <c r="K42" s="366" t="str">
        <f t="shared" si="42"/>
        <v/>
      </c>
      <c r="L42" s="362"/>
      <c r="M42" s="362"/>
      <c r="N42" s="362"/>
      <c r="O42" s="362"/>
      <c r="P42" s="362"/>
      <c r="Q42" s="362"/>
      <c r="R42" s="362"/>
      <c r="S42" s="362"/>
      <c r="T42" s="362"/>
      <c r="U42" s="362"/>
      <c r="V42" s="362"/>
      <c r="W42" s="362"/>
      <c r="X42" s="362"/>
      <c r="Y42" s="362"/>
      <c r="Z42" s="362"/>
      <c r="AA42" s="362"/>
      <c r="AB42" s="362"/>
      <c r="AC42" s="362"/>
      <c r="AD42" s="362"/>
      <c r="AE42" s="362"/>
      <c r="AF42" s="362"/>
      <c r="AG42" s="362"/>
      <c r="AH42" s="362"/>
      <c r="AI42" s="362"/>
      <c r="AJ42" s="362"/>
      <c r="AK42" s="362"/>
      <c r="AL42" s="362"/>
      <c r="AM42" s="362"/>
      <c r="AN42" s="362"/>
      <c r="AO42" s="362"/>
      <c r="AP42" s="362"/>
      <c r="AQ42" s="362"/>
      <c r="AR42" s="362"/>
      <c r="AS42" s="362"/>
      <c r="AT42" s="362"/>
      <c r="AU42" s="362"/>
      <c r="AV42" s="362"/>
      <c r="AW42" s="362"/>
      <c r="AX42" s="362"/>
      <c r="AY42" s="362"/>
      <c r="AZ42" s="362"/>
      <c r="BA42" s="362"/>
      <c r="BB42" s="362"/>
      <c r="BC42" s="362"/>
      <c r="BD42" s="362"/>
      <c r="BE42" s="281"/>
    </row>
    <row r="43" spans="1:57" ht="16.5" customHeight="1">
      <c r="A43" s="37"/>
      <c r="B43" s="362"/>
      <c r="C43" s="362"/>
      <c r="D43" s="362"/>
      <c r="E43" s="362"/>
      <c r="F43" s="363" t="str">
        <f>IF(C18&gt;0,B18,"")</f>
        <v/>
      </c>
      <c r="G43" s="364" t="str">
        <f>IF(C18&gt;0,CONCATENATE(I18," X ",J18,"m"),"")</f>
        <v/>
      </c>
      <c r="H43" s="365" t="str">
        <f>Z18</f>
        <v/>
      </c>
      <c r="I43" s="365" t="str">
        <f t="shared" si="43"/>
        <v/>
      </c>
      <c r="J43" s="366" t="str">
        <f>IF(H43="","",VLOOKUP(G43,'Materials Price List'!$A$8:$B$46,2))</f>
        <v/>
      </c>
      <c r="K43" s="366" t="str">
        <f t="shared" si="42"/>
        <v/>
      </c>
      <c r="L43" s="362"/>
      <c r="M43" s="362"/>
      <c r="N43" s="362"/>
      <c r="O43" s="362"/>
      <c r="P43" s="362"/>
      <c r="Q43" s="362"/>
      <c r="R43" s="362"/>
      <c r="S43" s="362"/>
      <c r="T43" s="362"/>
      <c r="U43" s="362"/>
      <c r="V43" s="362"/>
      <c r="W43" s="362"/>
      <c r="X43" s="362"/>
      <c r="Y43" s="362"/>
      <c r="Z43" s="362"/>
      <c r="AA43" s="362"/>
      <c r="AB43" s="362"/>
      <c r="AC43" s="362"/>
      <c r="AD43" s="362"/>
      <c r="AE43" s="362"/>
      <c r="AF43" s="362"/>
      <c r="AG43" s="362"/>
      <c r="AH43" s="362"/>
      <c r="AI43" s="362"/>
      <c r="AJ43" s="362"/>
      <c r="AK43" s="362"/>
      <c r="AL43" s="362"/>
      <c r="AM43" s="362"/>
      <c r="AN43" s="362"/>
      <c r="AO43" s="362"/>
      <c r="AP43" s="362"/>
      <c r="AQ43" s="362"/>
      <c r="AR43" s="362"/>
      <c r="AS43" s="362"/>
      <c r="AT43" s="362"/>
      <c r="AU43" s="362"/>
      <c r="AV43" s="362"/>
      <c r="AW43" s="362"/>
      <c r="AX43" s="362"/>
      <c r="AY43" s="362"/>
      <c r="AZ43" s="362"/>
      <c r="BA43" s="362"/>
      <c r="BB43" s="362"/>
      <c r="BC43" s="362"/>
      <c r="BD43" s="362"/>
      <c r="BE43" s="281"/>
    </row>
    <row r="44" spans="1:57" ht="16.5" customHeight="1">
      <c r="A44" s="37"/>
      <c r="B44" s="362"/>
      <c r="C44" s="362"/>
      <c r="D44" s="362"/>
      <c r="E44" s="362"/>
      <c r="F44" s="367" t="str">
        <f>F43</f>
        <v/>
      </c>
      <c r="G44" s="364" t="str">
        <f>IF(C18&gt;0,CONCATENATE(N18," X ",O18,"m"),"")</f>
        <v/>
      </c>
      <c r="H44" s="365" t="str">
        <f>AA18</f>
        <v/>
      </c>
      <c r="I44" s="365" t="str">
        <f t="shared" si="43"/>
        <v/>
      </c>
      <c r="J44" s="366" t="str">
        <f>IF(H44="","",VLOOKUP(G44,'Materials Price List'!$A$8:$B$46,2))</f>
        <v/>
      </c>
      <c r="K44" s="366" t="str">
        <f t="shared" si="42"/>
        <v/>
      </c>
      <c r="L44" s="362"/>
      <c r="M44" s="362"/>
      <c r="N44" s="362"/>
      <c r="O44" s="362"/>
      <c r="P44" s="362"/>
      <c r="Q44" s="362"/>
      <c r="R44" s="362"/>
      <c r="S44" s="362"/>
      <c r="T44" s="362"/>
      <c r="U44" s="362"/>
      <c r="V44" s="362"/>
      <c r="W44" s="362"/>
      <c r="X44" s="362"/>
      <c r="Y44" s="362"/>
      <c r="Z44" s="362"/>
      <c r="AA44" s="362"/>
      <c r="AB44" s="362"/>
      <c r="AC44" s="362"/>
      <c r="AD44" s="362"/>
      <c r="AE44" s="362"/>
      <c r="AF44" s="362"/>
      <c r="AG44" s="362"/>
      <c r="AH44" s="362"/>
      <c r="AI44" s="362"/>
      <c r="AJ44" s="362"/>
      <c r="AK44" s="362"/>
      <c r="AL44" s="362"/>
      <c r="AM44" s="362"/>
      <c r="AN44" s="362"/>
      <c r="AO44" s="362"/>
      <c r="AP44" s="362"/>
      <c r="AQ44" s="362"/>
      <c r="AR44" s="362"/>
      <c r="AS44" s="362"/>
      <c r="AT44" s="362"/>
      <c r="AU44" s="362"/>
      <c r="AV44" s="362"/>
      <c r="AW44" s="362"/>
      <c r="AX44" s="362"/>
      <c r="AY44" s="362"/>
      <c r="AZ44" s="362"/>
      <c r="BA44" s="362"/>
      <c r="BB44" s="362"/>
      <c r="BC44" s="362"/>
      <c r="BD44" s="362"/>
      <c r="BE44" s="281"/>
    </row>
    <row r="45" spans="1:57" ht="16.5" customHeight="1">
      <c r="A45" s="37"/>
      <c r="B45" s="362"/>
      <c r="C45" s="362"/>
      <c r="D45" s="362"/>
      <c r="E45" s="362"/>
      <c r="F45" s="363" t="str">
        <f>IF(C19&gt;0,B19,"")</f>
        <v/>
      </c>
      <c r="G45" s="364" t="str">
        <f>IF(C19&gt;0,CONCATENATE(I19," X ",J19,"m"),"")</f>
        <v/>
      </c>
      <c r="H45" s="365" t="str">
        <f>Z19</f>
        <v/>
      </c>
      <c r="I45" s="365" t="str">
        <f t="shared" si="43"/>
        <v/>
      </c>
      <c r="J45" s="366" t="str">
        <f>IF(H45="","",VLOOKUP(G45,'Materials Price List'!$A$8:$B$46,2))</f>
        <v/>
      </c>
      <c r="K45" s="366" t="str">
        <f t="shared" si="42"/>
        <v/>
      </c>
      <c r="L45" s="362"/>
      <c r="M45" s="362"/>
      <c r="N45" s="362"/>
      <c r="O45" s="362"/>
      <c r="P45" s="362"/>
      <c r="Q45" s="362"/>
      <c r="R45" s="362"/>
      <c r="S45" s="362"/>
      <c r="T45" s="362"/>
      <c r="U45" s="362"/>
      <c r="V45" s="362"/>
      <c r="W45" s="362"/>
      <c r="X45" s="362"/>
      <c r="Y45" s="362"/>
      <c r="Z45" s="362"/>
      <c r="AA45" s="362"/>
      <c r="AB45" s="362"/>
      <c r="AC45" s="362"/>
      <c r="AD45" s="362"/>
      <c r="AE45" s="362"/>
      <c r="AF45" s="362"/>
      <c r="AG45" s="362"/>
      <c r="AH45" s="362"/>
      <c r="AI45" s="362"/>
      <c r="AJ45" s="362"/>
      <c r="AK45" s="362"/>
      <c r="AL45" s="362"/>
      <c r="AM45" s="362"/>
      <c r="AN45" s="362"/>
      <c r="AO45" s="362"/>
      <c r="AP45" s="362"/>
      <c r="AQ45" s="362"/>
      <c r="AR45" s="362"/>
      <c r="AS45" s="362"/>
      <c r="AT45" s="362"/>
      <c r="AU45" s="362"/>
      <c r="AV45" s="362"/>
      <c r="AW45" s="362"/>
      <c r="AX45" s="362"/>
      <c r="AY45" s="362"/>
      <c r="AZ45" s="362"/>
      <c r="BA45" s="362"/>
      <c r="BB45" s="362"/>
      <c r="BC45" s="362"/>
      <c r="BD45" s="362"/>
      <c r="BE45" s="281"/>
    </row>
    <row r="46" spans="1:57" ht="16.5" customHeight="1">
      <c r="A46" s="37"/>
      <c r="B46" s="362"/>
      <c r="C46" s="362"/>
      <c r="D46" s="362"/>
      <c r="E46" s="362"/>
      <c r="F46" s="367" t="str">
        <f>F45</f>
        <v/>
      </c>
      <c r="G46" s="364" t="str">
        <f>IF(C19&gt;0,CONCATENATE(N19," X ",O19,"m"),"")</f>
        <v/>
      </c>
      <c r="H46" s="365" t="str">
        <f>AA19</f>
        <v/>
      </c>
      <c r="I46" s="365" t="str">
        <f t="shared" si="43"/>
        <v/>
      </c>
      <c r="J46" s="366" t="str">
        <f>IF(H46="","",VLOOKUP(G46,'Materials Price List'!$A$8:$B$46,2))</f>
        <v/>
      </c>
      <c r="K46" s="366" t="str">
        <f t="shared" si="42"/>
        <v/>
      </c>
      <c r="L46" s="362"/>
      <c r="M46" s="362"/>
      <c r="N46" s="362"/>
      <c r="O46" s="362"/>
      <c r="P46" s="362"/>
      <c r="Q46" s="362"/>
      <c r="R46" s="362"/>
      <c r="S46" s="362"/>
      <c r="T46" s="362"/>
      <c r="U46" s="362"/>
      <c r="V46" s="362"/>
      <c r="W46" s="362"/>
      <c r="X46" s="362"/>
      <c r="Y46" s="362"/>
      <c r="Z46" s="362"/>
      <c r="AA46" s="362"/>
      <c r="AB46" s="362"/>
      <c r="AC46" s="362"/>
      <c r="AD46" s="362"/>
      <c r="AE46" s="362"/>
      <c r="AF46" s="362"/>
      <c r="AG46" s="362"/>
      <c r="AH46" s="362"/>
      <c r="AI46" s="362"/>
      <c r="AJ46" s="362"/>
      <c r="AK46" s="362"/>
      <c r="AL46" s="362"/>
      <c r="AM46" s="362"/>
      <c r="AN46" s="362"/>
      <c r="AO46" s="362"/>
      <c r="AP46" s="362"/>
      <c r="AQ46" s="362"/>
      <c r="AR46" s="362"/>
      <c r="AS46" s="362"/>
      <c r="AT46" s="362"/>
      <c r="AU46" s="362"/>
      <c r="AV46" s="362"/>
      <c r="AW46" s="362"/>
      <c r="AX46" s="362"/>
      <c r="AY46" s="362"/>
      <c r="AZ46" s="362"/>
      <c r="BA46" s="362"/>
      <c r="BB46" s="362"/>
      <c r="BC46" s="362"/>
      <c r="BD46" s="362"/>
      <c r="BE46" s="281"/>
    </row>
    <row r="47" spans="1:57" ht="16.5" customHeight="1">
      <c r="A47" s="37"/>
      <c r="B47" s="362"/>
      <c r="C47" s="362"/>
      <c r="D47" s="362"/>
      <c r="E47" s="362"/>
      <c r="F47" s="363" t="str">
        <f>IF(C20&gt;0,B20,"")</f>
        <v/>
      </c>
      <c r="G47" s="364" t="str">
        <f>IF(C20&gt;0,CONCATENATE(I20," X ",J20,"m"),"")</f>
        <v/>
      </c>
      <c r="H47" s="365" t="str">
        <f>Z20</f>
        <v/>
      </c>
      <c r="I47" s="365" t="str">
        <f t="shared" si="43"/>
        <v/>
      </c>
      <c r="J47" s="366" t="str">
        <f>IF(H47="","",VLOOKUP(G47,'Materials Price List'!$A$8:$B$46,2))</f>
        <v/>
      </c>
      <c r="K47" s="366" t="str">
        <f t="shared" si="42"/>
        <v/>
      </c>
      <c r="L47" s="362"/>
      <c r="M47" s="362"/>
      <c r="N47" s="362"/>
      <c r="O47" s="362"/>
      <c r="P47" s="362"/>
      <c r="Q47" s="362"/>
      <c r="R47" s="362"/>
      <c r="S47" s="362"/>
      <c r="T47" s="362"/>
      <c r="U47" s="362"/>
      <c r="V47" s="362"/>
      <c r="W47" s="362"/>
      <c r="X47" s="362"/>
      <c r="Y47" s="362"/>
      <c r="Z47" s="362"/>
      <c r="AA47" s="362"/>
      <c r="AB47" s="362"/>
      <c r="AC47" s="362"/>
      <c r="AD47" s="362"/>
      <c r="AE47" s="362"/>
      <c r="AF47" s="362"/>
      <c r="AG47" s="362"/>
      <c r="AH47" s="362"/>
      <c r="AI47" s="362"/>
      <c r="AJ47" s="362"/>
      <c r="AK47" s="362"/>
      <c r="AL47" s="362"/>
      <c r="AM47" s="362"/>
      <c r="AN47" s="362"/>
      <c r="AO47" s="362"/>
      <c r="AP47" s="362"/>
      <c r="AQ47" s="362"/>
      <c r="AR47" s="362"/>
      <c r="AS47" s="362"/>
      <c r="AT47" s="362"/>
      <c r="AU47" s="362"/>
      <c r="AV47" s="362"/>
      <c r="AW47" s="362"/>
      <c r="AX47" s="362"/>
      <c r="AY47" s="362"/>
      <c r="AZ47" s="362"/>
      <c r="BA47" s="362"/>
      <c r="BB47" s="362"/>
      <c r="BC47" s="362"/>
      <c r="BD47" s="362"/>
      <c r="BE47" s="281"/>
    </row>
    <row r="48" spans="1:57" ht="16.5" customHeight="1">
      <c r="A48" s="37"/>
      <c r="B48" s="362"/>
      <c r="C48" s="362"/>
      <c r="D48" s="362"/>
      <c r="E48" s="362"/>
      <c r="F48" s="367" t="str">
        <f>F47</f>
        <v/>
      </c>
      <c r="G48" s="364" t="str">
        <f>IF(C20&gt;0,CONCATENATE(N20," X ",O20,"m"),"")</f>
        <v/>
      </c>
      <c r="H48" s="365" t="str">
        <f>AA20</f>
        <v/>
      </c>
      <c r="I48" s="365" t="str">
        <f t="shared" si="43"/>
        <v/>
      </c>
      <c r="J48" s="366" t="str">
        <f>IF(H48="","",VLOOKUP(G48,'Materials Price List'!$A$8:$B$46,2))</f>
        <v/>
      </c>
      <c r="K48" s="366" t="str">
        <f t="shared" si="42"/>
        <v/>
      </c>
      <c r="L48" s="362"/>
      <c r="M48" s="362"/>
      <c r="N48" s="362"/>
      <c r="O48" s="362"/>
      <c r="P48" s="362"/>
      <c r="Q48" s="362"/>
      <c r="R48" s="362"/>
      <c r="S48" s="362"/>
      <c r="T48" s="362"/>
      <c r="U48" s="362"/>
      <c r="V48" s="362"/>
      <c r="W48" s="362"/>
      <c r="X48" s="362"/>
      <c r="Y48" s="362"/>
      <c r="Z48" s="362"/>
      <c r="AA48" s="362"/>
      <c r="AB48" s="362"/>
      <c r="AC48" s="362"/>
      <c r="AD48" s="362"/>
      <c r="AE48" s="362"/>
      <c r="AF48" s="362"/>
      <c r="AG48" s="362"/>
      <c r="AH48" s="362"/>
      <c r="AI48" s="362"/>
      <c r="AJ48" s="362"/>
      <c r="AK48" s="362"/>
      <c r="AL48" s="362"/>
      <c r="AM48" s="362"/>
      <c r="AN48" s="362"/>
      <c r="AO48" s="362"/>
      <c r="AP48" s="362"/>
      <c r="AQ48" s="362"/>
      <c r="AR48" s="362"/>
      <c r="AS48" s="362"/>
      <c r="AT48" s="362"/>
      <c r="AU48" s="362"/>
      <c r="AV48" s="362"/>
      <c r="AW48" s="362"/>
      <c r="AX48" s="362"/>
      <c r="AY48" s="362"/>
      <c r="AZ48" s="362"/>
      <c r="BA48" s="362"/>
      <c r="BB48" s="362"/>
      <c r="BC48" s="362"/>
      <c r="BD48" s="362"/>
      <c r="BE48" s="281"/>
    </row>
    <row r="49" spans="1:57" ht="16.5" customHeight="1">
      <c r="A49" s="3"/>
      <c r="B49" s="280"/>
      <c r="C49" s="280"/>
      <c r="D49" s="280"/>
      <c r="E49" s="280"/>
      <c r="F49" s="368" t="s">
        <v>65</v>
      </c>
      <c r="G49" s="369"/>
      <c r="H49" s="369"/>
      <c r="I49" s="369"/>
      <c r="J49" s="370"/>
      <c r="K49" s="371">
        <f>SUM(K25:K48)</f>
        <v>29906.549295774646</v>
      </c>
      <c r="L49" s="280"/>
      <c r="M49" s="280"/>
      <c r="N49" s="280"/>
      <c r="O49" s="280"/>
      <c r="P49" s="280"/>
      <c r="Q49" s="280"/>
      <c r="R49" s="280"/>
      <c r="S49" s="280"/>
      <c r="T49" s="280"/>
      <c r="U49" s="280"/>
      <c r="V49" s="280"/>
      <c r="W49" s="280"/>
      <c r="X49" s="280"/>
      <c r="Y49" s="280"/>
      <c r="Z49" s="280"/>
      <c r="AA49" s="280"/>
      <c r="AB49" s="280"/>
      <c r="AC49" s="280"/>
      <c r="AD49" s="280"/>
      <c r="AE49" s="280"/>
      <c r="AF49" s="280"/>
      <c r="AG49" s="280"/>
      <c r="AH49" s="280"/>
      <c r="AI49" s="280"/>
      <c r="AJ49" s="280"/>
      <c r="AK49" s="280"/>
      <c r="AL49" s="280"/>
      <c r="AM49" s="280"/>
      <c r="AN49" s="280"/>
      <c r="AO49" s="280"/>
      <c r="AP49" s="280"/>
      <c r="AQ49" s="280"/>
      <c r="AR49" s="280"/>
      <c r="AS49" s="280"/>
      <c r="AT49" s="280"/>
      <c r="AU49" s="280"/>
      <c r="AV49" s="280"/>
      <c r="AW49" s="280"/>
      <c r="AX49" s="280"/>
      <c r="AY49" s="280"/>
      <c r="AZ49" s="280"/>
      <c r="BA49" s="280"/>
      <c r="BB49" s="280"/>
      <c r="BC49" s="280"/>
      <c r="BD49" s="280"/>
      <c r="BE49" s="281"/>
    </row>
    <row r="50" spans="1:57" ht="16.5" customHeight="1">
      <c r="A50" s="3"/>
      <c r="B50" s="280"/>
      <c r="C50" s="280"/>
      <c r="D50" s="280"/>
      <c r="E50" s="280"/>
      <c r="F50" s="372" t="s">
        <v>66</v>
      </c>
      <c r="G50" s="290"/>
      <c r="H50" s="290"/>
      <c r="I50" s="291"/>
      <c r="J50" s="373">
        <v>0.35</v>
      </c>
      <c r="K50" s="374">
        <f>J50*K49</f>
        <v>10467.292253521126</v>
      </c>
      <c r="L50" s="280"/>
      <c r="M50" s="280"/>
      <c r="N50" s="280"/>
      <c r="O50" s="280"/>
      <c r="P50" s="280"/>
      <c r="Q50" s="280"/>
      <c r="R50" s="280"/>
      <c r="S50" s="280"/>
      <c r="T50" s="280"/>
      <c r="U50" s="280"/>
      <c r="V50" s="280"/>
      <c r="W50" s="280"/>
      <c r="X50" s="280"/>
      <c r="Y50" s="280"/>
      <c r="Z50" s="280"/>
      <c r="AA50" s="280"/>
      <c r="AB50" s="280"/>
      <c r="AC50" s="280"/>
      <c r="AD50" s="280"/>
      <c r="AE50" s="280"/>
      <c r="AF50" s="280"/>
      <c r="AG50" s="280"/>
      <c r="AH50" s="280"/>
      <c r="AI50" s="280"/>
      <c r="AJ50" s="280"/>
      <c r="AK50" s="280"/>
      <c r="AL50" s="280"/>
      <c r="AM50" s="280"/>
      <c r="AN50" s="280"/>
      <c r="AO50" s="280"/>
      <c r="AP50" s="280"/>
      <c r="AQ50" s="280"/>
      <c r="AR50" s="280"/>
      <c r="AS50" s="280"/>
      <c r="AT50" s="280"/>
      <c r="AU50" s="280"/>
      <c r="AV50" s="280"/>
      <c r="AW50" s="280"/>
      <c r="AX50" s="280"/>
      <c r="AY50" s="280"/>
      <c r="AZ50" s="280"/>
      <c r="BA50" s="280"/>
      <c r="BB50" s="280"/>
      <c r="BC50" s="280"/>
      <c r="BD50" s="280"/>
      <c r="BE50" s="281"/>
    </row>
    <row r="51" spans="1:57" ht="16.5" customHeight="1">
      <c r="A51" s="3"/>
      <c r="B51" s="280"/>
      <c r="C51" s="280"/>
      <c r="D51" s="280"/>
      <c r="E51" s="280"/>
      <c r="F51" s="375"/>
      <c r="G51" s="375"/>
      <c r="H51" s="375"/>
      <c r="I51" s="375"/>
      <c r="J51" s="376"/>
      <c r="K51" s="377"/>
      <c r="L51" s="280"/>
      <c r="M51" s="280"/>
      <c r="N51" s="280"/>
      <c r="O51" s="280"/>
      <c r="P51" s="280"/>
      <c r="Q51" s="280"/>
      <c r="R51" s="280"/>
      <c r="S51" s="280"/>
      <c r="T51" s="280"/>
      <c r="U51" s="280"/>
      <c r="V51" s="280"/>
      <c r="W51" s="280"/>
      <c r="X51" s="280"/>
      <c r="Y51" s="280"/>
      <c r="Z51" s="280"/>
      <c r="AA51" s="280"/>
      <c r="AB51" s="280"/>
      <c r="AC51" s="280"/>
      <c r="AD51" s="280"/>
      <c r="AE51" s="280"/>
      <c r="AF51" s="280"/>
      <c r="AG51" s="280"/>
      <c r="AH51" s="280"/>
      <c r="AI51" s="280"/>
      <c r="AJ51" s="280"/>
      <c r="AK51" s="280"/>
      <c r="AL51" s="280"/>
      <c r="AM51" s="280"/>
      <c r="AN51" s="280"/>
      <c r="AO51" s="280"/>
      <c r="AP51" s="280"/>
      <c r="AQ51" s="280"/>
      <c r="AR51" s="280"/>
      <c r="AS51" s="280"/>
      <c r="AT51" s="280"/>
      <c r="AU51" s="280"/>
      <c r="AV51" s="280"/>
      <c r="AW51" s="280"/>
      <c r="AX51" s="280"/>
      <c r="AY51" s="280"/>
      <c r="AZ51" s="280"/>
      <c r="BA51" s="280"/>
      <c r="BB51" s="280"/>
      <c r="BC51" s="280"/>
      <c r="BD51" s="280"/>
      <c r="BE51" s="281"/>
    </row>
    <row r="52" spans="1:57" ht="16.5" customHeight="1">
      <c r="A52" s="3"/>
      <c r="B52" s="280"/>
      <c r="C52" s="280"/>
      <c r="D52" s="280"/>
      <c r="E52" s="280"/>
      <c r="F52" s="378" t="s">
        <v>67</v>
      </c>
      <c r="G52" s="283"/>
      <c r="H52" s="379">
        <f>AM21</f>
        <v>18.900000000000002</v>
      </c>
      <c r="I52" s="380" t="s">
        <v>63</v>
      </c>
      <c r="J52" s="381">
        <v>200</v>
      </c>
      <c r="K52" s="377" t="s">
        <v>68</v>
      </c>
      <c r="L52" s="280"/>
      <c r="M52" s="280"/>
      <c r="N52" s="280"/>
      <c r="O52" s="280"/>
      <c r="P52" s="280"/>
      <c r="Q52" s="280"/>
      <c r="R52" s="280"/>
      <c r="S52" s="280"/>
      <c r="T52" s="280"/>
      <c r="U52" s="280"/>
      <c r="V52" s="280"/>
      <c r="W52" s="280"/>
      <c r="X52" s="280"/>
      <c r="Y52" s="280"/>
      <c r="Z52" s="280"/>
      <c r="AA52" s="280"/>
      <c r="AB52" s="280"/>
      <c r="AC52" s="280"/>
      <c r="AD52" s="280"/>
      <c r="AE52" s="280"/>
      <c r="AF52" s="280"/>
      <c r="AG52" s="280"/>
      <c r="AH52" s="280"/>
      <c r="AI52" s="280"/>
      <c r="AJ52" s="280"/>
      <c r="AK52" s="280"/>
      <c r="AL52" s="280"/>
      <c r="AM52" s="280"/>
      <c r="AN52" s="280"/>
      <c r="AO52" s="280"/>
      <c r="AP52" s="280"/>
      <c r="AQ52" s="280"/>
      <c r="AR52" s="280"/>
      <c r="AS52" s="280"/>
      <c r="AT52" s="280"/>
      <c r="AU52" s="280"/>
      <c r="AV52" s="280"/>
      <c r="AW52" s="280"/>
      <c r="AX52" s="280"/>
      <c r="AY52" s="280"/>
      <c r="AZ52" s="280"/>
      <c r="BA52" s="280"/>
      <c r="BB52" s="280"/>
      <c r="BC52" s="280"/>
      <c r="BD52" s="280"/>
      <c r="BE52" s="281"/>
    </row>
    <row r="53" spans="1:57" ht="16.5" customHeight="1">
      <c r="A53" s="3"/>
      <c r="B53" s="280"/>
      <c r="C53" s="280"/>
      <c r="D53" s="280"/>
      <c r="E53" s="280"/>
      <c r="F53" s="378" t="s">
        <v>69</v>
      </c>
      <c r="G53" s="283"/>
      <c r="H53" s="379">
        <f>AN21</f>
        <v>15.120000000000003</v>
      </c>
      <c r="I53" s="380" t="s">
        <v>63</v>
      </c>
      <c r="J53" s="381">
        <v>125</v>
      </c>
      <c r="K53" s="377" t="str">
        <f>K52</f>
        <v>per cu.m</v>
      </c>
      <c r="L53" s="280"/>
      <c r="M53" s="280"/>
      <c r="N53" s="280"/>
      <c r="O53" s="280"/>
      <c r="P53" s="280"/>
      <c r="Q53" s="280"/>
      <c r="R53" s="280"/>
      <c r="S53" s="280"/>
      <c r="T53" s="280"/>
      <c r="U53" s="280"/>
      <c r="V53" s="280"/>
      <c r="W53" s="280"/>
      <c r="X53" s="280"/>
      <c r="Y53" s="280"/>
      <c r="Z53" s="280"/>
      <c r="AA53" s="280"/>
      <c r="AB53" s="280"/>
      <c r="AC53" s="280"/>
      <c r="AD53" s="280"/>
      <c r="AE53" s="280"/>
      <c r="AF53" s="280"/>
      <c r="AG53" s="280"/>
      <c r="AH53" s="280"/>
      <c r="AI53" s="280"/>
      <c r="AJ53" s="280"/>
      <c r="AK53" s="280"/>
      <c r="AL53" s="280"/>
      <c r="AM53" s="280"/>
      <c r="AN53" s="280"/>
      <c r="AO53" s="280"/>
      <c r="AP53" s="280"/>
      <c r="AQ53" s="280"/>
      <c r="AR53" s="280"/>
      <c r="AS53" s="280"/>
      <c r="AT53" s="280"/>
      <c r="AU53" s="280"/>
      <c r="AV53" s="280"/>
      <c r="AW53" s="280"/>
      <c r="AX53" s="280"/>
      <c r="AY53" s="280"/>
      <c r="AZ53" s="280"/>
      <c r="BA53" s="280"/>
      <c r="BB53" s="280"/>
      <c r="BC53" s="280"/>
      <c r="BD53" s="280"/>
      <c r="BE53" s="281"/>
    </row>
    <row r="54" spans="1:57" ht="16.5" customHeight="1">
      <c r="A54" s="3"/>
      <c r="B54" s="280"/>
      <c r="C54" s="280"/>
      <c r="D54" s="280"/>
      <c r="E54" s="280"/>
      <c r="F54" s="375"/>
      <c r="G54" s="375"/>
      <c r="H54" s="375"/>
      <c r="I54" s="375"/>
      <c r="J54" s="376"/>
      <c r="K54" s="377"/>
      <c r="L54" s="280"/>
      <c r="M54" s="280"/>
      <c r="N54" s="280"/>
      <c r="O54" s="280"/>
      <c r="P54" s="280"/>
      <c r="Q54" s="280"/>
      <c r="R54" s="280"/>
      <c r="S54" s="280"/>
      <c r="T54" s="280"/>
      <c r="U54" s="280"/>
      <c r="V54" s="280"/>
      <c r="W54" s="280"/>
      <c r="X54" s="280"/>
      <c r="Y54" s="280"/>
      <c r="Z54" s="280"/>
      <c r="AA54" s="280"/>
      <c r="AB54" s="280"/>
      <c r="AC54" s="280"/>
      <c r="AD54" s="280"/>
      <c r="AE54" s="280"/>
      <c r="AF54" s="280"/>
      <c r="AG54" s="280"/>
      <c r="AH54" s="280"/>
      <c r="AI54" s="280"/>
      <c r="AJ54" s="280"/>
      <c r="AK54" s="280"/>
      <c r="AL54" s="280"/>
      <c r="AM54" s="280"/>
      <c r="AN54" s="280"/>
      <c r="AO54" s="280"/>
      <c r="AP54" s="280"/>
      <c r="AQ54" s="280"/>
      <c r="AR54" s="280"/>
      <c r="AS54" s="280"/>
      <c r="AT54" s="280"/>
      <c r="AU54" s="280"/>
      <c r="AV54" s="280"/>
      <c r="AW54" s="280"/>
      <c r="AX54" s="280"/>
      <c r="AY54" s="280"/>
      <c r="AZ54" s="280"/>
      <c r="BA54" s="280"/>
      <c r="BB54" s="280"/>
      <c r="BC54" s="280"/>
      <c r="BD54" s="280"/>
      <c r="BE54" s="281"/>
    </row>
    <row r="55" spans="1:57" ht="16.5" customHeight="1">
      <c r="A55" s="3"/>
      <c r="B55" s="280"/>
      <c r="C55" s="280"/>
      <c r="D55" s="280"/>
      <c r="E55" s="280"/>
      <c r="F55" s="382" t="s">
        <v>70</v>
      </c>
      <c r="G55" s="369"/>
      <c r="H55" s="369"/>
      <c r="I55" s="369"/>
      <c r="J55" s="370"/>
      <c r="K55" s="383">
        <f>J52*H52</f>
        <v>3780.0000000000005</v>
      </c>
      <c r="L55" s="280"/>
      <c r="M55" s="280"/>
      <c r="N55" s="280"/>
      <c r="O55" s="280"/>
      <c r="P55" s="280"/>
      <c r="Q55" s="280"/>
      <c r="R55" s="280"/>
      <c r="S55" s="280"/>
      <c r="T55" s="280"/>
      <c r="U55" s="280"/>
      <c r="V55" s="280"/>
      <c r="W55" s="280"/>
      <c r="X55" s="280"/>
      <c r="Y55" s="280"/>
      <c r="Z55" s="280"/>
      <c r="AA55" s="280"/>
      <c r="AB55" s="280"/>
      <c r="AC55" s="280"/>
      <c r="AD55" s="280"/>
      <c r="AE55" s="280"/>
      <c r="AF55" s="280"/>
      <c r="AG55" s="280"/>
      <c r="AH55" s="280"/>
      <c r="AI55" s="280"/>
      <c r="AJ55" s="280"/>
      <c r="AK55" s="280"/>
      <c r="AL55" s="280"/>
      <c r="AM55" s="280"/>
      <c r="AN55" s="280"/>
      <c r="AO55" s="280"/>
      <c r="AP55" s="280"/>
      <c r="AQ55" s="280"/>
      <c r="AR55" s="280"/>
      <c r="AS55" s="280"/>
      <c r="AT55" s="280"/>
      <c r="AU55" s="280"/>
      <c r="AV55" s="280"/>
      <c r="AW55" s="280"/>
      <c r="AX55" s="280"/>
      <c r="AY55" s="280"/>
      <c r="AZ55" s="280"/>
      <c r="BA55" s="280"/>
      <c r="BB55" s="280"/>
      <c r="BC55" s="280"/>
      <c r="BD55" s="280"/>
      <c r="BE55" s="281"/>
    </row>
    <row r="56" spans="1:57" ht="16.5" customHeight="1">
      <c r="A56" s="3"/>
      <c r="B56" s="280"/>
      <c r="C56" s="280"/>
      <c r="D56" s="280"/>
      <c r="E56" s="280"/>
      <c r="F56" s="384" t="s">
        <v>71</v>
      </c>
      <c r="G56" s="369"/>
      <c r="H56" s="369"/>
      <c r="I56" s="369"/>
      <c r="J56" s="370"/>
      <c r="K56" s="385">
        <f>H53*J53</f>
        <v>1890.0000000000005</v>
      </c>
      <c r="L56" s="280"/>
      <c r="M56" s="280"/>
      <c r="N56" s="280"/>
      <c r="O56" s="280"/>
      <c r="P56" s="280"/>
      <c r="Q56" s="280"/>
      <c r="R56" s="280"/>
      <c r="S56" s="280"/>
      <c r="T56" s="280"/>
      <c r="U56" s="280"/>
      <c r="V56" s="280"/>
      <c r="W56" s="280"/>
      <c r="X56" s="280"/>
      <c r="Y56" s="280"/>
      <c r="Z56" s="280"/>
      <c r="AA56" s="280"/>
      <c r="AB56" s="280"/>
      <c r="AC56" s="280"/>
      <c r="AD56" s="280"/>
      <c r="AE56" s="280"/>
      <c r="AF56" s="280"/>
      <c r="AG56" s="280"/>
      <c r="AH56" s="280"/>
      <c r="AI56" s="280"/>
      <c r="AJ56" s="280"/>
      <c r="AK56" s="280"/>
      <c r="AL56" s="280"/>
      <c r="AM56" s="280"/>
      <c r="AN56" s="280"/>
      <c r="AO56" s="280"/>
      <c r="AP56" s="280"/>
      <c r="AQ56" s="280"/>
      <c r="AR56" s="280"/>
      <c r="AS56" s="280"/>
      <c r="AT56" s="280"/>
      <c r="AU56" s="280"/>
      <c r="AV56" s="280"/>
      <c r="AW56" s="280"/>
      <c r="AX56" s="280"/>
      <c r="AY56" s="280"/>
      <c r="AZ56" s="280"/>
      <c r="BA56" s="280"/>
      <c r="BB56" s="280"/>
      <c r="BC56" s="280"/>
      <c r="BD56" s="280"/>
      <c r="BE56" s="281"/>
    </row>
    <row r="57" spans="1:57" ht="16.5" customHeight="1">
      <c r="A57" s="3"/>
      <c r="B57" s="280"/>
      <c r="C57" s="280"/>
      <c r="D57" s="280"/>
      <c r="E57" s="280"/>
      <c r="F57" s="375"/>
      <c r="G57" s="375"/>
      <c r="H57" s="375"/>
      <c r="I57" s="375"/>
      <c r="J57" s="376"/>
      <c r="K57" s="377"/>
      <c r="L57" s="280"/>
      <c r="M57" s="280"/>
      <c r="N57" s="280"/>
      <c r="O57" s="280"/>
      <c r="P57" s="280"/>
      <c r="Q57" s="280"/>
      <c r="R57" s="280"/>
      <c r="S57" s="280"/>
      <c r="T57" s="280"/>
      <c r="U57" s="280"/>
      <c r="V57" s="280"/>
      <c r="W57" s="280"/>
      <c r="X57" s="280"/>
      <c r="Y57" s="280"/>
      <c r="Z57" s="280"/>
      <c r="AA57" s="280"/>
      <c r="AB57" s="280"/>
      <c r="AC57" s="280"/>
      <c r="AD57" s="280"/>
      <c r="AE57" s="280"/>
      <c r="AF57" s="280"/>
      <c r="AG57" s="280"/>
      <c r="AH57" s="280"/>
      <c r="AI57" s="280"/>
      <c r="AJ57" s="280"/>
      <c r="AK57" s="280"/>
      <c r="AL57" s="280"/>
      <c r="AM57" s="280"/>
      <c r="AN57" s="280"/>
      <c r="AO57" s="280"/>
      <c r="AP57" s="280"/>
      <c r="AQ57" s="280"/>
      <c r="AR57" s="280"/>
      <c r="AS57" s="280"/>
      <c r="AT57" s="280"/>
      <c r="AU57" s="280"/>
      <c r="AV57" s="280"/>
      <c r="AW57" s="280"/>
      <c r="AX57" s="280"/>
      <c r="AY57" s="280"/>
      <c r="AZ57" s="280"/>
      <c r="BA57" s="280"/>
      <c r="BB57" s="280"/>
      <c r="BC57" s="280"/>
      <c r="BD57" s="280"/>
      <c r="BE57" s="281"/>
    </row>
    <row r="58" spans="1:57" ht="16.5" customHeight="1">
      <c r="A58" s="3"/>
      <c r="B58" s="280"/>
      <c r="C58" s="280"/>
      <c r="D58" s="280"/>
      <c r="E58" s="280"/>
      <c r="F58" s="378" t="s">
        <v>72</v>
      </c>
      <c r="G58" s="283"/>
      <c r="H58" s="283"/>
      <c r="I58" s="283"/>
      <c r="J58" s="386">
        <v>8</v>
      </c>
      <c r="K58" s="387" t="s">
        <v>73</v>
      </c>
      <c r="L58" s="280"/>
      <c r="M58" s="280"/>
      <c r="N58" s="280"/>
      <c r="O58" s="280"/>
      <c r="P58" s="280"/>
      <c r="Q58" s="280"/>
      <c r="R58" s="280"/>
      <c r="S58" s="280"/>
      <c r="T58" s="280"/>
      <c r="U58" s="280"/>
      <c r="V58" s="280"/>
      <c r="W58" s="280"/>
      <c r="X58" s="280"/>
      <c r="Y58" s="280"/>
      <c r="Z58" s="280"/>
      <c r="AA58" s="280"/>
      <c r="AB58" s="280"/>
      <c r="AC58" s="280"/>
      <c r="AD58" s="280"/>
      <c r="AE58" s="280"/>
      <c r="AF58" s="280"/>
      <c r="AG58" s="280"/>
      <c r="AH58" s="280"/>
      <c r="AI58" s="280"/>
      <c r="AJ58" s="280"/>
      <c r="AK58" s="280"/>
      <c r="AL58" s="280"/>
      <c r="AM58" s="280"/>
      <c r="AN58" s="280"/>
      <c r="AO58" s="280"/>
      <c r="AP58" s="280"/>
      <c r="AQ58" s="280"/>
      <c r="AR58" s="280"/>
      <c r="AS58" s="280"/>
      <c r="AT58" s="280"/>
      <c r="AU58" s="280"/>
      <c r="AV58" s="280"/>
      <c r="AW58" s="280"/>
      <c r="AX58" s="280"/>
      <c r="AY58" s="280"/>
      <c r="AZ58" s="280"/>
      <c r="BA58" s="280"/>
      <c r="BB58" s="280"/>
      <c r="BC58" s="280"/>
      <c r="BD58" s="280"/>
      <c r="BE58" s="281"/>
    </row>
    <row r="59" spans="1:57" ht="16.5" customHeight="1">
      <c r="A59" s="3"/>
      <c r="B59" s="280"/>
      <c r="C59" s="280"/>
      <c r="D59" s="280"/>
      <c r="E59" s="280"/>
      <c r="F59" s="378" t="s">
        <v>74</v>
      </c>
      <c r="G59" s="283"/>
      <c r="H59" s="283"/>
      <c r="I59" s="283"/>
      <c r="J59" s="388">
        <f>CEILING(SUM(AL11:AL20)/J58,1)</f>
        <v>1</v>
      </c>
      <c r="K59" s="387" t="s">
        <v>75</v>
      </c>
      <c r="L59" s="280"/>
      <c r="M59" s="280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  <c r="AA59" s="280"/>
      <c r="AB59" s="280"/>
      <c r="AC59" s="280"/>
      <c r="AD59" s="280"/>
      <c r="AE59" s="280"/>
      <c r="AF59" s="280"/>
      <c r="AG59" s="280"/>
      <c r="AH59" s="280"/>
      <c r="AI59" s="280"/>
      <c r="AJ59" s="280"/>
      <c r="AK59" s="280"/>
      <c r="AL59" s="280"/>
      <c r="AM59" s="280"/>
      <c r="AN59" s="280"/>
      <c r="AO59" s="280"/>
      <c r="AP59" s="280"/>
      <c r="AQ59" s="280"/>
      <c r="AR59" s="280"/>
      <c r="AS59" s="280"/>
      <c r="AT59" s="280"/>
      <c r="AU59" s="280"/>
      <c r="AV59" s="280"/>
      <c r="AW59" s="280"/>
      <c r="AX59" s="280"/>
      <c r="AY59" s="280"/>
      <c r="AZ59" s="280"/>
      <c r="BA59" s="280"/>
      <c r="BB59" s="280"/>
      <c r="BC59" s="280"/>
      <c r="BD59" s="280"/>
      <c r="BE59" s="281"/>
    </row>
    <row r="60" spans="1:57" ht="16.5" customHeight="1">
      <c r="A60" s="3"/>
      <c r="B60" s="280"/>
      <c r="C60" s="280"/>
      <c r="D60" s="280"/>
      <c r="E60" s="280"/>
      <c r="F60" s="378" t="s">
        <v>76</v>
      </c>
      <c r="G60" s="283"/>
      <c r="H60" s="283"/>
      <c r="I60" s="283"/>
      <c r="J60" s="389">
        <f>'Materials Price List'!B47</f>
        <v>1200</v>
      </c>
      <c r="K60" s="390" t="s">
        <v>77</v>
      </c>
      <c r="L60" s="280"/>
      <c r="M60" s="280"/>
      <c r="N60" s="280"/>
      <c r="O60" s="280"/>
      <c r="P60" s="280"/>
      <c r="Q60" s="280"/>
      <c r="R60" s="280"/>
      <c r="S60" s="280"/>
      <c r="T60" s="280"/>
      <c r="U60" s="280"/>
      <c r="V60" s="280"/>
      <c r="W60" s="280"/>
      <c r="X60" s="280"/>
      <c r="Y60" s="280"/>
      <c r="Z60" s="280"/>
      <c r="AA60" s="280"/>
      <c r="AB60" s="280"/>
      <c r="AC60" s="280"/>
      <c r="AD60" s="280"/>
      <c r="AE60" s="280"/>
      <c r="AF60" s="280"/>
      <c r="AG60" s="280"/>
      <c r="AH60" s="280"/>
      <c r="AI60" s="280"/>
      <c r="AJ60" s="280"/>
      <c r="AK60" s="280"/>
      <c r="AL60" s="280"/>
      <c r="AM60" s="280"/>
      <c r="AN60" s="280"/>
      <c r="AO60" s="280"/>
      <c r="AP60" s="280"/>
      <c r="AQ60" s="280"/>
      <c r="AR60" s="280"/>
      <c r="AS60" s="280"/>
      <c r="AT60" s="280"/>
      <c r="AU60" s="280"/>
      <c r="AV60" s="280"/>
      <c r="AW60" s="280"/>
      <c r="AX60" s="280"/>
      <c r="AY60" s="280"/>
      <c r="AZ60" s="280"/>
      <c r="BA60" s="280"/>
      <c r="BB60" s="280"/>
      <c r="BC60" s="280"/>
      <c r="BD60" s="280"/>
      <c r="BE60" s="281"/>
    </row>
    <row r="61" spans="1:57" ht="16.5" customHeight="1">
      <c r="A61" s="3"/>
      <c r="B61" s="280"/>
      <c r="C61" s="280"/>
      <c r="D61" s="280"/>
      <c r="E61" s="280"/>
      <c r="F61" s="391" t="s">
        <v>78</v>
      </c>
      <c r="G61" s="290"/>
      <c r="H61" s="290"/>
      <c r="I61" s="290"/>
      <c r="J61" s="291"/>
      <c r="K61" s="392">
        <f>J60*J59</f>
        <v>1200</v>
      </c>
      <c r="L61" s="280"/>
      <c r="M61" s="280"/>
      <c r="N61" s="280"/>
      <c r="O61" s="280"/>
      <c r="P61" s="280"/>
      <c r="Q61" s="280"/>
      <c r="R61" s="280"/>
      <c r="S61" s="280"/>
      <c r="T61" s="280"/>
      <c r="U61" s="280"/>
      <c r="V61" s="280"/>
      <c r="W61" s="280"/>
      <c r="X61" s="280"/>
      <c r="Y61" s="280"/>
      <c r="Z61" s="280"/>
      <c r="AA61" s="280"/>
      <c r="AB61" s="280"/>
      <c r="AC61" s="280"/>
      <c r="AD61" s="280"/>
      <c r="AE61" s="280"/>
      <c r="AF61" s="280"/>
      <c r="AG61" s="280"/>
      <c r="AH61" s="280"/>
      <c r="AI61" s="280"/>
      <c r="AJ61" s="280"/>
      <c r="AK61" s="280"/>
      <c r="AL61" s="280"/>
      <c r="AM61" s="280"/>
      <c r="AN61" s="280"/>
      <c r="AO61" s="280"/>
      <c r="AP61" s="280"/>
      <c r="AQ61" s="280"/>
      <c r="AR61" s="280"/>
      <c r="AS61" s="280"/>
      <c r="AT61" s="280"/>
      <c r="AU61" s="280"/>
      <c r="AV61" s="280"/>
      <c r="AW61" s="280"/>
      <c r="AX61" s="280"/>
      <c r="AY61" s="280"/>
      <c r="AZ61" s="280"/>
      <c r="BA61" s="280"/>
      <c r="BB61" s="280"/>
      <c r="BC61" s="280"/>
      <c r="BD61" s="280"/>
      <c r="BE61" s="281"/>
    </row>
    <row r="62" spans="1:57" ht="16.5" customHeight="1">
      <c r="A62" s="3"/>
      <c r="B62" s="280"/>
      <c r="C62" s="280"/>
      <c r="D62" s="280"/>
      <c r="E62" s="280"/>
      <c r="F62" s="280"/>
      <c r="G62" s="280"/>
      <c r="H62" s="280"/>
      <c r="I62" s="280"/>
      <c r="J62" s="280"/>
      <c r="K62" s="393"/>
      <c r="L62" s="280"/>
      <c r="M62" s="280"/>
      <c r="N62" s="280"/>
      <c r="O62" s="280"/>
      <c r="P62" s="280"/>
      <c r="Q62" s="280"/>
      <c r="R62" s="280"/>
      <c r="S62" s="280"/>
      <c r="T62" s="280"/>
      <c r="U62" s="280"/>
      <c r="V62" s="280"/>
      <c r="W62" s="280"/>
      <c r="X62" s="280"/>
      <c r="Y62" s="280"/>
      <c r="Z62" s="280"/>
      <c r="AA62" s="280"/>
      <c r="AB62" s="280"/>
      <c r="AC62" s="280"/>
      <c r="AD62" s="280"/>
      <c r="AE62" s="280"/>
      <c r="AF62" s="280"/>
      <c r="AG62" s="280"/>
      <c r="AH62" s="280"/>
      <c r="AI62" s="280"/>
      <c r="AJ62" s="280"/>
      <c r="AK62" s="280"/>
      <c r="AL62" s="280"/>
      <c r="AM62" s="280"/>
      <c r="AN62" s="280"/>
      <c r="AO62" s="280"/>
      <c r="AP62" s="280"/>
      <c r="AQ62" s="280"/>
      <c r="AR62" s="280"/>
      <c r="AS62" s="280"/>
      <c r="AT62" s="280"/>
      <c r="AU62" s="280"/>
      <c r="AV62" s="280"/>
      <c r="AW62" s="280"/>
      <c r="AX62" s="280"/>
      <c r="AY62" s="280"/>
      <c r="AZ62" s="280"/>
      <c r="BA62" s="280"/>
      <c r="BB62" s="280"/>
      <c r="BC62" s="280"/>
      <c r="BD62" s="280"/>
      <c r="BE62" s="281"/>
    </row>
    <row r="63" spans="1:57" ht="16.5" customHeight="1">
      <c r="A63" s="3"/>
      <c r="B63" s="280"/>
      <c r="C63" s="280"/>
      <c r="D63" s="280"/>
      <c r="E63" s="280"/>
      <c r="F63" s="280"/>
      <c r="G63" s="280"/>
      <c r="H63" s="378" t="s">
        <v>79</v>
      </c>
      <c r="I63" s="283"/>
      <c r="J63" s="283"/>
      <c r="K63" s="394">
        <f>K49+K50+K61+K55+K56</f>
        <v>47243.841549295772</v>
      </c>
      <c r="L63" s="280"/>
      <c r="M63" s="280"/>
      <c r="N63" s="280"/>
      <c r="O63" s="280"/>
      <c r="P63" s="280"/>
      <c r="Q63" s="280"/>
      <c r="R63" s="280"/>
      <c r="S63" s="280"/>
      <c r="T63" s="280"/>
      <c r="U63" s="280"/>
      <c r="V63" s="280"/>
      <c r="W63" s="280"/>
      <c r="X63" s="280"/>
      <c r="Y63" s="280"/>
      <c r="Z63" s="280"/>
      <c r="AA63" s="280"/>
      <c r="AB63" s="280"/>
      <c r="AC63" s="280"/>
      <c r="AD63" s="280"/>
      <c r="AE63" s="280"/>
      <c r="AF63" s="280"/>
      <c r="AG63" s="280"/>
      <c r="AH63" s="280"/>
      <c r="AI63" s="280"/>
      <c r="AJ63" s="280"/>
      <c r="AK63" s="280"/>
      <c r="AL63" s="280"/>
      <c r="AM63" s="280"/>
      <c r="AN63" s="280"/>
      <c r="AO63" s="280"/>
      <c r="AP63" s="280"/>
      <c r="AQ63" s="280"/>
      <c r="AR63" s="280"/>
      <c r="AS63" s="280"/>
      <c r="AT63" s="280"/>
      <c r="AU63" s="280"/>
      <c r="AV63" s="280"/>
      <c r="AW63" s="280"/>
      <c r="AX63" s="280"/>
      <c r="AY63" s="280"/>
      <c r="AZ63" s="280"/>
      <c r="BA63" s="280"/>
      <c r="BB63" s="280"/>
      <c r="BC63" s="280"/>
      <c r="BD63" s="280"/>
      <c r="BE63" s="281"/>
    </row>
    <row r="64" spans="1:57" ht="16.5" customHeight="1">
      <c r="A64" s="3"/>
      <c r="B64" s="280"/>
      <c r="C64" s="280"/>
      <c r="D64" s="280"/>
      <c r="E64" s="280"/>
      <c r="F64" s="280"/>
      <c r="G64" s="393"/>
      <c r="H64" s="280"/>
      <c r="I64" s="280"/>
      <c r="J64" s="280"/>
      <c r="K64" s="280"/>
      <c r="L64" s="280"/>
      <c r="M64" s="280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  <c r="AA64" s="280"/>
      <c r="AB64" s="280"/>
      <c r="AC64" s="280"/>
      <c r="AD64" s="280"/>
      <c r="AE64" s="280"/>
      <c r="AF64" s="280"/>
      <c r="AG64" s="280"/>
      <c r="AH64" s="280"/>
      <c r="AI64" s="280"/>
      <c r="AJ64" s="280"/>
      <c r="AK64" s="280"/>
      <c r="AL64" s="280"/>
      <c r="AM64" s="280"/>
      <c r="AN64" s="280"/>
      <c r="AO64" s="280"/>
      <c r="AP64" s="280"/>
      <c r="AQ64" s="280"/>
      <c r="AR64" s="280"/>
      <c r="AS64" s="280"/>
      <c r="AT64" s="280"/>
      <c r="AU64" s="280"/>
      <c r="AV64" s="280"/>
      <c r="AW64" s="280"/>
      <c r="AX64" s="280"/>
      <c r="AY64" s="280"/>
      <c r="AZ64" s="280"/>
      <c r="BA64" s="280"/>
      <c r="BB64" s="280"/>
      <c r="BC64" s="280"/>
      <c r="BD64" s="280"/>
      <c r="BE64" s="281"/>
    </row>
    <row r="65" spans="1:57" ht="16.5" hidden="1" customHeight="1">
      <c r="A65" s="3"/>
      <c r="B65" s="280"/>
      <c r="C65" s="280"/>
      <c r="D65" s="280"/>
      <c r="E65" s="280"/>
      <c r="F65" s="280"/>
      <c r="G65" s="393"/>
      <c r="H65" s="280"/>
      <c r="I65" s="280"/>
      <c r="J65" s="280"/>
      <c r="K65" s="280"/>
      <c r="L65" s="280"/>
      <c r="M65" s="280"/>
      <c r="N65" s="280"/>
      <c r="O65" s="280"/>
      <c r="P65" s="280"/>
      <c r="Q65" s="280"/>
      <c r="R65" s="280"/>
      <c r="S65" s="280"/>
      <c r="T65" s="280"/>
      <c r="U65" s="280"/>
      <c r="V65" s="280"/>
      <c r="W65" s="280"/>
      <c r="X65" s="280"/>
      <c r="Y65" s="280"/>
      <c r="Z65" s="280"/>
      <c r="AA65" s="280"/>
      <c r="AB65" s="280"/>
      <c r="AC65" s="280"/>
      <c r="AD65" s="280"/>
      <c r="AE65" s="280"/>
      <c r="AF65" s="280"/>
      <c r="AG65" s="280"/>
      <c r="AH65" s="280"/>
      <c r="AI65" s="280"/>
      <c r="AJ65" s="280"/>
      <c r="AK65" s="280"/>
      <c r="AL65" s="280"/>
      <c r="AM65" s="280"/>
      <c r="AN65" s="280"/>
      <c r="AO65" s="280"/>
      <c r="AP65" s="280"/>
      <c r="AQ65" s="280"/>
      <c r="AR65" s="280"/>
      <c r="AS65" s="280"/>
      <c r="AT65" s="280"/>
      <c r="AU65" s="280"/>
      <c r="AV65" s="280"/>
      <c r="AW65" s="280"/>
      <c r="AX65" s="280"/>
      <c r="AY65" s="280"/>
      <c r="AZ65" s="280"/>
      <c r="BA65" s="280"/>
      <c r="BB65" s="280"/>
      <c r="BC65" s="280"/>
      <c r="BD65" s="280"/>
      <c r="BE65" s="281"/>
    </row>
    <row r="66" spans="1:57" ht="16.5" hidden="1" customHeight="1">
      <c r="A66" s="3"/>
      <c r="B66" s="280"/>
      <c r="C66" s="280"/>
      <c r="D66" s="280"/>
      <c r="E66" s="280"/>
      <c r="F66" s="280"/>
      <c r="G66" s="393"/>
      <c r="H66" s="280"/>
      <c r="I66" s="280"/>
      <c r="J66" s="280"/>
      <c r="K66" s="280"/>
      <c r="L66" s="280"/>
      <c r="M66" s="280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  <c r="AA66" s="280"/>
      <c r="AB66" s="280"/>
      <c r="AC66" s="280"/>
      <c r="AD66" s="280"/>
      <c r="AE66" s="280"/>
      <c r="AF66" s="280"/>
      <c r="AG66" s="280"/>
      <c r="AH66" s="280"/>
      <c r="AI66" s="280"/>
      <c r="AJ66" s="280"/>
      <c r="AK66" s="280"/>
      <c r="AL66" s="280"/>
      <c r="AM66" s="280"/>
      <c r="AN66" s="280"/>
      <c r="AO66" s="280"/>
      <c r="AP66" s="280"/>
      <c r="AQ66" s="280"/>
      <c r="AR66" s="280"/>
      <c r="AS66" s="280"/>
      <c r="AT66" s="280"/>
      <c r="AU66" s="280"/>
      <c r="AV66" s="280"/>
      <c r="AW66" s="280"/>
      <c r="AX66" s="280"/>
      <c r="AY66" s="280"/>
      <c r="AZ66" s="280"/>
      <c r="BA66" s="280"/>
      <c r="BB66" s="280"/>
      <c r="BC66" s="280"/>
      <c r="BD66" s="280"/>
      <c r="BE66" s="281"/>
    </row>
    <row r="67" spans="1:57" ht="16.5" hidden="1" customHeight="1">
      <c r="A67" s="3"/>
      <c r="B67" s="280"/>
      <c r="C67" s="280"/>
      <c r="D67" s="280"/>
      <c r="E67" s="280"/>
      <c r="F67" s="280"/>
      <c r="G67" s="393"/>
      <c r="H67" s="280"/>
      <c r="I67" s="280"/>
      <c r="J67" s="280"/>
      <c r="K67" s="280"/>
      <c r="L67" s="280"/>
      <c r="M67" s="280"/>
      <c r="N67" s="280"/>
      <c r="O67" s="280"/>
      <c r="P67" s="280"/>
      <c r="Q67" s="280"/>
      <c r="R67" s="280"/>
      <c r="S67" s="280"/>
      <c r="T67" s="280"/>
      <c r="U67" s="280"/>
      <c r="V67" s="280"/>
      <c r="W67" s="280"/>
      <c r="X67" s="280"/>
      <c r="Y67" s="280"/>
      <c r="Z67" s="280"/>
      <c r="AA67" s="280"/>
      <c r="AB67" s="280"/>
      <c r="AC67" s="280"/>
      <c r="AD67" s="280"/>
      <c r="AE67" s="280"/>
      <c r="AF67" s="280"/>
      <c r="AG67" s="280"/>
      <c r="AH67" s="280"/>
      <c r="AI67" s="280"/>
      <c r="AJ67" s="280"/>
      <c r="AK67" s="280"/>
      <c r="AL67" s="280"/>
      <c r="AM67" s="280"/>
      <c r="AN67" s="280"/>
      <c r="AO67" s="280"/>
      <c r="AP67" s="280"/>
      <c r="AQ67" s="280"/>
      <c r="AR67" s="280"/>
      <c r="AS67" s="280"/>
      <c r="AT67" s="280"/>
      <c r="AU67" s="280"/>
      <c r="AV67" s="280"/>
      <c r="AW67" s="280"/>
      <c r="AX67" s="280"/>
      <c r="AY67" s="280"/>
      <c r="AZ67" s="280"/>
      <c r="BA67" s="280"/>
      <c r="BB67" s="280"/>
      <c r="BC67" s="280"/>
      <c r="BD67" s="280"/>
      <c r="BE67" s="281"/>
    </row>
    <row r="68" spans="1:57" ht="16.5" hidden="1" customHeight="1">
      <c r="A68" s="3"/>
      <c r="B68" s="280"/>
      <c r="C68" s="280"/>
      <c r="D68" s="280"/>
      <c r="E68" s="280"/>
      <c r="F68" s="280"/>
      <c r="G68" s="393"/>
      <c r="H68" s="280"/>
      <c r="I68" s="280"/>
      <c r="J68" s="280"/>
      <c r="K68" s="280"/>
      <c r="L68" s="280"/>
      <c r="M68" s="280"/>
      <c r="N68" s="280"/>
      <c r="O68" s="280"/>
      <c r="P68" s="280"/>
      <c r="Q68" s="280"/>
      <c r="R68" s="280"/>
      <c r="S68" s="280"/>
      <c r="T68" s="280"/>
      <c r="U68" s="280"/>
      <c r="V68" s="280"/>
      <c r="W68" s="280"/>
      <c r="X68" s="280"/>
      <c r="Y68" s="280"/>
      <c r="Z68" s="280"/>
      <c r="AA68" s="280"/>
      <c r="AB68" s="280"/>
      <c r="AC68" s="280"/>
      <c r="AD68" s="280"/>
      <c r="AE68" s="280"/>
      <c r="AF68" s="280"/>
      <c r="AG68" s="280"/>
      <c r="AH68" s="280"/>
      <c r="AI68" s="280"/>
      <c r="AJ68" s="280"/>
      <c r="AK68" s="280"/>
      <c r="AL68" s="280"/>
      <c r="AM68" s="280"/>
      <c r="AN68" s="280"/>
      <c r="AO68" s="280"/>
      <c r="AP68" s="280"/>
      <c r="AQ68" s="280"/>
      <c r="AR68" s="280"/>
      <c r="AS68" s="280"/>
      <c r="AT68" s="280"/>
      <c r="AU68" s="280"/>
      <c r="AV68" s="280"/>
      <c r="AW68" s="280"/>
      <c r="AX68" s="280"/>
      <c r="AY68" s="280"/>
      <c r="AZ68" s="280"/>
      <c r="BA68" s="280"/>
      <c r="BB68" s="280"/>
      <c r="BC68" s="280"/>
      <c r="BD68" s="280"/>
      <c r="BE68" s="281"/>
    </row>
    <row r="69" spans="1:57" ht="16.5" hidden="1" customHeight="1">
      <c r="A69" s="3"/>
      <c r="B69" s="280"/>
      <c r="C69" s="280"/>
      <c r="D69" s="280"/>
      <c r="E69" s="280"/>
      <c r="F69" s="280"/>
      <c r="G69" s="393"/>
      <c r="H69" s="280"/>
      <c r="I69" s="280"/>
      <c r="J69" s="280"/>
      <c r="K69" s="280"/>
      <c r="L69" s="280"/>
      <c r="M69" s="280"/>
      <c r="N69" s="280"/>
      <c r="O69" s="280"/>
      <c r="P69" s="280"/>
      <c r="Q69" s="280"/>
      <c r="R69" s="280"/>
      <c r="S69" s="280"/>
      <c r="T69" s="280"/>
      <c r="U69" s="280"/>
      <c r="V69" s="280"/>
      <c r="W69" s="280"/>
      <c r="X69" s="280"/>
      <c r="Y69" s="280"/>
      <c r="Z69" s="280"/>
      <c r="AA69" s="280"/>
      <c r="AB69" s="280"/>
      <c r="AC69" s="280"/>
      <c r="AD69" s="280"/>
      <c r="AE69" s="280"/>
      <c r="AF69" s="280"/>
      <c r="AG69" s="280"/>
      <c r="AH69" s="280"/>
      <c r="AI69" s="280"/>
      <c r="AJ69" s="280"/>
      <c r="AK69" s="280"/>
      <c r="AL69" s="280"/>
      <c r="AM69" s="280"/>
      <c r="AN69" s="280"/>
      <c r="AO69" s="280"/>
      <c r="AP69" s="280"/>
      <c r="AQ69" s="280"/>
      <c r="AR69" s="280"/>
      <c r="AS69" s="280"/>
      <c r="AT69" s="280"/>
      <c r="AU69" s="280"/>
      <c r="AV69" s="280"/>
      <c r="AW69" s="280"/>
      <c r="AX69" s="280"/>
      <c r="AY69" s="280"/>
      <c r="AZ69" s="280"/>
      <c r="BA69" s="280"/>
      <c r="BB69" s="280"/>
      <c r="BC69" s="280"/>
      <c r="BD69" s="280"/>
      <c r="BE69" s="281"/>
    </row>
    <row r="70" spans="1:57" ht="16.5" hidden="1" customHeight="1">
      <c r="A70" s="3"/>
      <c r="B70" s="280"/>
      <c r="C70" s="280"/>
      <c r="D70" s="280"/>
      <c r="E70" s="280"/>
      <c r="F70" s="280"/>
      <c r="G70" s="393"/>
      <c r="H70" s="280"/>
      <c r="I70" s="280"/>
      <c r="J70" s="280"/>
      <c r="K70" s="280"/>
      <c r="L70" s="280"/>
      <c r="M70" s="280"/>
      <c r="N70" s="280"/>
      <c r="O70" s="280"/>
      <c r="P70" s="280"/>
      <c r="Q70" s="280"/>
      <c r="R70" s="280"/>
      <c r="S70" s="280"/>
      <c r="T70" s="280"/>
      <c r="U70" s="280"/>
      <c r="V70" s="280"/>
      <c r="W70" s="280"/>
      <c r="X70" s="280"/>
      <c r="Y70" s="280"/>
      <c r="Z70" s="280"/>
      <c r="AA70" s="280"/>
      <c r="AB70" s="280"/>
      <c r="AC70" s="280"/>
      <c r="AD70" s="280"/>
      <c r="AE70" s="280"/>
      <c r="AF70" s="280"/>
      <c r="AG70" s="280"/>
      <c r="AH70" s="280"/>
      <c r="AI70" s="280"/>
      <c r="AJ70" s="280"/>
      <c r="AK70" s="280"/>
      <c r="AL70" s="280"/>
      <c r="AM70" s="280"/>
      <c r="AN70" s="280"/>
      <c r="AO70" s="280"/>
      <c r="AP70" s="280"/>
      <c r="AQ70" s="280"/>
      <c r="AR70" s="280"/>
      <c r="AS70" s="280"/>
      <c r="AT70" s="280"/>
      <c r="AU70" s="280"/>
      <c r="AV70" s="280"/>
      <c r="AW70" s="280"/>
      <c r="AX70" s="280"/>
      <c r="AY70" s="280"/>
      <c r="AZ70" s="280"/>
      <c r="BA70" s="280"/>
      <c r="BB70" s="280"/>
      <c r="BC70" s="280"/>
      <c r="BD70" s="280"/>
      <c r="BE70" s="281"/>
    </row>
    <row r="71" spans="1:57" ht="16.5" hidden="1" customHeight="1">
      <c r="A71" s="3"/>
      <c r="B71" s="280"/>
      <c r="C71" s="280"/>
      <c r="D71" s="280"/>
      <c r="E71" s="280"/>
      <c r="F71" s="280"/>
      <c r="G71" s="393"/>
      <c r="H71" s="280"/>
      <c r="I71" s="280"/>
      <c r="J71" s="280"/>
      <c r="K71" s="280"/>
      <c r="L71" s="280"/>
      <c r="M71" s="280"/>
      <c r="N71" s="280"/>
      <c r="O71" s="280"/>
      <c r="P71" s="280"/>
      <c r="Q71" s="280"/>
      <c r="R71" s="280"/>
      <c r="S71" s="280"/>
      <c r="T71" s="280"/>
      <c r="U71" s="280"/>
      <c r="V71" s="280"/>
      <c r="W71" s="280"/>
      <c r="X71" s="280"/>
      <c r="Y71" s="280"/>
      <c r="Z71" s="280"/>
      <c r="AA71" s="280"/>
      <c r="AB71" s="280"/>
      <c r="AC71" s="280"/>
      <c r="AD71" s="280"/>
      <c r="AE71" s="280"/>
      <c r="AF71" s="280"/>
      <c r="AG71" s="280"/>
      <c r="AH71" s="280"/>
      <c r="AI71" s="280"/>
      <c r="AJ71" s="280"/>
      <c r="AK71" s="280"/>
      <c r="AL71" s="280"/>
      <c r="AM71" s="280"/>
      <c r="AN71" s="280"/>
      <c r="AO71" s="280"/>
      <c r="AP71" s="280"/>
      <c r="AQ71" s="280"/>
      <c r="AR71" s="280"/>
      <c r="AS71" s="280"/>
      <c r="AT71" s="280"/>
      <c r="AU71" s="280"/>
      <c r="AV71" s="280"/>
      <c r="AW71" s="280"/>
      <c r="AX71" s="280"/>
      <c r="AY71" s="280"/>
      <c r="AZ71" s="280"/>
      <c r="BA71" s="280"/>
      <c r="BB71" s="280"/>
      <c r="BC71" s="280"/>
      <c r="BD71" s="280"/>
      <c r="BE71" s="281"/>
    </row>
    <row r="72" spans="1:57" ht="16.5" hidden="1" customHeight="1">
      <c r="A72" s="3"/>
      <c r="B72" s="280"/>
      <c r="C72" s="280"/>
      <c r="D72" s="280"/>
      <c r="E72" s="280"/>
      <c r="F72" s="280"/>
      <c r="G72" s="393"/>
      <c r="H72" s="280"/>
      <c r="I72" s="280"/>
      <c r="J72" s="280"/>
      <c r="K72" s="280"/>
      <c r="L72" s="280"/>
      <c r="M72" s="280"/>
      <c r="N72" s="280"/>
      <c r="O72" s="280"/>
      <c r="P72" s="280"/>
      <c r="Q72" s="280"/>
      <c r="R72" s="280"/>
      <c r="S72" s="280"/>
      <c r="T72" s="280"/>
      <c r="U72" s="280"/>
      <c r="V72" s="280"/>
      <c r="W72" s="280"/>
      <c r="X72" s="280"/>
      <c r="Y72" s="280"/>
      <c r="Z72" s="280"/>
      <c r="AA72" s="280"/>
      <c r="AB72" s="280"/>
      <c r="AC72" s="280"/>
      <c r="AD72" s="280"/>
      <c r="AE72" s="280"/>
      <c r="AF72" s="280"/>
      <c r="AG72" s="280"/>
      <c r="AH72" s="280"/>
      <c r="AI72" s="280"/>
      <c r="AJ72" s="280"/>
      <c r="AK72" s="280"/>
      <c r="AL72" s="280"/>
      <c r="AM72" s="280"/>
      <c r="AN72" s="280"/>
      <c r="AO72" s="280"/>
      <c r="AP72" s="280"/>
      <c r="AQ72" s="280"/>
      <c r="AR72" s="280"/>
      <c r="AS72" s="280"/>
      <c r="AT72" s="280"/>
      <c r="AU72" s="280"/>
      <c r="AV72" s="280"/>
      <c r="AW72" s="280"/>
      <c r="AX72" s="280"/>
      <c r="AY72" s="280"/>
      <c r="AZ72" s="280"/>
      <c r="BA72" s="280"/>
      <c r="BB72" s="280"/>
      <c r="BC72" s="280"/>
      <c r="BD72" s="280"/>
      <c r="BE72" s="281"/>
    </row>
    <row r="73" spans="1:57" ht="16.5" hidden="1" customHeight="1">
      <c r="A73" s="3"/>
      <c r="B73" s="280"/>
      <c r="C73" s="280"/>
      <c r="D73" s="280"/>
      <c r="E73" s="280"/>
      <c r="F73" s="280"/>
      <c r="G73" s="393"/>
      <c r="H73" s="280"/>
      <c r="I73" s="280"/>
      <c r="J73" s="280"/>
      <c r="K73" s="280"/>
      <c r="L73" s="280"/>
      <c r="M73" s="280"/>
      <c r="N73" s="280"/>
      <c r="O73" s="280"/>
      <c r="P73" s="280"/>
      <c r="Q73" s="280"/>
      <c r="R73" s="280"/>
      <c r="S73" s="280"/>
      <c r="T73" s="280"/>
      <c r="U73" s="280"/>
      <c r="V73" s="280"/>
      <c r="W73" s="280"/>
      <c r="X73" s="280"/>
      <c r="Y73" s="280"/>
      <c r="Z73" s="280"/>
      <c r="AA73" s="280"/>
      <c r="AB73" s="280"/>
      <c r="AC73" s="280"/>
      <c r="AD73" s="280"/>
      <c r="AE73" s="280"/>
      <c r="AF73" s="280"/>
      <c r="AG73" s="280"/>
      <c r="AH73" s="280"/>
      <c r="AI73" s="280"/>
      <c r="AJ73" s="280"/>
      <c r="AK73" s="280"/>
      <c r="AL73" s="280"/>
      <c r="AM73" s="280"/>
      <c r="AN73" s="280"/>
      <c r="AO73" s="280"/>
      <c r="AP73" s="280"/>
      <c r="AQ73" s="280"/>
      <c r="AR73" s="280"/>
      <c r="AS73" s="280"/>
      <c r="AT73" s="280"/>
      <c r="AU73" s="280"/>
      <c r="AV73" s="280"/>
      <c r="AW73" s="280"/>
      <c r="AX73" s="280"/>
      <c r="AY73" s="280"/>
      <c r="AZ73" s="280"/>
      <c r="BA73" s="280"/>
      <c r="BB73" s="280"/>
      <c r="BC73" s="280"/>
      <c r="BD73" s="280"/>
      <c r="BE73" s="281"/>
    </row>
    <row r="74" spans="1:57" ht="16.5" hidden="1" customHeight="1">
      <c r="A74" s="3"/>
      <c r="B74" s="280"/>
      <c r="C74" s="280"/>
      <c r="D74" s="280"/>
      <c r="E74" s="280"/>
      <c r="F74" s="280"/>
      <c r="G74" s="393"/>
      <c r="H74" s="280"/>
      <c r="I74" s="280"/>
      <c r="J74" s="280"/>
      <c r="K74" s="280"/>
      <c r="L74" s="280"/>
      <c r="M74" s="280"/>
      <c r="N74" s="280"/>
      <c r="O74" s="280"/>
      <c r="P74" s="280"/>
      <c r="Q74" s="280"/>
      <c r="R74" s="280"/>
      <c r="S74" s="280"/>
      <c r="T74" s="280"/>
      <c r="U74" s="280"/>
      <c r="V74" s="280"/>
      <c r="W74" s="280"/>
      <c r="X74" s="280"/>
      <c r="Y74" s="280"/>
      <c r="Z74" s="280"/>
      <c r="AA74" s="280"/>
      <c r="AB74" s="280"/>
      <c r="AC74" s="280"/>
      <c r="AD74" s="280"/>
      <c r="AE74" s="280"/>
      <c r="AF74" s="280"/>
      <c r="AG74" s="280"/>
      <c r="AH74" s="280"/>
      <c r="AI74" s="280"/>
      <c r="AJ74" s="280"/>
      <c r="AK74" s="280"/>
      <c r="AL74" s="280"/>
      <c r="AM74" s="280"/>
      <c r="AN74" s="280"/>
      <c r="AO74" s="280"/>
      <c r="AP74" s="280"/>
      <c r="AQ74" s="280"/>
      <c r="AR74" s="280"/>
      <c r="AS74" s="280"/>
      <c r="AT74" s="280"/>
      <c r="AU74" s="280"/>
      <c r="AV74" s="280"/>
      <c r="AW74" s="280"/>
      <c r="AX74" s="280"/>
      <c r="AY74" s="280"/>
      <c r="AZ74" s="280"/>
      <c r="BA74" s="280"/>
      <c r="BB74" s="280"/>
      <c r="BC74" s="280"/>
      <c r="BD74" s="280"/>
      <c r="BE74" s="281"/>
    </row>
    <row r="75" spans="1:57" ht="16.5" hidden="1" customHeight="1">
      <c r="A75" s="3"/>
      <c r="B75" s="280"/>
      <c r="C75" s="280"/>
      <c r="D75" s="280"/>
      <c r="E75" s="280"/>
      <c r="F75" s="280"/>
      <c r="G75" s="393"/>
      <c r="H75" s="280"/>
      <c r="I75" s="280"/>
      <c r="J75" s="280"/>
      <c r="K75" s="280"/>
      <c r="L75" s="280"/>
      <c r="M75" s="280"/>
      <c r="N75" s="280"/>
      <c r="O75" s="280"/>
      <c r="P75" s="280"/>
      <c r="Q75" s="280"/>
      <c r="R75" s="280"/>
      <c r="S75" s="280"/>
      <c r="T75" s="280"/>
      <c r="U75" s="280"/>
      <c r="V75" s="280"/>
      <c r="W75" s="280"/>
      <c r="X75" s="280"/>
      <c r="Y75" s="280"/>
      <c r="Z75" s="280"/>
      <c r="AA75" s="280"/>
      <c r="AB75" s="280"/>
      <c r="AC75" s="280"/>
      <c r="AD75" s="280"/>
      <c r="AE75" s="280"/>
      <c r="AF75" s="280"/>
      <c r="AG75" s="280"/>
      <c r="AH75" s="280"/>
      <c r="AI75" s="280"/>
      <c r="AJ75" s="280"/>
      <c r="AK75" s="280"/>
      <c r="AL75" s="280"/>
      <c r="AM75" s="280"/>
      <c r="AN75" s="280"/>
      <c r="AO75" s="280"/>
      <c r="AP75" s="280"/>
      <c r="AQ75" s="280"/>
      <c r="AR75" s="280"/>
      <c r="AS75" s="280"/>
      <c r="AT75" s="280"/>
      <c r="AU75" s="280"/>
      <c r="AV75" s="280"/>
      <c r="AW75" s="280"/>
      <c r="AX75" s="280"/>
      <c r="AY75" s="280"/>
      <c r="AZ75" s="280"/>
      <c r="BA75" s="280"/>
      <c r="BB75" s="280"/>
      <c r="BC75" s="280"/>
      <c r="BD75" s="280"/>
      <c r="BE75" s="281"/>
    </row>
    <row r="76" spans="1:57" ht="16.5" hidden="1" customHeight="1">
      <c r="A76" s="3"/>
      <c r="B76" s="280"/>
      <c r="C76" s="280"/>
      <c r="D76" s="280"/>
      <c r="E76" s="280"/>
      <c r="F76" s="280"/>
      <c r="G76" s="393"/>
      <c r="H76" s="280"/>
      <c r="I76" s="280"/>
      <c r="J76" s="280"/>
      <c r="K76" s="280"/>
      <c r="L76" s="280"/>
      <c r="M76" s="280"/>
      <c r="N76" s="280"/>
      <c r="O76" s="280"/>
      <c r="P76" s="280"/>
      <c r="Q76" s="280"/>
      <c r="R76" s="280"/>
      <c r="S76" s="280"/>
      <c r="T76" s="280"/>
      <c r="U76" s="280"/>
      <c r="V76" s="280"/>
      <c r="W76" s="280"/>
      <c r="X76" s="280"/>
      <c r="Y76" s="280"/>
      <c r="Z76" s="280"/>
      <c r="AA76" s="280"/>
      <c r="AB76" s="280"/>
      <c r="AC76" s="280"/>
      <c r="AD76" s="280"/>
      <c r="AE76" s="280"/>
      <c r="AF76" s="280"/>
      <c r="AG76" s="280"/>
      <c r="AH76" s="280"/>
      <c r="AI76" s="280"/>
      <c r="AJ76" s="280"/>
      <c r="AK76" s="280"/>
      <c r="AL76" s="280"/>
      <c r="AM76" s="280"/>
      <c r="AN76" s="280"/>
      <c r="AO76" s="280"/>
      <c r="AP76" s="280"/>
      <c r="AQ76" s="280"/>
      <c r="AR76" s="280"/>
      <c r="AS76" s="280"/>
      <c r="AT76" s="280"/>
      <c r="AU76" s="280"/>
      <c r="AV76" s="280"/>
      <c r="AW76" s="280"/>
      <c r="AX76" s="280"/>
      <c r="AY76" s="280"/>
      <c r="AZ76" s="280"/>
      <c r="BA76" s="280"/>
      <c r="BB76" s="280"/>
      <c r="BC76" s="280"/>
      <c r="BD76" s="280"/>
      <c r="BE76" s="281"/>
    </row>
    <row r="77" spans="1:57" ht="16.5" hidden="1" customHeight="1">
      <c r="A77" s="3"/>
      <c r="B77" s="280"/>
      <c r="C77" s="280"/>
      <c r="D77" s="280"/>
      <c r="E77" s="280"/>
      <c r="F77" s="280"/>
      <c r="G77" s="393"/>
      <c r="H77" s="280"/>
      <c r="I77" s="280"/>
      <c r="J77" s="280"/>
      <c r="K77" s="280"/>
      <c r="L77" s="280"/>
      <c r="M77" s="280"/>
      <c r="N77" s="280"/>
      <c r="O77" s="280"/>
      <c r="P77" s="280"/>
      <c r="Q77" s="280"/>
      <c r="R77" s="280"/>
      <c r="S77" s="280"/>
      <c r="T77" s="280"/>
      <c r="U77" s="280"/>
      <c r="V77" s="280"/>
      <c r="W77" s="280"/>
      <c r="X77" s="280"/>
      <c r="Y77" s="280"/>
      <c r="Z77" s="280"/>
      <c r="AA77" s="280"/>
      <c r="AB77" s="280"/>
      <c r="AC77" s="280"/>
      <c r="AD77" s="280"/>
      <c r="AE77" s="280"/>
      <c r="AF77" s="280"/>
      <c r="AG77" s="280"/>
      <c r="AH77" s="280"/>
      <c r="AI77" s="280"/>
      <c r="AJ77" s="280"/>
      <c r="AK77" s="280"/>
      <c r="AL77" s="280"/>
      <c r="AM77" s="280"/>
      <c r="AN77" s="280"/>
      <c r="AO77" s="280"/>
      <c r="AP77" s="280"/>
      <c r="AQ77" s="280"/>
      <c r="AR77" s="280"/>
      <c r="AS77" s="280"/>
      <c r="AT77" s="280"/>
      <c r="AU77" s="280"/>
      <c r="AV77" s="280"/>
      <c r="AW77" s="280"/>
      <c r="AX77" s="280"/>
      <c r="AY77" s="280"/>
      <c r="AZ77" s="280"/>
      <c r="BA77" s="280"/>
      <c r="BB77" s="280"/>
      <c r="BC77" s="280"/>
      <c r="BD77" s="280"/>
      <c r="BE77" s="281"/>
    </row>
    <row r="78" spans="1:57" ht="16.5" hidden="1" customHeight="1">
      <c r="A78" s="3"/>
      <c r="B78" s="280"/>
      <c r="C78" s="280"/>
      <c r="D78" s="280"/>
      <c r="E78" s="280"/>
      <c r="F78" s="280"/>
      <c r="G78" s="393"/>
      <c r="H78" s="280"/>
      <c r="I78" s="280"/>
      <c r="J78" s="280"/>
      <c r="K78" s="280"/>
      <c r="L78" s="280"/>
      <c r="M78" s="280"/>
      <c r="N78" s="280"/>
      <c r="O78" s="280"/>
      <c r="P78" s="280"/>
      <c r="Q78" s="280"/>
      <c r="R78" s="280"/>
      <c r="S78" s="280"/>
      <c r="T78" s="280"/>
      <c r="U78" s="280"/>
      <c r="V78" s="280"/>
      <c r="W78" s="280"/>
      <c r="X78" s="280"/>
      <c r="Y78" s="280"/>
      <c r="Z78" s="280"/>
      <c r="AA78" s="280"/>
      <c r="AB78" s="280"/>
      <c r="AC78" s="280"/>
      <c r="AD78" s="280"/>
      <c r="AE78" s="280"/>
      <c r="AF78" s="280"/>
      <c r="AG78" s="280"/>
      <c r="AH78" s="280"/>
      <c r="AI78" s="280"/>
      <c r="AJ78" s="280"/>
      <c r="AK78" s="280"/>
      <c r="AL78" s="280"/>
      <c r="AM78" s="280"/>
      <c r="AN78" s="280"/>
      <c r="AO78" s="280"/>
      <c r="AP78" s="280"/>
      <c r="AQ78" s="280"/>
      <c r="AR78" s="280"/>
      <c r="AS78" s="280"/>
      <c r="AT78" s="280"/>
      <c r="AU78" s="280"/>
      <c r="AV78" s="280"/>
      <c r="AW78" s="280"/>
      <c r="AX78" s="280"/>
      <c r="AY78" s="280"/>
      <c r="AZ78" s="280"/>
      <c r="BA78" s="280"/>
      <c r="BB78" s="280"/>
      <c r="BC78" s="280"/>
      <c r="BD78" s="280"/>
      <c r="BE78" s="281"/>
    </row>
    <row r="79" spans="1:57" ht="16.5" hidden="1" customHeight="1">
      <c r="A79" s="3"/>
      <c r="B79" s="280"/>
      <c r="C79" s="280"/>
      <c r="D79" s="280"/>
      <c r="E79" s="280"/>
      <c r="F79" s="280"/>
      <c r="G79" s="393"/>
      <c r="H79" s="280"/>
      <c r="I79" s="280"/>
      <c r="J79" s="280"/>
      <c r="K79" s="280"/>
      <c r="L79" s="280"/>
      <c r="M79" s="280"/>
      <c r="N79" s="280"/>
      <c r="O79" s="280"/>
      <c r="P79" s="280"/>
      <c r="Q79" s="280"/>
      <c r="R79" s="280"/>
      <c r="S79" s="280"/>
      <c r="T79" s="280"/>
      <c r="U79" s="280"/>
      <c r="V79" s="280"/>
      <c r="W79" s="280"/>
      <c r="X79" s="280"/>
      <c r="Y79" s="280"/>
      <c r="Z79" s="280"/>
      <c r="AA79" s="280"/>
      <c r="AB79" s="280"/>
      <c r="AC79" s="280"/>
      <c r="AD79" s="280"/>
      <c r="AE79" s="280"/>
      <c r="AF79" s="280"/>
      <c r="AG79" s="280"/>
      <c r="AH79" s="280"/>
      <c r="AI79" s="280"/>
      <c r="AJ79" s="280"/>
      <c r="AK79" s="280"/>
      <c r="AL79" s="280"/>
      <c r="AM79" s="280"/>
      <c r="AN79" s="280"/>
      <c r="AO79" s="280"/>
      <c r="AP79" s="280"/>
      <c r="AQ79" s="280"/>
      <c r="AR79" s="280"/>
      <c r="AS79" s="280"/>
      <c r="AT79" s="280"/>
      <c r="AU79" s="280"/>
      <c r="AV79" s="280"/>
      <c r="AW79" s="280"/>
      <c r="AX79" s="280"/>
      <c r="AY79" s="280"/>
      <c r="AZ79" s="280"/>
      <c r="BA79" s="280"/>
      <c r="BB79" s="280"/>
      <c r="BC79" s="280"/>
      <c r="BD79" s="280"/>
      <c r="BE79" s="281"/>
    </row>
    <row r="80" spans="1:57" ht="16.5" hidden="1" customHeight="1">
      <c r="A80" s="3"/>
      <c r="B80" s="280"/>
      <c r="C80" s="280"/>
      <c r="D80" s="280"/>
      <c r="E80" s="280"/>
      <c r="F80" s="280"/>
      <c r="G80" s="393"/>
      <c r="H80" s="280"/>
      <c r="I80" s="280"/>
      <c r="J80" s="280"/>
      <c r="K80" s="280"/>
      <c r="L80" s="280"/>
      <c r="M80" s="280"/>
      <c r="N80" s="280"/>
      <c r="O80" s="280"/>
      <c r="P80" s="280"/>
      <c r="Q80" s="280"/>
      <c r="R80" s="280"/>
      <c r="S80" s="280"/>
      <c r="T80" s="280"/>
      <c r="U80" s="280"/>
      <c r="V80" s="280"/>
      <c r="W80" s="280"/>
      <c r="X80" s="280"/>
      <c r="Y80" s="280"/>
      <c r="Z80" s="280"/>
      <c r="AA80" s="280"/>
      <c r="AB80" s="280"/>
      <c r="AC80" s="280"/>
      <c r="AD80" s="280"/>
      <c r="AE80" s="280"/>
      <c r="AF80" s="280"/>
      <c r="AG80" s="280"/>
      <c r="AH80" s="280"/>
      <c r="AI80" s="280"/>
      <c r="AJ80" s="280"/>
      <c r="AK80" s="280"/>
      <c r="AL80" s="280"/>
      <c r="AM80" s="280"/>
      <c r="AN80" s="280"/>
      <c r="AO80" s="280"/>
      <c r="AP80" s="280"/>
      <c r="AQ80" s="280"/>
      <c r="AR80" s="280"/>
      <c r="AS80" s="280"/>
      <c r="AT80" s="280"/>
      <c r="AU80" s="280"/>
      <c r="AV80" s="280"/>
      <c r="AW80" s="280"/>
      <c r="AX80" s="280"/>
      <c r="AY80" s="280"/>
      <c r="AZ80" s="280"/>
      <c r="BA80" s="280"/>
      <c r="BB80" s="280"/>
      <c r="BC80" s="280"/>
      <c r="BD80" s="280"/>
      <c r="BE80" s="281"/>
    </row>
    <row r="81" spans="1:57" ht="16.5" hidden="1" customHeight="1">
      <c r="A81" s="3"/>
      <c r="B81" s="280"/>
      <c r="C81" s="280"/>
      <c r="D81" s="280"/>
      <c r="E81" s="280"/>
      <c r="F81" s="280"/>
      <c r="G81" s="393"/>
      <c r="H81" s="280"/>
      <c r="I81" s="280"/>
      <c r="J81" s="280"/>
      <c r="K81" s="280"/>
      <c r="L81" s="280"/>
      <c r="M81" s="280"/>
      <c r="N81" s="280"/>
      <c r="O81" s="280"/>
      <c r="P81" s="280"/>
      <c r="Q81" s="280"/>
      <c r="R81" s="280"/>
      <c r="S81" s="280"/>
      <c r="T81" s="280"/>
      <c r="U81" s="280"/>
      <c r="V81" s="280"/>
      <c r="W81" s="280"/>
      <c r="X81" s="280"/>
      <c r="Y81" s="280"/>
      <c r="Z81" s="280"/>
      <c r="AA81" s="280"/>
      <c r="AB81" s="280"/>
      <c r="AC81" s="280"/>
      <c r="AD81" s="280"/>
      <c r="AE81" s="280"/>
      <c r="AF81" s="280"/>
      <c r="AG81" s="280"/>
      <c r="AH81" s="280"/>
      <c r="AI81" s="280"/>
      <c r="AJ81" s="280"/>
      <c r="AK81" s="280"/>
      <c r="AL81" s="280"/>
      <c r="AM81" s="280"/>
      <c r="AN81" s="280"/>
      <c r="AO81" s="280"/>
      <c r="AP81" s="280"/>
      <c r="AQ81" s="280"/>
      <c r="AR81" s="280"/>
      <c r="AS81" s="280"/>
      <c r="AT81" s="280"/>
      <c r="AU81" s="280"/>
      <c r="AV81" s="280"/>
      <c r="AW81" s="280"/>
      <c r="AX81" s="280"/>
      <c r="AY81" s="280"/>
      <c r="AZ81" s="280"/>
      <c r="BA81" s="280"/>
      <c r="BB81" s="280"/>
      <c r="BC81" s="280"/>
      <c r="BD81" s="280"/>
      <c r="BE81" s="281"/>
    </row>
    <row r="82" spans="1:57" ht="16.5" hidden="1" customHeight="1">
      <c r="A82" s="3"/>
      <c r="B82" s="280"/>
      <c r="C82" s="280"/>
      <c r="D82" s="280"/>
      <c r="E82" s="280"/>
      <c r="F82" s="280"/>
      <c r="G82" s="393"/>
      <c r="H82" s="280"/>
      <c r="I82" s="280"/>
      <c r="J82" s="280"/>
      <c r="K82" s="280"/>
      <c r="L82" s="280"/>
      <c r="M82" s="280"/>
      <c r="N82" s="280"/>
      <c r="O82" s="280"/>
      <c r="P82" s="280"/>
      <c r="Q82" s="280"/>
      <c r="R82" s="280"/>
      <c r="S82" s="280"/>
      <c r="T82" s="280"/>
      <c r="U82" s="280"/>
      <c r="V82" s="280"/>
      <c r="W82" s="280"/>
      <c r="X82" s="280"/>
      <c r="Y82" s="280"/>
      <c r="Z82" s="280"/>
      <c r="AA82" s="280"/>
      <c r="AB82" s="280"/>
      <c r="AC82" s="280"/>
      <c r="AD82" s="280"/>
      <c r="AE82" s="280"/>
      <c r="AF82" s="280"/>
      <c r="AG82" s="280"/>
      <c r="AH82" s="280"/>
      <c r="AI82" s="280"/>
      <c r="AJ82" s="280"/>
      <c r="AK82" s="280"/>
      <c r="AL82" s="280"/>
      <c r="AM82" s="280"/>
      <c r="AN82" s="280"/>
      <c r="AO82" s="280"/>
      <c r="AP82" s="280"/>
      <c r="AQ82" s="280"/>
      <c r="AR82" s="280"/>
      <c r="AS82" s="280"/>
      <c r="AT82" s="280"/>
      <c r="AU82" s="280"/>
      <c r="AV82" s="280"/>
      <c r="AW82" s="280"/>
      <c r="AX82" s="280"/>
      <c r="AY82" s="280"/>
      <c r="AZ82" s="280"/>
      <c r="BA82" s="280"/>
      <c r="BB82" s="280"/>
      <c r="BC82" s="280"/>
      <c r="BD82" s="280"/>
      <c r="BE82" s="281"/>
    </row>
    <row r="83" spans="1:57" ht="16.5" hidden="1" customHeight="1">
      <c r="A83" s="3"/>
      <c r="B83" s="280"/>
      <c r="C83" s="280"/>
      <c r="D83" s="280"/>
      <c r="E83" s="280"/>
      <c r="F83" s="280"/>
      <c r="G83" s="393"/>
      <c r="H83" s="280"/>
      <c r="I83" s="280"/>
      <c r="J83" s="280"/>
      <c r="K83" s="280"/>
      <c r="L83" s="280"/>
      <c r="M83" s="280"/>
      <c r="N83" s="280"/>
      <c r="O83" s="280"/>
      <c r="P83" s="280"/>
      <c r="Q83" s="280"/>
      <c r="R83" s="280"/>
      <c r="S83" s="280"/>
      <c r="T83" s="280"/>
      <c r="U83" s="280"/>
      <c r="V83" s="280"/>
      <c r="W83" s="280"/>
      <c r="X83" s="280"/>
      <c r="Y83" s="280"/>
      <c r="Z83" s="280"/>
      <c r="AA83" s="280"/>
      <c r="AB83" s="280"/>
      <c r="AC83" s="280"/>
      <c r="AD83" s="280"/>
      <c r="AE83" s="280"/>
      <c r="AF83" s="280"/>
      <c r="AG83" s="280"/>
      <c r="AH83" s="280"/>
      <c r="AI83" s="280"/>
      <c r="AJ83" s="280"/>
      <c r="AK83" s="280"/>
      <c r="AL83" s="280"/>
      <c r="AM83" s="280"/>
      <c r="AN83" s="280"/>
      <c r="AO83" s="280"/>
      <c r="AP83" s="280"/>
      <c r="AQ83" s="280"/>
      <c r="AR83" s="280"/>
      <c r="AS83" s="280"/>
      <c r="AT83" s="280"/>
      <c r="AU83" s="280"/>
      <c r="AV83" s="280"/>
      <c r="AW83" s="280"/>
      <c r="AX83" s="280"/>
      <c r="AY83" s="280"/>
      <c r="AZ83" s="280"/>
      <c r="BA83" s="280"/>
      <c r="BB83" s="280"/>
      <c r="BC83" s="280"/>
      <c r="BD83" s="280"/>
      <c r="BE83" s="281"/>
    </row>
    <row r="84" spans="1:57" ht="16.5" hidden="1" customHeight="1">
      <c r="A84" s="3"/>
      <c r="B84" s="280"/>
      <c r="C84" s="280"/>
      <c r="D84" s="280"/>
      <c r="E84" s="280"/>
      <c r="F84" s="280"/>
      <c r="G84" s="393"/>
      <c r="H84" s="280"/>
      <c r="I84" s="280"/>
      <c r="J84" s="280"/>
      <c r="K84" s="280"/>
      <c r="L84" s="280"/>
      <c r="M84" s="280"/>
      <c r="N84" s="280"/>
      <c r="O84" s="280"/>
      <c r="P84" s="280"/>
      <c r="Q84" s="280"/>
      <c r="R84" s="280"/>
      <c r="S84" s="280"/>
      <c r="T84" s="280"/>
      <c r="U84" s="280"/>
      <c r="V84" s="280"/>
      <c r="W84" s="280"/>
      <c r="X84" s="280"/>
      <c r="Y84" s="280"/>
      <c r="Z84" s="280"/>
      <c r="AA84" s="280"/>
      <c r="AB84" s="280"/>
      <c r="AC84" s="280"/>
      <c r="AD84" s="280"/>
      <c r="AE84" s="280"/>
      <c r="AF84" s="280"/>
      <c r="AG84" s="280"/>
      <c r="AH84" s="280"/>
      <c r="AI84" s="280"/>
      <c r="AJ84" s="280"/>
      <c r="AK84" s="280"/>
      <c r="AL84" s="280"/>
      <c r="AM84" s="280"/>
      <c r="AN84" s="280"/>
      <c r="AO84" s="280"/>
      <c r="AP84" s="280"/>
      <c r="AQ84" s="280"/>
      <c r="AR84" s="280"/>
      <c r="AS84" s="280"/>
      <c r="AT84" s="280"/>
      <c r="AU84" s="280"/>
      <c r="AV84" s="280"/>
      <c r="AW84" s="280"/>
      <c r="AX84" s="280"/>
      <c r="AY84" s="280"/>
      <c r="AZ84" s="280"/>
      <c r="BA84" s="280"/>
      <c r="BB84" s="280"/>
      <c r="BC84" s="280"/>
      <c r="BD84" s="280"/>
      <c r="BE84" s="281"/>
    </row>
    <row r="85" spans="1:57" ht="16.5" hidden="1" customHeight="1">
      <c r="A85" s="3"/>
      <c r="B85" s="280"/>
      <c r="C85" s="280"/>
      <c r="D85" s="280"/>
      <c r="E85" s="280"/>
      <c r="F85" s="280"/>
      <c r="G85" s="393"/>
      <c r="H85" s="280"/>
      <c r="I85" s="280"/>
      <c r="J85" s="280"/>
      <c r="K85" s="280"/>
      <c r="L85" s="280"/>
      <c r="M85" s="280"/>
      <c r="N85" s="280"/>
      <c r="O85" s="280"/>
      <c r="P85" s="280"/>
      <c r="Q85" s="280"/>
      <c r="R85" s="280"/>
      <c r="S85" s="280"/>
      <c r="T85" s="280"/>
      <c r="U85" s="280"/>
      <c r="V85" s="280"/>
      <c r="W85" s="280"/>
      <c r="X85" s="280"/>
      <c r="Y85" s="280"/>
      <c r="Z85" s="280"/>
      <c r="AA85" s="280"/>
      <c r="AB85" s="280"/>
      <c r="AC85" s="280"/>
      <c r="AD85" s="280"/>
      <c r="AE85" s="280"/>
      <c r="AF85" s="280"/>
      <c r="AG85" s="280"/>
      <c r="AH85" s="280"/>
      <c r="AI85" s="280"/>
      <c r="AJ85" s="280"/>
      <c r="AK85" s="280"/>
      <c r="AL85" s="280"/>
      <c r="AM85" s="280"/>
      <c r="AN85" s="280"/>
      <c r="AO85" s="280"/>
      <c r="AP85" s="280"/>
      <c r="AQ85" s="280"/>
      <c r="AR85" s="280"/>
      <c r="AS85" s="280"/>
      <c r="AT85" s="280"/>
      <c r="AU85" s="280"/>
      <c r="AV85" s="280"/>
      <c r="AW85" s="280"/>
      <c r="AX85" s="280"/>
      <c r="AY85" s="280"/>
      <c r="AZ85" s="280"/>
      <c r="BA85" s="280"/>
      <c r="BB85" s="280"/>
      <c r="BC85" s="280"/>
      <c r="BD85" s="280"/>
      <c r="BE85" s="281"/>
    </row>
    <row r="86" spans="1:57" ht="16.5" hidden="1" customHeight="1">
      <c r="A86" s="3"/>
      <c r="B86" s="280"/>
      <c r="C86" s="280"/>
      <c r="D86" s="280"/>
      <c r="E86" s="280"/>
      <c r="F86" s="280"/>
      <c r="G86" s="393"/>
      <c r="H86" s="280"/>
      <c r="I86" s="280"/>
      <c r="J86" s="280"/>
      <c r="K86" s="280"/>
      <c r="L86" s="280"/>
      <c r="M86" s="280"/>
      <c r="N86" s="280"/>
      <c r="O86" s="280"/>
      <c r="P86" s="280"/>
      <c r="Q86" s="280"/>
      <c r="R86" s="280"/>
      <c r="S86" s="280"/>
      <c r="T86" s="280"/>
      <c r="U86" s="280"/>
      <c r="V86" s="280"/>
      <c r="W86" s="280"/>
      <c r="X86" s="280"/>
      <c r="Y86" s="280"/>
      <c r="Z86" s="280"/>
      <c r="AA86" s="280"/>
      <c r="AB86" s="280"/>
      <c r="AC86" s="280"/>
      <c r="AD86" s="280"/>
      <c r="AE86" s="280"/>
      <c r="AF86" s="280"/>
      <c r="AG86" s="280"/>
      <c r="AH86" s="280"/>
      <c r="AI86" s="280"/>
      <c r="AJ86" s="280"/>
      <c r="AK86" s="280"/>
      <c r="AL86" s="280"/>
      <c r="AM86" s="280"/>
      <c r="AN86" s="280"/>
      <c r="AO86" s="280"/>
      <c r="AP86" s="280"/>
      <c r="AQ86" s="280"/>
      <c r="AR86" s="280"/>
      <c r="AS86" s="280"/>
      <c r="AT86" s="280"/>
      <c r="AU86" s="280"/>
      <c r="AV86" s="280"/>
      <c r="AW86" s="280"/>
      <c r="AX86" s="280"/>
      <c r="AY86" s="280"/>
      <c r="AZ86" s="280"/>
      <c r="BA86" s="280"/>
      <c r="BB86" s="280"/>
      <c r="BC86" s="280"/>
      <c r="BD86" s="280"/>
      <c r="BE86" s="281"/>
    </row>
    <row r="87" spans="1:57" ht="16.5" hidden="1" customHeight="1">
      <c r="A87" s="3"/>
      <c r="B87" s="280"/>
      <c r="C87" s="280"/>
      <c r="D87" s="280"/>
      <c r="E87" s="280"/>
      <c r="F87" s="280"/>
      <c r="G87" s="393"/>
      <c r="H87" s="280"/>
      <c r="I87" s="280"/>
      <c r="J87" s="280"/>
      <c r="K87" s="280"/>
      <c r="L87" s="280"/>
      <c r="M87" s="280"/>
      <c r="N87" s="280"/>
      <c r="O87" s="280"/>
      <c r="P87" s="280"/>
      <c r="Q87" s="280"/>
      <c r="R87" s="280"/>
      <c r="S87" s="280"/>
      <c r="T87" s="280"/>
      <c r="U87" s="280"/>
      <c r="V87" s="280"/>
      <c r="W87" s="280"/>
      <c r="X87" s="280"/>
      <c r="Y87" s="280"/>
      <c r="Z87" s="280"/>
      <c r="AA87" s="280"/>
      <c r="AB87" s="280"/>
      <c r="AC87" s="280"/>
      <c r="AD87" s="280"/>
      <c r="AE87" s="280"/>
      <c r="AF87" s="280"/>
      <c r="AG87" s="280"/>
      <c r="AH87" s="280"/>
      <c r="AI87" s="280"/>
      <c r="AJ87" s="280"/>
      <c r="AK87" s="280"/>
      <c r="AL87" s="280"/>
      <c r="AM87" s="280"/>
      <c r="AN87" s="280"/>
      <c r="AO87" s="280"/>
      <c r="AP87" s="280"/>
      <c r="AQ87" s="280"/>
      <c r="AR87" s="280"/>
      <c r="AS87" s="280"/>
      <c r="AT87" s="280"/>
      <c r="AU87" s="280"/>
      <c r="AV87" s="280"/>
      <c r="AW87" s="280"/>
      <c r="AX87" s="280"/>
      <c r="AY87" s="280"/>
      <c r="AZ87" s="280"/>
      <c r="BA87" s="280"/>
      <c r="BB87" s="280"/>
      <c r="BC87" s="280"/>
      <c r="BD87" s="280"/>
      <c r="BE87" s="281"/>
    </row>
    <row r="88" spans="1:57" ht="16.5" hidden="1" customHeight="1">
      <c r="A88" s="3"/>
      <c r="B88" s="280"/>
      <c r="C88" s="280"/>
      <c r="D88" s="280"/>
      <c r="E88" s="280"/>
      <c r="F88" s="280"/>
      <c r="G88" s="393"/>
      <c r="H88" s="280"/>
      <c r="I88" s="280"/>
      <c r="J88" s="280"/>
      <c r="K88" s="280"/>
      <c r="L88" s="280"/>
      <c r="M88" s="280"/>
      <c r="N88" s="280"/>
      <c r="O88" s="280"/>
      <c r="P88" s="280"/>
      <c r="Q88" s="280"/>
      <c r="R88" s="280"/>
      <c r="S88" s="280"/>
      <c r="T88" s="280"/>
      <c r="U88" s="280"/>
      <c r="V88" s="280"/>
      <c r="W88" s="280"/>
      <c r="X88" s="280"/>
      <c r="Y88" s="280"/>
      <c r="Z88" s="280"/>
      <c r="AA88" s="280"/>
      <c r="AB88" s="280"/>
      <c r="AC88" s="280"/>
      <c r="AD88" s="280"/>
      <c r="AE88" s="280"/>
      <c r="AF88" s="280"/>
      <c r="AG88" s="280"/>
      <c r="AH88" s="280"/>
      <c r="AI88" s="280"/>
      <c r="AJ88" s="280"/>
      <c r="AK88" s="280"/>
      <c r="AL88" s="280"/>
      <c r="AM88" s="280"/>
      <c r="AN88" s="280"/>
      <c r="AO88" s="280"/>
      <c r="AP88" s="280"/>
      <c r="AQ88" s="280"/>
      <c r="AR88" s="280"/>
      <c r="AS88" s="280"/>
      <c r="AT88" s="280"/>
      <c r="AU88" s="280"/>
      <c r="AV88" s="280"/>
      <c r="AW88" s="280"/>
      <c r="AX88" s="280"/>
      <c r="AY88" s="280"/>
      <c r="AZ88" s="280"/>
      <c r="BA88" s="280"/>
      <c r="BB88" s="280"/>
      <c r="BC88" s="280"/>
      <c r="BD88" s="280"/>
      <c r="BE88" s="281"/>
    </row>
    <row r="89" spans="1:57" ht="16.5" hidden="1" customHeight="1">
      <c r="A89" s="3"/>
      <c r="B89" s="280"/>
      <c r="C89" s="280"/>
      <c r="D89" s="280"/>
      <c r="E89" s="280"/>
      <c r="F89" s="280"/>
      <c r="G89" s="393"/>
      <c r="H89" s="280"/>
      <c r="I89" s="280"/>
      <c r="J89" s="280"/>
      <c r="K89" s="280"/>
      <c r="L89" s="280"/>
      <c r="M89" s="280"/>
      <c r="N89" s="280"/>
      <c r="O89" s="280"/>
      <c r="P89" s="280"/>
      <c r="Q89" s="280"/>
      <c r="R89" s="280"/>
      <c r="S89" s="280"/>
      <c r="T89" s="280"/>
      <c r="U89" s="280"/>
      <c r="V89" s="280"/>
      <c r="W89" s="280"/>
      <c r="X89" s="280"/>
      <c r="Y89" s="280"/>
      <c r="Z89" s="280"/>
      <c r="AA89" s="280"/>
      <c r="AB89" s="280"/>
      <c r="AC89" s="280"/>
      <c r="AD89" s="280"/>
      <c r="AE89" s="280"/>
      <c r="AF89" s="280"/>
      <c r="AG89" s="280"/>
      <c r="AH89" s="280"/>
      <c r="AI89" s="280"/>
      <c r="AJ89" s="280"/>
      <c r="AK89" s="280"/>
      <c r="AL89" s="280"/>
      <c r="AM89" s="280"/>
      <c r="AN89" s="280"/>
      <c r="AO89" s="280"/>
      <c r="AP89" s="280"/>
      <c r="AQ89" s="280"/>
      <c r="AR89" s="280"/>
      <c r="AS89" s="280"/>
      <c r="AT89" s="280"/>
      <c r="AU89" s="280"/>
      <c r="AV89" s="280"/>
      <c r="AW89" s="280"/>
      <c r="AX89" s="280"/>
      <c r="AY89" s="280"/>
      <c r="AZ89" s="280"/>
      <c r="BA89" s="280"/>
      <c r="BB89" s="280"/>
      <c r="BC89" s="280"/>
      <c r="BD89" s="280"/>
      <c r="BE89" s="281"/>
    </row>
    <row r="90" spans="1:57" ht="16.5" customHeight="1">
      <c r="A90" s="3"/>
      <c r="B90" s="280"/>
      <c r="C90" s="280"/>
      <c r="D90" s="280"/>
      <c r="E90" s="280"/>
      <c r="F90" s="280"/>
      <c r="G90" s="280"/>
      <c r="H90" s="280"/>
      <c r="I90" s="280"/>
      <c r="J90" s="280"/>
      <c r="K90" s="280"/>
      <c r="L90" s="280"/>
      <c r="M90" s="280"/>
      <c r="N90" s="280"/>
      <c r="O90" s="280"/>
      <c r="P90" s="280"/>
      <c r="Q90" s="280"/>
      <c r="R90" s="280"/>
      <c r="S90" s="280"/>
      <c r="T90" s="280"/>
      <c r="U90" s="280"/>
      <c r="V90" s="280"/>
      <c r="W90" s="280"/>
      <c r="X90" s="280"/>
      <c r="Y90" s="280"/>
      <c r="Z90" s="280"/>
      <c r="AA90" s="280"/>
      <c r="AB90" s="280"/>
      <c r="AC90" s="280"/>
      <c r="AD90" s="280"/>
      <c r="AE90" s="280"/>
      <c r="AF90" s="280"/>
      <c r="AG90" s="280"/>
      <c r="AH90" s="280"/>
      <c r="AI90" s="280"/>
      <c r="AJ90" s="280"/>
      <c r="AK90" s="280"/>
      <c r="AL90" s="280"/>
      <c r="AM90" s="280"/>
      <c r="AN90" s="280"/>
      <c r="AO90" s="280"/>
      <c r="AP90" s="280"/>
      <c r="AQ90" s="280"/>
      <c r="AR90" s="280"/>
      <c r="AS90" s="280"/>
      <c r="AT90" s="280"/>
      <c r="AU90" s="280"/>
      <c r="AV90" s="280"/>
      <c r="AW90" s="280"/>
      <c r="AX90" s="280"/>
      <c r="AY90" s="280"/>
      <c r="AZ90" s="280"/>
      <c r="BA90" s="280"/>
      <c r="BB90" s="280"/>
      <c r="BC90" s="280"/>
      <c r="BD90" s="280"/>
      <c r="BE90" s="281"/>
    </row>
    <row r="91" spans="1:57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 spans="1:57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 spans="1:57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 spans="1:57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 spans="1:57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 spans="1:57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 spans="1:56" ht="16.5" hidden="1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 spans="1:56" ht="16.5" hidden="1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 spans="1:56" ht="16.5" hidden="1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 spans="1:56" ht="16.5" hidden="1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 spans="1:56" ht="16.5" hidden="1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 spans="1:56" ht="16.5" hidden="1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 spans="1:56" ht="16.5" hidden="1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 spans="1:56" ht="16.5" hidden="1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 spans="1:56" ht="16.5" hidden="1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 spans="1:56" ht="16.5" hidden="1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 spans="1:56" ht="16.5" hidden="1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 spans="1:56" ht="16.5" hidden="1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 spans="1:56" ht="16.5" hidden="1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 spans="1:56" ht="16.5" hidden="1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 spans="1:56" ht="16.5" hidden="1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 spans="1:56" ht="16.5" hidden="1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 spans="1:56" ht="16.5" hidden="1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 spans="1:56" ht="16.5" hidden="1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 spans="1:56" ht="16.5" hidden="1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 spans="1:56" ht="16.5" hidden="1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 spans="1:56" ht="16.5" hidden="1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 spans="1:56" ht="16.5" hidden="1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 spans="1:56" ht="16.5" hidden="1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 spans="1:56" ht="16.5" hidden="1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 spans="1:56" ht="16.5" hidden="1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 spans="1:56" ht="16.5" hidden="1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 spans="1:56" ht="16.5" hidden="1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 spans="1:56" ht="16.5" hidden="1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 spans="1:56" ht="16.5" hidden="1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 spans="1:5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 spans="1:56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 spans="1:56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 spans="1:56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 spans="1:56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 spans="1:56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 spans="1:56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 spans="1:56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 spans="1:56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 spans="1:56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 spans="1:5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 spans="1:56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 spans="1:56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 spans="1:56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 spans="1:56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 spans="1:56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 spans="1:56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 spans="1:56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 spans="1:56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 spans="1:56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 spans="1:5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 spans="1:56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 spans="1:56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 spans="1:56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 spans="1:56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 spans="1:56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 spans="1:56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 spans="1:56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 spans="1:56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 spans="1:56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 spans="1: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 spans="1:56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 spans="1:56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 spans="1:56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 spans="1:56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 spans="1:56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 spans="1:56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 spans="1:56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 spans="1:56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 spans="1:56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 spans="1:5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 spans="1:56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 spans="1:56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 spans="1:56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 spans="1:56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 spans="1:56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 spans="1:56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 spans="1:56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spans="1:56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 spans="1:56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 spans="1:5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 spans="1:56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 spans="1:56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 spans="1:56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 spans="1:56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 spans="1:56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 spans="1:56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 spans="1:56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 spans="1:56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 spans="1:56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 spans="1:5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 spans="1:56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 spans="1:56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 spans="1:56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 spans="1:56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 spans="1:56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 spans="1:56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 spans="1:56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 spans="1:56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 spans="1:56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 spans="1:5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 spans="1:56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 spans="1:56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 spans="1:56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 spans="1:56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 spans="1:56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 spans="1:56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 spans="1:56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 spans="1:56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 spans="1:56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 spans="1:5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 spans="1:56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 spans="1:56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 spans="1:56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 spans="1:56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 spans="1:56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 spans="1:56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 spans="1:56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 spans="1:56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 spans="1:56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 spans="1:5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 spans="1:56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 spans="1:56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 spans="1:56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 spans="1:56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 spans="1:56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 spans="1:56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 spans="1:56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 spans="1:56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 spans="1:56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 spans="1:5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 spans="1:56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 spans="1:56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 spans="1:56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 spans="1:56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 spans="1:56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 spans="1:56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 spans="1:56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 spans="1:56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 spans="1:56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 spans="1:5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 spans="1:56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 spans="1:56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 spans="1:56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 spans="1:56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1:56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1:56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 spans="1:56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 spans="1:56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 spans="1:56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 spans="1:5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 spans="1:56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 spans="1:56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 spans="1:56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 spans="1:56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 spans="1:56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 spans="1:56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 spans="1:56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 spans="1:56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 spans="1:56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 spans="1: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 spans="1:56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 spans="1:56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 spans="1:56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 spans="1:56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 spans="1:56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 spans="1:56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 spans="1:56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 spans="1:56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 spans="1:56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 spans="1:5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 spans="1:56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 spans="1:56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 spans="1:56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 spans="1:56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 spans="1:56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 spans="1:56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 spans="1:56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 spans="1:56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 spans="1:56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 spans="1:5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 spans="1:56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 spans="1:56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 spans="1:56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 spans="1:56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 spans="1:56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 spans="1:56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 spans="1:56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 spans="1:56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 spans="1:56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 spans="1:5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 spans="1:56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 spans="1:56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 spans="1:56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 spans="1:56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 spans="1:56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 spans="1:56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 spans="1:56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 spans="1:56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 spans="1:56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 spans="1:5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 spans="1:56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 spans="1:56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 spans="1:56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 spans="1:56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 spans="1:56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 spans="1:56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 spans="1:56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 spans="1:56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 spans="1:56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 spans="1:5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 spans="1:56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 spans="1:56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 spans="1:56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 spans="1:56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 spans="1:56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 spans="1:56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 spans="1:56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 spans="1:56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 spans="1:56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 spans="1:5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 spans="1:56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 spans="1:56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 spans="1:56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 spans="1:56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 spans="1:56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 spans="1:56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 spans="1:56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 spans="1:56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 spans="1:56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 spans="1:5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 spans="1:56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 spans="1:56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 spans="1:56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 spans="1:56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 spans="1:56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 spans="1:56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 spans="1:56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 spans="1:56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 spans="1:56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 spans="1:5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 spans="1:56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 spans="1:56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 spans="1:56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 spans="1:56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 spans="1:56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 spans="1:56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 spans="1:56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 spans="1:56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 spans="1:56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 spans="1:5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 spans="1:56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 spans="1:56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 spans="1:56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 spans="1:56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 spans="1:56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 spans="1:56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 spans="1:56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 spans="1:56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 spans="1:56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 spans="1: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 spans="1:56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 spans="1:56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 spans="1:56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 spans="1:56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 spans="1:56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 spans="1:56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 spans="1:56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 spans="1:56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 spans="1:56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 spans="1:5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 spans="1:56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 spans="1:56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 spans="1:56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 spans="1:56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 spans="1:56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 spans="1:56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 spans="1:56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 spans="1:56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 spans="1:56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 spans="1:5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 spans="1:56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 spans="1:56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 spans="1:56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 spans="1:56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 spans="1:56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 spans="1:56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 spans="1:56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 spans="1:56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 spans="1:56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 spans="1:5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 spans="1:56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 spans="1:56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 spans="1:56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 spans="1:56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 spans="1:56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 spans="1:56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 spans="1:56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 spans="1:56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 spans="1:56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 spans="1:5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 spans="1:56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 spans="1:56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 spans="1:56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 spans="1:56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 spans="1:56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 spans="1:56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 spans="1:56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 spans="1:56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 spans="1:56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 spans="1:5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 spans="1:56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 spans="1:56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 spans="1:56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 spans="1:56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 spans="1:56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 spans="1:56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 spans="1:56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 spans="1:56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 spans="1:56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 spans="1:5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 spans="1:56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 spans="1:56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 spans="1:56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 spans="1:56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 spans="1:56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 spans="1:56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 spans="1:56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 spans="1:56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 spans="1:56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 spans="1:5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 spans="1:56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 spans="1:56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 spans="1:56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 spans="1:56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 spans="1:56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 spans="1:56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 spans="1:56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 spans="1:56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 spans="1:56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 spans="1:5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 spans="1:56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 spans="1:56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 spans="1:56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 spans="1:56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 spans="1:56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 spans="1:56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 spans="1:56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 spans="1:56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 spans="1:56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 spans="1:5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 spans="1:56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 spans="1:56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 spans="1:56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 spans="1:56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 spans="1:56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 spans="1:56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 spans="1:56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 spans="1:56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 spans="1:56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 spans="1: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 spans="1:56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 spans="1:56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 spans="1:56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 spans="1:56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 spans="1:56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 spans="1:56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 spans="1:56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 spans="1:56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 spans="1:56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 spans="1:5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 spans="1:56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 spans="1:56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 spans="1:56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 spans="1:56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 spans="1:56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 spans="1:56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 spans="1:56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 spans="1:56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 spans="1:56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 spans="1:5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 spans="1:56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 spans="1:56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 spans="1:56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 spans="1:56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 spans="1:56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 spans="1:56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 spans="1:56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 spans="1:56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 spans="1:56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 spans="1:5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 spans="1:56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 spans="1:56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 spans="1:56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 spans="1:56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 spans="1:56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 spans="1:56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 spans="1:56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 spans="1:56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 spans="1:56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 spans="1:5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 spans="1:56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 spans="1:56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 spans="1:56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 spans="1:56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 spans="1:56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 spans="1:56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 spans="1:56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 spans="1:56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 spans="1:56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 spans="1:5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 spans="1:56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 spans="1:56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 spans="1:56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 spans="1:56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 spans="1:56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 spans="1:56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 spans="1:56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 spans="1:56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 spans="1:56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 spans="1:5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 spans="1:56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 spans="1:56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 spans="1:56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 spans="1:56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 spans="1:56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 spans="1:56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 spans="1:56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 spans="1:56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 spans="1:56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 spans="1:5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 spans="1:56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 spans="1:56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 spans="1:56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 spans="1:56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 spans="1:56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 spans="1:56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 spans="1:56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 spans="1:56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 spans="1:56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 spans="1:5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 spans="1:56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 spans="1:56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 spans="1:56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 spans="1:56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 spans="1:56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 spans="1:56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 spans="1:56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 spans="1:56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 spans="1:56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 spans="1:5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 spans="1:56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 spans="1:56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 spans="1:56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 spans="1:56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 spans="1:56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 spans="1:56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 spans="1:56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 spans="1:56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 spans="1:56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 spans="1: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 spans="1:56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 spans="1:56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 spans="1:56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 spans="1:56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 spans="1:56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 spans="1:56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 spans="1:56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 spans="1:56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 spans="1:56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 spans="1:5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 spans="1:56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 spans="1:56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 spans="1:56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 spans="1:56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 spans="1:56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 spans="1:56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 spans="1:56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 spans="1:56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 spans="1:56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 spans="1:5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 spans="1:56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 spans="1:56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 spans="1:56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 spans="1:56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 spans="1:56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 spans="1:56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 spans="1:56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 spans="1:56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 spans="1:56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 spans="1:5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 spans="1:56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 spans="1:56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 spans="1:56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 spans="1:56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 spans="1:56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 spans="1:56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 spans="1:56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 spans="1:56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 spans="1:56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 spans="1:5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 spans="1:56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 spans="1:56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 spans="1:56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 spans="1:56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 spans="1:56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 spans="1:56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 spans="1:56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 spans="1:56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 spans="1:56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 spans="1:5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 spans="1:56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 spans="1:56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 spans="1:56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 spans="1:56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 spans="1:56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 spans="1:56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 spans="1:56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 spans="1:56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 spans="1:56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 spans="1:5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 spans="1:56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 spans="1:56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 spans="1:56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 spans="1:56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 spans="1:56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 spans="1:56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 spans="1:56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 spans="1:56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 spans="1:56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 spans="1:5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 spans="1:56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 spans="1:56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 spans="1:56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 spans="1:56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 spans="1:56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 spans="1:56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 spans="1:56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 spans="1:56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 spans="1:56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 spans="1:5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 spans="1:56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 spans="1:56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 spans="1:56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 spans="1:56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 spans="1:56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 spans="1:56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 spans="1:56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 spans="1:56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 spans="1:56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 spans="1:5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 spans="1:56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 spans="1:56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 spans="1:56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 spans="1:56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 spans="1:56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 spans="1:56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 spans="1:56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 spans="1:56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 spans="1:56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 spans="1: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 spans="1:56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 spans="1:56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 spans="1:56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 spans="1:56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 spans="1:56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 spans="1:56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 spans="1:56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 spans="1:56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 spans="1:56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 spans="1:5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 spans="1:56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 spans="1:56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 spans="1:56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 spans="1:56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 spans="1:56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 spans="1:56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 spans="1:56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 spans="1:56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 spans="1:56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 spans="1:5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 spans="1:56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 spans="1:56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 spans="1:56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 spans="1:56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 spans="1:56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 spans="1:56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 spans="1:56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 spans="1:56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 spans="1:56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 spans="1:5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 spans="1:56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 spans="1:56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 spans="1:56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 spans="1:56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 spans="1:56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 spans="1:56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 spans="1:56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 spans="1:56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 spans="1:56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 spans="1:5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 spans="1:56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 spans="1:56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 spans="1:56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 spans="1:56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 spans="1:56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 spans="1:56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 spans="1:56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 spans="1:56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 spans="1:56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 spans="1:5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 spans="1:56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 spans="1:56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 spans="1:56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 spans="1:56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 spans="1:56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 spans="1:56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 spans="1:56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 spans="1:56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 spans="1:56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 spans="1:5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 spans="1:56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 spans="1:56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 spans="1:56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 spans="1:56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 spans="1:56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 spans="1:56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 spans="1:56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 spans="1:56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 spans="1:56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 spans="1:5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 spans="1:56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 spans="1:56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 spans="1:56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 spans="1:56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 spans="1:56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 spans="1:56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 spans="1:56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 spans="1:56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 spans="1:56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 spans="1:5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 spans="1:56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 spans="1:56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 spans="1:56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 spans="1:56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 spans="1:56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 spans="1:56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 spans="1:56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 spans="1:56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 spans="1:56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 spans="1:5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 spans="1:56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 spans="1:56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 spans="1:56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 spans="1:56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 spans="1:56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 spans="1:56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 spans="1:56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 spans="1:56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 spans="1:56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 spans="1: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 spans="1:56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 spans="1:56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 spans="1:56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 spans="1:56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 spans="1:56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 spans="1:56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 spans="1:56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 spans="1:56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 spans="1:56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 spans="1:5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 spans="1:56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 spans="1:56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 spans="1:56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 spans="1:56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 spans="1:56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 spans="1:56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 spans="1:56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 spans="1:56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 spans="1:56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 spans="1:5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 spans="1:56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 spans="1:56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 spans="1:56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 spans="1:56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 spans="1:56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 spans="1:56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 spans="1:56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 spans="1:56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 spans="1:56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 spans="1:5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 spans="1:56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 spans="1:56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 spans="1:56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 spans="1:56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 spans="1:56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 spans="1:56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 spans="1:56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 spans="1:56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 spans="1:56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 spans="1:5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 spans="1:56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 spans="1:56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 spans="1:56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 spans="1:56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 spans="1:56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 spans="1:56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 spans="1:56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 spans="1:56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 spans="1:56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 spans="1:5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 spans="1:56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 spans="1:56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 spans="1:56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 spans="1:56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 spans="1:56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 spans="1:56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 spans="1:56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 spans="1:56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 spans="1:56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 spans="1:5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 spans="1:56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 spans="1:56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 spans="1:56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 spans="1:56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 spans="1:56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 spans="1:56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 spans="1:56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 spans="1:56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 spans="1:56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 spans="1:5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 spans="1:56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 spans="1:56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 spans="1:56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 spans="1:56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 spans="1:56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 spans="1:56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 spans="1:56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 spans="1:56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 spans="1:56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 spans="1:5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 spans="1:56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 spans="1:56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 spans="1:56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 spans="1:56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 spans="1:56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 spans="1:56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 spans="1:56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 spans="1:56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 spans="1:56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 spans="1:5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 spans="1:56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 spans="1:56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 spans="1:56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 spans="1:56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 spans="1:56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 spans="1:56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 spans="1:56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 spans="1:56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 spans="1:56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 spans="1: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 spans="1:56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 spans="1:56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 spans="1:56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 spans="1:56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 spans="1:56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 spans="1:56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 spans="1:56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 spans="1:56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 spans="1:56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 spans="1:5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 spans="1:56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 spans="1:56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 spans="1:56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 spans="1:56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 spans="1:56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 spans="1:56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 spans="1:56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 spans="1:56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 spans="1:56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 spans="1:5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 spans="1:56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 spans="1:56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 spans="1:56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 spans="1:56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 spans="1:56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 spans="1:56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 spans="1:56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 spans="1:56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 spans="1:56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 spans="1:5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 spans="1:56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 spans="1:56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 spans="1:56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 spans="1:56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 spans="1:56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 spans="1:56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 spans="1:56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 spans="1:56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 spans="1:56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 spans="1:5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 spans="1:56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 spans="1:56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 spans="1:56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 spans="1:56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 spans="1:56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 spans="1:56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 spans="1:56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 spans="1:56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 spans="1:56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 spans="1:5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 spans="1:56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 spans="1:56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 spans="1:56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 spans="1:56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 spans="1:56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 spans="1:56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 spans="1:56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 spans="1:56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 spans="1:56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 spans="1:5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 spans="1:56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 spans="1:56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 spans="1:56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 spans="1:56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 spans="1:56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 spans="1:56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 spans="1:56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 spans="1:56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 spans="1:56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 spans="1:5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 spans="1:56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 spans="1:56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 spans="1:56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 spans="1:56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 spans="1:56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 spans="1:56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 spans="1:56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 spans="1:56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 spans="1:56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 spans="1:5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 spans="1:56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 spans="1:56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 spans="1:56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 spans="1:56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 spans="1:56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 spans="1:56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 spans="1:56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 spans="1:56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 spans="1:56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 spans="1:5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 spans="1:56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 spans="1:56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 spans="1:56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 spans="1:56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 spans="1:56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 spans="1:56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 spans="1:56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 spans="1:56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 spans="1:56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 spans="1: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 spans="1:56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 spans="1:56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 spans="1:56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 spans="1:56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 spans="1:56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 spans="1:56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 spans="1:56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 spans="1:56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 spans="1:56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 spans="1:5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 spans="1:56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 spans="1:56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 spans="1:56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 spans="1:56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 spans="1:56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 spans="1:56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 spans="1:56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 spans="1:56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 spans="1:56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 spans="1:5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 spans="1:56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 spans="1:56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 spans="1:56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 spans="1:56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 spans="1:56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 spans="1:56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 spans="1:56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 spans="1:56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 spans="1:56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 spans="1:5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 spans="1:56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 spans="1:56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 spans="1:56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 spans="1:56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 spans="1:56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 spans="1:56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 spans="1:56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 spans="1:56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 spans="1:56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 spans="1:5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 spans="1:56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 spans="1:56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 spans="1:56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 spans="1:56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</sheetData>
  <mergeCells count="31">
    <mergeCell ref="F61:J61"/>
    <mergeCell ref="H63:J63"/>
    <mergeCell ref="G9:G10"/>
    <mergeCell ref="H9:H10"/>
    <mergeCell ref="F22:K23"/>
    <mergeCell ref="F49:J49"/>
    <mergeCell ref="F50:I50"/>
    <mergeCell ref="F52:G52"/>
    <mergeCell ref="F53:G53"/>
    <mergeCell ref="F55:J55"/>
    <mergeCell ref="F56:J56"/>
    <mergeCell ref="F58:I58"/>
    <mergeCell ref="F59:I59"/>
    <mergeCell ref="F60:I60"/>
    <mergeCell ref="B1:R3"/>
    <mergeCell ref="B6:R6"/>
    <mergeCell ref="B7:B10"/>
    <mergeCell ref="D7:F8"/>
    <mergeCell ref="G7:H7"/>
    <mergeCell ref="I7:R8"/>
    <mergeCell ref="G8:H8"/>
    <mergeCell ref="N9:R9"/>
    <mergeCell ref="AL9:AL10"/>
    <mergeCell ref="AM9:AM10"/>
    <mergeCell ref="AN9:AN10"/>
    <mergeCell ref="AO9:AO10"/>
    <mergeCell ref="C7:C10"/>
    <mergeCell ref="D9:D10"/>
    <mergeCell ref="E9:E10"/>
    <mergeCell ref="F9:F10"/>
    <mergeCell ref="I9:M9"/>
  </mergeCells>
  <conditionalFormatting sqref="G29:K48">
    <cfRule type="containsBlanks" dxfId="12" priority="1">
      <formula>LEN(TRIM(G29))=0</formula>
    </cfRule>
  </conditionalFormatting>
  <conditionalFormatting sqref="F29:F48">
    <cfRule type="containsBlanks" dxfId="11" priority="2">
      <formula>LEN(TRIM(F29))=0</formula>
    </cfRule>
  </conditionalFormatting>
  <dataValidations count="2">
    <dataValidation type="list" allowBlank="1" showErrorMessage="1" sqref="I11:I20 N11:N20" xr:uid="{00000000-0002-0000-0100-000000000000}">
      <formula1>$V$11:$V$17</formula1>
    </dataValidation>
    <dataValidation type="list" allowBlank="1" showErrorMessage="1" sqref="G8" xr:uid="{00000000-0002-0000-0100-000001000000}">
      <formula1>$AJ$11:$AJ$14</formula1>
    </dataValidation>
  </dataValidation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D1000"/>
  <sheetViews>
    <sheetView showGridLines="0" zoomScale="85" zoomScaleNormal="85" workbookViewId="0">
      <pane ySplit="4" topLeftCell="A20" activePane="bottomLeft" state="frozen"/>
      <selection pane="bottomLeft" activeCell="L27" sqref="L27"/>
    </sheetView>
  </sheetViews>
  <sheetFormatPr defaultColWidth="12.625" defaultRowHeight="15" customHeight="1"/>
  <cols>
    <col min="1" max="1" width="9" hidden="1" customWidth="1"/>
    <col min="2" max="2" width="10.75" customWidth="1"/>
    <col min="3" max="3" width="10" customWidth="1"/>
    <col min="4" max="4" width="9" customWidth="1"/>
    <col min="5" max="5" width="7.875" customWidth="1"/>
    <col min="6" max="6" width="10.75" customWidth="1"/>
    <col min="7" max="7" width="14.875" customWidth="1"/>
    <col min="8" max="8" width="12.75" customWidth="1"/>
    <col min="9" max="9" width="9.5" customWidth="1"/>
    <col min="10" max="10" width="14.5" customWidth="1"/>
    <col min="11" max="11" width="18.375" customWidth="1"/>
    <col min="12" max="12" width="8" customWidth="1"/>
    <col min="13" max="13" width="22.25" customWidth="1"/>
    <col min="14" max="16" width="10.875" hidden="1" customWidth="1"/>
    <col min="17" max="17" width="8" hidden="1" customWidth="1"/>
    <col min="18" max="18" width="11.125" hidden="1" customWidth="1"/>
    <col min="19" max="27" width="10.875" hidden="1" customWidth="1"/>
    <col min="28" max="51" width="9" hidden="1" customWidth="1"/>
    <col min="52" max="52" width="9.75" hidden="1" customWidth="1"/>
    <col min="53" max="53" width="11.375" hidden="1" customWidth="1"/>
    <col min="54" max="54" width="7.625" hidden="1" customWidth="1"/>
    <col min="55" max="55" width="10.625" hidden="1" customWidth="1"/>
    <col min="56" max="56" width="9" hidden="1" customWidth="1"/>
  </cols>
  <sheetData>
    <row r="1" spans="1:56" ht="16.5" customHeight="1">
      <c r="A1" s="3"/>
      <c r="B1" s="171" t="s">
        <v>80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 spans="1:56" ht="16.5" customHeight="1">
      <c r="A2" s="3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7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 spans="1:56" ht="16.5" customHeight="1">
      <c r="A3" s="3"/>
      <c r="B3" s="178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80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 spans="1:56" ht="16.5" customHeight="1">
      <c r="A4" s="4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</row>
    <row r="5" spans="1:56" ht="16.5" customHeight="1">
      <c r="A5" s="4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</row>
    <row r="6" spans="1:56" ht="16.5" customHeight="1">
      <c r="A6" s="3"/>
      <c r="B6" s="182" t="s">
        <v>81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4"/>
      <c r="S6" s="5"/>
      <c r="T6" s="5"/>
      <c r="U6" s="5"/>
      <c r="V6" s="5"/>
      <c r="W6" s="5"/>
      <c r="X6" s="5"/>
      <c r="Y6" s="5"/>
      <c r="Z6" s="5"/>
      <c r="AA6" s="5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56" ht="16.5" customHeight="1">
      <c r="A7" s="3"/>
      <c r="B7" s="397" t="s">
        <v>2</v>
      </c>
      <c r="C7" s="186" t="s">
        <v>10</v>
      </c>
      <c r="D7" s="187" t="s">
        <v>11</v>
      </c>
      <c r="E7" s="188"/>
      <c r="F7" s="189"/>
      <c r="G7" s="190" t="s">
        <v>12</v>
      </c>
      <c r="H7" s="191"/>
      <c r="I7" s="192" t="s">
        <v>251</v>
      </c>
      <c r="J7" s="188"/>
      <c r="K7" s="188"/>
      <c r="L7" s="188"/>
      <c r="M7" s="188"/>
      <c r="N7" s="188"/>
      <c r="O7" s="188"/>
      <c r="P7" s="188"/>
      <c r="Q7" s="188"/>
      <c r="R7" s="191"/>
      <c r="S7" s="6"/>
      <c r="T7" s="6"/>
      <c r="U7" s="6"/>
      <c r="V7" s="6"/>
      <c r="W7" s="6"/>
      <c r="X7" s="6"/>
      <c r="Y7" s="6"/>
      <c r="Z7" s="6"/>
      <c r="AA7" s="6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56" ht="16.5" customHeight="1">
      <c r="A8" s="3"/>
      <c r="B8" s="193"/>
      <c r="C8" s="194"/>
      <c r="D8" s="195"/>
      <c r="E8" s="196"/>
      <c r="F8" s="197"/>
      <c r="G8" s="198" t="s">
        <v>40</v>
      </c>
      <c r="H8" s="199"/>
      <c r="I8" s="200"/>
      <c r="J8" s="201"/>
      <c r="K8" s="201"/>
      <c r="L8" s="201"/>
      <c r="M8" s="201"/>
      <c r="N8" s="201"/>
      <c r="O8" s="201"/>
      <c r="P8" s="201"/>
      <c r="Q8" s="201"/>
      <c r="R8" s="202"/>
      <c r="S8" s="6"/>
      <c r="T8" s="6"/>
      <c r="U8" s="6"/>
      <c r="V8" s="6"/>
      <c r="W8" s="6"/>
      <c r="X8" s="6"/>
      <c r="Y8" s="6"/>
      <c r="Z8" s="6"/>
      <c r="AA8" s="6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 spans="1:56" ht="16.5" customHeight="1">
      <c r="A9" s="3"/>
      <c r="B9" s="193"/>
      <c r="C9" s="194"/>
      <c r="D9" s="203" t="s">
        <v>14</v>
      </c>
      <c r="E9" s="203" t="s">
        <v>15</v>
      </c>
      <c r="F9" s="203" t="s">
        <v>16</v>
      </c>
      <c r="G9" s="203" t="s">
        <v>17</v>
      </c>
      <c r="H9" s="204" t="s">
        <v>18</v>
      </c>
      <c r="I9" s="205" t="s">
        <v>19</v>
      </c>
      <c r="J9" s="206"/>
      <c r="K9" s="206"/>
      <c r="L9" s="206"/>
      <c r="M9" s="207"/>
      <c r="N9" s="205" t="s">
        <v>20</v>
      </c>
      <c r="O9" s="206"/>
      <c r="P9" s="206"/>
      <c r="Q9" s="206"/>
      <c r="R9" s="207"/>
      <c r="S9" s="6"/>
      <c r="T9" s="6"/>
      <c r="U9" s="6"/>
      <c r="V9" s="6"/>
      <c r="W9" s="6"/>
      <c r="X9" s="6"/>
      <c r="Y9" s="6"/>
      <c r="Z9" s="6"/>
      <c r="AA9" s="6"/>
      <c r="AB9" s="3"/>
      <c r="AC9" s="3"/>
      <c r="AD9" s="3"/>
      <c r="AE9" s="3"/>
      <c r="AF9" s="3"/>
      <c r="AG9" s="3"/>
      <c r="AH9" s="3"/>
      <c r="AI9" s="3"/>
      <c r="AJ9" s="3"/>
      <c r="AK9" s="3"/>
      <c r="AL9" s="111" t="s">
        <v>21</v>
      </c>
      <c r="AM9" s="112" t="s">
        <v>22</v>
      </c>
      <c r="AN9" s="112" t="s">
        <v>23</v>
      </c>
      <c r="AO9" s="112" t="s">
        <v>24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 spans="1:56" ht="16.5" customHeight="1">
      <c r="A10" s="9"/>
      <c r="B10" s="208"/>
      <c r="C10" s="209"/>
      <c r="D10" s="209"/>
      <c r="E10" s="209"/>
      <c r="F10" s="209"/>
      <c r="G10" s="209"/>
      <c r="H10" s="210"/>
      <c r="I10" s="211" t="s">
        <v>25</v>
      </c>
      <c r="J10" s="212" t="s">
        <v>26</v>
      </c>
      <c r="K10" s="213" t="s">
        <v>82</v>
      </c>
      <c r="L10" s="212" t="s">
        <v>83</v>
      </c>
      <c r="M10" s="214" t="s">
        <v>84</v>
      </c>
      <c r="N10" s="211" t="s">
        <v>25</v>
      </c>
      <c r="O10" s="212" t="s">
        <v>26</v>
      </c>
      <c r="P10" s="213" t="s">
        <v>27</v>
      </c>
      <c r="Q10" s="212" t="s">
        <v>28</v>
      </c>
      <c r="R10" s="214" t="s">
        <v>29</v>
      </c>
      <c r="S10" s="14"/>
      <c r="T10" s="14"/>
      <c r="U10" s="14"/>
      <c r="V10" s="14"/>
      <c r="W10" s="14"/>
      <c r="X10" s="14" t="s">
        <v>30</v>
      </c>
      <c r="Y10" s="14" t="s">
        <v>30</v>
      </c>
      <c r="Z10" s="14"/>
      <c r="AA10" s="14"/>
      <c r="AB10" s="9"/>
      <c r="AC10" s="9"/>
      <c r="AD10" s="9"/>
      <c r="AE10" s="9"/>
      <c r="AF10" s="9"/>
      <c r="AG10" s="9"/>
      <c r="AH10" s="9"/>
      <c r="AI10" s="15"/>
      <c r="AJ10" s="9"/>
      <c r="AK10" s="9"/>
      <c r="AL10" s="102"/>
      <c r="AM10" s="102"/>
      <c r="AN10" s="102"/>
      <c r="AO10" s="102"/>
      <c r="AP10" s="9"/>
      <c r="AQ10" s="9"/>
      <c r="AR10" s="9"/>
      <c r="AS10" s="9"/>
      <c r="AT10" s="9"/>
      <c r="AU10" s="9"/>
      <c r="AV10" s="9"/>
      <c r="AW10" s="9"/>
      <c r="AX10" s="9"/>
      <c r="AY10" s="9" t="s">
        <v>31</v>
      </c>
      <c r="AZ10" s="9" t="s">
        <v>32</v>
      </c>
      <c r="BA10" s="9" t="s">
        <v>19</v>
      </c>
      <c r="BB10" s="9" t="s">
        <v>10</v>
      </c>
      <c r="BC10" s="9" t="s">
        <v>20</v>
      </c>
      <c r="BD10" s="9" t="s">
        <v>10</v>
      </c>
    </row>
    <row r="11" spans="1:56" ht="16.5" customHeight="1">
      <c r="A11" s="3"/>
      <c r="B11" s="215" t="s">
        <v>85</v>
      </c>
      <c r="C11" s="216">
        <v>3</v>
      </c>
      <c r="D11" s="216">
        <v>10</v>
      </c>
      <c r="E11" s="216">
        <v>0.75</v>
      </c>
      <c r="F11" s="216">
        <v>0.25</v>
      </c>
      <c r="G11" s="217">
        <v>40</v>
      </c>
      <c r="H11" s="218">
        <v>1</v>
      </c>
      <c r="I11" s="219" t="s">
        <v>35</v>
      </c>
      <c r="J11" s="398">
        <f t="shared" ref="J11:J20" si="0">K11</f>
        <v>6</v>
      </c>
      <c r="K11" s="399">
        <v>6</v>
      </c>
      <c r="L11" s="222">
        <v>4</v>
      </c>
      <c r="M11" s="223">
        <v>400</v>
      </c>
      <c r="N11" s="219" t="s">
        <v>36</v>
      </c>
      <c r="O11" s="398">
        <f t="shared" ref="O11:O20" si="1">K11</f>
        <v>6</v>
      </c>
      <c r="P11" s="221">
        <f t="shared" ref="P11:P20" si="2">E11-0.002*G11+2*F11/2</f>
        <v>0.92</v>
      </c>
      <c r="Q11" s="400"/>
      <c r="R11" s="401"/>
      <c r="S11" s="23"/>
      <c r="T11" s="23"/>
      <c r="U11" s="23"/>
      <c r="V11" s="3" t="s">
        <v>36</v>
      </c>
      <c r="W11" s="23">
        <v>0.61735017716184748</v>
      </c>
      <c r="X11" s="24">
        <f t="shared" ref="X11:X20" si="3">IF(C11&gt;0,Z11*J11*VLOOKUP(I11,$V$11:$W$17,2,FALSE),"")</f>
        <v>117.34592167492397</v>
      </c>
      <c r="Y11" s="25">
        <f t="shared" ref="Y11:Y20" si="4">IF(C11&gt;0,O11*AA11*VLOOKUP(I11,$V$11:$W$17,2,FALSE),"")</f>
        <v>53.339055306783621</v>
      </c>
      <c r="Z11" s="24">
        <f t="shared" ref="Z11:Z20" si="5">IF(C11&gt;0,CEILING(C11*D11*(L11)/(J11-0.5),1),"")</f>
        <v>22</v>
      </c>
      <c r="AA11" s="24">
        <f t="shared" ref="AA11:AA20" si="6">IF(C11&gt;0,CEILING(C11*(E11*D11*1000/M11/K11),1),"")</f>
        <v>10</v>
      </c>
      <c r="AB11" s="25">
        <f t="shared" ref="AB11:AB20" si="7">K11</f>
        <v>6</v>
      </c>
      <c r="AC11" s="3">
        <f t="shared" ref="AC11:AG11" si="8">IF(C11&gt;0,AC$21-$AB11*FLOOR(AC$21/$AB11,1),"")</f>
        <v>0</v>
      </c>
      <c r="AD11" s="3">
        <f t="shared" si="8"/>
        <v>1.5</v>
      </c>
      <c r="AE11" s="3">
        <f t="shared" si="8"/>
        <v>3</v>
      </c>
      <c r="AF11" s="3">
        <f t="shared" si="8"/>
        <v>4.5</v>
      </c>
      <c r="AG11" s="3">
        <f t="shared" si="8"/>
        <v>0</v>
      </c>
      <c r="AH11" s="3">
        <f t="shared" ref="AH11:AH20" si="9">IF(AB11&gt;0,SMALL(AC11:AG11,1),"")</f>
        <v>0</v>
      </c>
      <c r="AI11" s="26">
        <f>IF(AB11&gt;0,HLOOKUP(AH11,AC11:AG21,11,FALSE),"")</f>
        <v>6</v>
      </c>
      <c r="AJ11" s="23" t="s">
        <v>13</v>
      </c>
      <c r="AK11" s="3">
        <v>12</v>
      </c>
      <c r="AL11" s="25">
        <f t="shared" ref="AL11:AL20" si="10">C11*D11*E11*F11</f>
        <v>5.625</v>
      </c>
      <c r="AM11" s="25">
        <f t="shared" ref="AM11:AM20" si="11">C11*D11*E11*H11*1.05</f>
        <v>23.625</v>
      </c>
      <c r="AN11" s="25">
        <f>AM11-(AL11*1.05)</f>
        <v>17.71875</v>
      </c>
      <c r="AO11" s="25">
        <f t="shared" ref="AO11:AO20" si="12">D11*E11*C11</f>
        <v>22.5</v>
      </c>
      <c r="AP11" s="3"/>
      <c r="AQ11" s="25">
        <f t="shared" ref="AQ11:AQ20" si="13">P11</f>
        <v>0.92</v>
      </c>
      <c r="AR11" s="3">
        <f t="shared" ref="AR11:AV11" si="14">IF(C11&gt;0,AR$21-$AQ11*FLOOR(AR$21/$AQ11,1),"")</f>
        <v>0.47999999999999954</v>
      </c>
      <c r="AS11" s="3">
        <f t="shared" si="14"/>
        <v>0.13999999999999968</v>
      </c>
      <c r="AT11" s="3">
        <f t="shared" si="14"/>
        <v>0.71999999999999886</v>
      </c>
      <c r="AU11" s="3">
        <f t="shared" si="14"/>
        <v>0.37999999999999901</v>
      </c>
      <c r="AV11" s="3">
        <f t="shared" si="14"/>
        <v>3.9999999999999147E-2</v>
      </c>
      <c r="AW11" s="3">
        <f t="shared" ref="AW11:AW20" si="15">IF(AQ11&gt;0,SMALL(AR11:AV11,1),"")</f>
        <v>3.9999999999999147E-2</v>
      </c>
      <c r="AX11" s="26">
        <f>IF(AQ11&gt;0,HLOOKUP(AW11,AR11:AV21,11,FALSE),"")</f>
        <v>12</v>
      </c>
      <c r="AY11" s="3"/>
      <c r="AZ11" s="3"/>
      <c r="BA11" s="3"/>
      <c r="BB11" s="3"/>
      <c r="BC11" s="3"/>
      <c r="BD11" s="3"/>
    </row>
    <row r="12" spans="1:56" ht="16.5" customHeight="1">
      <c r="A12" s="3"/>
      <c r="B12" s="215" t="s">
        <v>86</v>
      </c>
      <c r="C12" s="216"/>
      <c r="D12" s="216"/>
      <c r="E12" s="216"/>
      <c r="F12" s="216"/>
      <c r="G12" s="217"/>
      <c r="H12" s="218"/>
      <c r="I12" s="219"/>
      <c r="J12" s="398">
        <f t="shared" si="0"/>
        <v>0</v>
      </c>
      <c r="K12" s="399"/>
      <c r="L12" s="222"/>
      <c r="M12" s="223"/>
      <c r="N12" s="219" t="s">
        <v>36</v>
      </c>
      <c r="O12" s="398">
        <f t="shared" si="1"/>
        <v>0</v>
      </c>
      <c r="P12" s="221">
        <f t="shared" si="2"/>
        <v>0</v>
      </c>
      <c r="Q12" s="400"/>
      <c r="R12" s="401"/>
      <c r="S12" s="23"/>
      <c r="T12" s="23"/>
      <c r="U12" s="23"/>
      <c r="V12" s="3" t="s">
        <v>35</v>
      </c>
      <c r="W12" s="23">
        <v>0.88898425511306034</v>
      </c>
      <c r="X12" s="24" t="str">
        <f t="shared" si="3"/>
        <v/>
      </c>
      <c r="Y12" s="25" t="str">
        <f t="shared" si="4"/>
        <v/>
      </c>
      <c r="Z12" s="24" t="str">
        <f t="shared" si="5"/>
        <v/>
      </c>
      <c r="AA12" s="24" t="str">
        <f t="shared" si="6"/>
        <v/>
      </c>
      <c r="AB12" s="25">
        <f t="shared" si="7"/>
        <v>0</v>
      </c>
      <c r="AC12" s="3" t="str">
        <f t="shared" ref="AC12:AG12" si="16">IF(C12&gt;0,AC$21-$AB12*FLOOR(AC$21/$AB12,1),"")</f>
        <v/>
      </c>
      <c r="AD12" s="3" t="str">
        <f t="shared" si="16"/>
        <v/>
      </c>
      <c r="AE12" s="3" t="str">
        <f t="shared" si="16"/>
        <v/>
      </c>
      <c r="AF12" s="3" t="str">
        <f t="shared" si="16"/>
        <v/>
      </c>
      <c r="AG12" s="3" t="str">
        <f t="shared" si="16"/>
        <v/>
      </c>
      <c r="AH12" s="3" t="str">
        <f t="shared" si="9"/>
        <v/>
      </c>
      <c r="AI12" s="26" t="str">
        <f>IF(AB12&gt;0,HLOOKUP(AH12,AC12:AG22,10,FALSE),"")</f>
        <v/>
      </c>
      <c r="AJ12" s="23" t="s">
        <v>38</v>
      </c>
      <c r="AK12" s="3">
        <v>10</v>
      </c>
      <c r="AL12" s="25">
        <f t="shared" si="10"/>
        <v>0</v>
      </c>
      <c r="AM12" s="25">
        <f t="shared" si="11"/>
        <v>0</v>
      </c>
      <c r="AN12" s="25">
        <f t="shared" ref="AN12:AN20" si="17">AM12-(AL12*1.15)</f>
        <v>0</v>
      </c>
      <c r="AO12" s="25">
        <f t="shared" si="12"/>
        <v>0</v>
      </c>
      <c r="AP12" s="3"/>
      <c r="AQ12" s="25">
        <f t="shared" si="13"/>
        <v>0</v>
      </c>
      <c r="AR12" s="3" t="str">
        <f t="shared" ref="AR12:AV12" si="18">IF(C12&gt;0,AR$21-$AQ12*FLOOR(AR$21/$AQ12,1),"")</f>
        <v/>
      </c>
      <c r="AS12" s="3" t="str">
        <f t="shared" si="18"/>
        <v/>
      </c>
      <c r="AT12" s="3" t="str">
        <f t="shared" si="18"/>
        <v/>
      </c>
      <c r="AU12" s="3" t="str">
        <f t="shared" si="18"/>
        <v/>
      </c>
      <c r="AV12" s="3" t="str">
        <f t="shared" si="18"/>
        <v/>
      </c>
      <c r="AW12" s="3" t="str">
        <f t="shared" si="15"/>
        <v/>
      </c>
      <c r="AX12" s="26" t="str">
        <f>IF(AQ12&gt;0,HLOOKUP(AW12,AR12:AV22,10,FALSE),"")</f>
        <v/>
      </c>
      <c r="AY12" s="3"/>
      <c r="AZ12" s="3"/>
      <c r="BA12" s="3"/>
      <c r="BB12" s="3"/>
      <c r="BC12" s="3"/>
      <c r="BD12" s="3"/>
    </row>
    <row r="13" spans="1:56" ht="16.5" customHeight="1">
      <c r="A13" s="3"/>
      <c r="B13" s="215" t="s">
        <v>87</v>
      </c>
      <c r="C13" s="216"/>
      <c r="D13" s="216"/>
      <c r="E13" s="216"/>
      <c r="F13" s="216"/>
      <c r="G13" s="217"/>
      <c r="H13" s="218"/>
      <c r="I13" s="219"/>
      <c r="J13" s="398">
        <f t="shared" si="0"/>
        <v>0</v>
      </c>
      <c r="K13" s="399"/>
      <c r="L13" s="222"/>
      <c r="M13" s="223"/>
      <c r="N13" s="219"/>
      <c r="O13" s="398">
        <f t="shared" si="1"/>
        <v>0</v>
      </c>
      <c r="P13" s="221">
        <f t="shared" si="2"/>
        <v>0</v>
      </c>
      <c r="Q13" s="400"/>
      <c r="R13" s="401"/>
      <c r="S13" s="23"/>
      <c r="T13" s="23"/>
      <c r="U13" s="23"/>
      <c r="V13" s="3" t="s">
        <v>34</v>
      </c>
      <c r="W13" s="23">
        <v>1.5804164535343297</v>
      </c>
      <c r="X13" s="24" t="str">
        <f t="shared" si="3"/>
        <v/>
      </c>
      <c r="Y13" s="25" t="str">
        <f t="shared" si="4"/>
        <v/>
      </c>
      <c r="Z13" s="24" t="str">
        <f t="shared" si="5"/>
        <v/>
      </c>
      <c r="AA13" s="24" t="str">
        <f t="shared" si="6"/>
        <v/>
      </c>
      <c r="AB13" s="25">
        <f t="shared" si="7"/>
        <v>0</v>
      </c>
      <c r="AC13" s="3" t="str">
        <f t="shared" ref="AC13:AG13" si="19">IF(C13&gt;0,AC$21-$AB13*FLOOR(AC$21/$AB13,1),"")</f>
        <v/>
      </c>
      <c r="AD13" s="3" t="str">
        <f t="shared" si="19"/>
        <v/>
      </c>
      <c r="AE13" s="3" t="str">
        <f t="shared" si="19"/>
        <v/>
      </c>
      <c r="AF13" s="3" t="str">
        <f t="shared" si="19"/>
        <v/>
      </c>
      <c r="AG13" s="3" t="str">
        <f t="shared" si="19"/>
        <v/>
      </c>
      <c r="AH13" s="3" t="str">
        <f t="shared" si="9"/>
        <v/>
      </c>
      <c r="AI13" s="26" t="str">
        <f>IF(AB13&gt;0,HLOOKUP(AH13,AC13:AG23,9,FALSE),"")</f>
        <v/>
      </c>
      <c r="AJ13" s="23" t="s">
        <v>40</v>
      </c>
      <c r="AK13" s="3">
        <v>8</v>
      </c>
      <c r="AL13" s="25">
        <f t="shared" si="10"/>
        <v>0</v>
      </c>
      <c r="AM13" s="25">
        <f t="shared" si="11"/>
        <v>0</v>
      </c>
      <c r="AN13" s="25">
        <f t="shared" si="17"/>
        <v>0</v>
      </c>
      <c r="AO13" s="25">
        <f t="shared" si="12"/>
        <v>0</v>
      </c>
      <c r="AP13" s="3"/>
      <c r="AQ13" s="25">
        <f t="shared" si="13"/>
        <v>0</v>
      </c>
      <c r="AR13" s="3" t="str">
        <f t="shared" ref="AR13:AV13" si="20">IF(C13&gt;0,AR$21-$AQ13*FLOOR(AR$21/$AQ13,1),"")</f>
        <v/>
      </c>
      <c r="AS13" s="3" t="str">
        <f t="shared" si="20"/>
        <v/>
      </c>
      <c r="AT13" s="3" t="str">
        <f t="shared" si="20"/>
        <v/>
      </c>
      <c r="AU13" s="3" t="str">
        <f t="shared" si="20"/>
        <v/>
      </c>
      <c r="AV13" s="3" t="str">
        <f t="shared" si="20"/>
        <v/>
      </c>
      <c r="AW13" s="3" t="str">
        <f t="shared" si="15"/>
        <v/>
      </c>
      <c r="AX13" s="26" t="str">
        <f>IF(AQ13&gt;0,HLOOKUP(AW13,AR13:AV23,9,FALSE),"")</f>
        <v/>
      </c>
      <c r="AY13" s="3"/>
      <c r="AZ13" s="3"/>
      <c r="BA13" s="3"/>
      <c r="BB13" s="3"/>
      <c r="BC13" s="3"/>
      <c r="BD13" s="3"/>
    </row>
    <row r="14" spans="1:56" ht="16.5" customHeight="1">
      <c r="A14" s="3"/>
      <c r="B14" s="215" t="s">
        <v>88</v>
      </c>
      <c r="C14" s="216"/>
      <c r="D14" s="216"/>
      <c r="E14" s="216"/>
      <c r="F14" s="216"/>
      <c r="G14" s="217"/>
      <c r="H14" s="218"/>
      <c r="I14" s="219"/>
      <c r="J14" s="398">
        <f t="shared" si="0"/>
        <v>0</v>
      </c>
      <c r="K14" s="399"/>
      <c r="L14" s="222"/>
      <c r="M14" s="223"/>
      <c r="N14" s="219"/>
      <c r="O14" s="398">
        <f t="shared" si="1"/>
        <v>0</v>
      </c>
      <c r="P14" s="221">
        <f t="shared" si="2"/>
        <v>0</v>
      </c>
      <c r="Q14" s="400"/>
      <c r="R14" s="401"/>
      <c r="S14" s="23"/>
      <c r="T14" s="23"/>
      <c r="U14" s="23"/>
      <c r="V14" s="3" t="s">
        <v>42</v>
      </c>
      <c r="W14" s="23">
        <v>2.4694007086473899</v>
      </c>
      <c r="X14" s="24" t="str">
        <f t="shared" si="3"/>
        <v/>
      </c>
      <c r="Y14" s="25" t="str">
        <f t="shared" si="4"/>
        <v/>
      </c>
      <c r="Z14" s="24" t="str">
        <f t="shared" si="5"/>
        <v/>
      </c>
      <c r="AA14" s="24" t="str">
        <f t="shared" si="6"/>
        <v/>
      </c>
      <c r="AB14" s="25">
        <f t="shared" si="7"/>
        <v>0</v>
      </c>
      <c r="AC14" s="3" t="str">
        <f t="shared" ref="AC14:AG14" si="21">IF(C14&gt;0,AC$21-$AB14*FLOOR(AC$21/$AB14,1),"")</f>
        <v/>
      </c>
      <c r="AD14" s="3" t="str">
        <f t="shared" si="21"/>
        <v/>
      </c>
      <c r="AE14" s="3" t="str">
        <f t="shared" si="21"/>
        <v/>
      </c>
      <c r="AF14" s="3" t="str">
        <f t="shared" si="21"/>
        <v/>
      </c>
      <c r="AG14" s="3" t="str">
        <f t="shared" si="21"/>
        <v/>
      </c>
      <c r="AH14" s="3" t="str">
        <f t="shared" si="9"/>
        <v/>
      </c>
      <c r="AI14" s="26" t="str">
        <f>IF(AB14&gt;0,HLOOKUP(AH14,AC14:AG24,8,FALSE),"")</f>
        <v/>
      </c>
      <c r="AJ14" s="23" t="s">
        <v>43</v>
      </c>
      <c r="AK14" s="3">
        <v>6.5</v>
      </c>
      <c r="AL14" s="25">
        <f t="shared" si="10"/>
        <v>0</v>
      </c>
      <c r="AM14" s="25">
        <f t="shared" si="11"/>
        <v>0</v>
      </c>
      <c r="AN14" s="25">
        <f t="shared" si="17"/>
        <v>0</v>
      </c>
      <c r="AO14" s="25">
        <f t="shared" si="12"/>
        <v>0</v>
      </c>
      <c r="AP14" s="3"/>
      <c r="AQ14" s="25">
        <f t="shared" si="13"/>
        <v>0</v>
      </c>
      <c r="AR14" s="3" t="str">
        <f t="shared" ref="AR14:AV14" si="22">IF(C14&gt;0,AR$21-$AQ14*FLOOR(AR$21/$AQ14,1),"")</f>
        <v/>
      </c>
      <c r="AS14" s="3" t="str">
        <f t="shared" si="22"/>
        <v/>
      </c>
      <c r="AT14" s="3" t="str">
        <f t="shared" si="22"/>
        <v/>
      </c>
      <c r="AU14" s="3" t="str">
        <f t="shared" si="22"/>
        <v/>
      </c>
      <c r="AV14" s="3" t="str">
        <f t="shared" si="22"/>
        <v/>
      </c>
      <c r="AW14" s="3" t="str">
        <f t="shared" si="15"/>
        <v/>
      </c>
      <c r="AX14" s="26" t="str">
        <f>IF(AQ14&gt;0,HLOOKUP(AW14,AR14:AV24,8,FALSE),"")</f>
        <v/>
      </c>
      <c r="AY14" s="3" t="str">
        <f t="shared" ref="AY14:AY20" si="23">IF(AQ14&gt;0,SMALL(AR14:AV14,1),"")</f>
        <v/>
      </c>
      <c r="AZ14" s="3" t="str">
        <f>IF(AQ14&gt;0,HLOOKUP(AY14,AR14:AV24,8,FALSE),"")</f>
        <v/>
      </c>
      <c r="BA14" s="3"/>
      <c r="BB14" s="3"/>
      <c r="BC14" s="3"/>
      <c r="BD14" s="3"/>
    </row>
    <row r="15" spans="1:56" ht="16.5" customHeight="1">
      <c r="A15" s="3"/>
      <c r="B15" s="215" t="s">
        <v>89</v>
      </c>
      <c r="C15" s="216"/>
      <c r="D15" s="216"/>
      <c r="E15" s="216"/>
      <c r="F15" s="216"/>
      <c r="G15" s="217"/>
      <c r="H15" s="218"/>
      <c r="I15" s="219"/>
      <c r="J15" s="398">
        <f t="shared" si="0"/>
        <v>0</v>
      </c>
      <c r="K15" s="399"/>
      <c r="L15" s="222"/>
      <c r="M15" s="223"/>
      <c r="N15" s="219"/>
      <c r="O15" s="398">
        <f t="shared" si="1"/>
        <v>0</v>
      </c>
      <c r="P15" s="221">
        <f t="shared" si="2"/>
        <v>0</v>
      </c>
      <c r="Q15" s="400"/>
      <c r="R15" s="401"/>
      <c r="S15" s="23"/>
      <c r="T15" s="23"/>
      <c r="U15" s="23"/>
      <c r="V15" s="3" t="s">
        <v>45</v>
      </c>
      <c r="W15" s="23">
        <v>3.8584386072615469</v>
      </c>
      <c r="X15" s="24" t="str">
        <f t="shared" si="3"/>
        <v/>
      </c>
      <c r="Y15" s="25" t="str">
        <f t="shared" si="4"/>
        <v/>
      </c>
      <c r="Z15" s="24" t="str">
        <f t="shared" si="5"/>
        <v/>
      </c>
      <c r="AA15" s="24" t="str">
        <f t="shared" si="6"/>
        <v/>
      </c>
      <c r="AB15" s="25">
        <f t="shared" si="7"/>
        <v>0</v>
      </c>
      <c r="AC15" s="3" t="str">
        <f t="shared" ref="AC15:AG15" si="24">IF(C15&gt;0,AC$21-$AB15*FLOOR(AC$21/$AB15,1),"")</f>
        <v/>
      </c>
      <c r="AD15" s="3" t="str">
        <f t="shared" si="24"/>
        <v/>
      </c>
      <c r="AE15" s="3" t="str">
        <f t="shared" si="24"/>
        <v/>
      </c>
      <c r="AF15" s="3" t="str">
        <f t="shared" si="24"/>
        <v/>
      </c>
      <c r="AG15" s="3" t="str">
        <f t="shared" si="24"/>
        <v/>
      </c>
      <c r="AH15" s="3" t="str">
        <f t="shared" si="9"/>
        <v/>
      </c>
      <c r="AI15" s="26" t="str">
        <f>IF(AB15&gt;0,HLOOKUP(AH15,AC15:AG29,7,FALSE),"")</f>
        <v/>
      </c>
      <c r="AJ15" s="3"/>
      <c r="AK15" s="3"/>
      <c r="AL15" s="25">
        <f t="shared" si="10"/>
        <v>0</v>
      </c>
      <c r="AM15" s="25">
        <f t="shared" si="11"/>
        <v>0</v>
      </c>
      <c r="AN15" s="25">
        <f t="shared" si="17"/>
        <v>0</v>
      </c>
      <c r="AO15" s="25">
        <f t="shared" si="12"/>
        <v>0</v>
      </c>
      <c r="AP15" s="3"/>
      <c r="AQ15" s="25">
        <f t="shared" si="13"/>
        <v>0</v>
      </c>
      <c r="AR15" s="3" t="str">
        <f t="shared" ref="AR15:AV15" si="25">IF(C15&gt;0,AR$21-$AQ15*FLOOR(AR$21/$AQ15,1),"")</f>
        <v/>
      </c>
      <c r="AS15" s="3" t="str">
        <f t="shared" si="25"/>
        <v/>
      </c>
      <c r="AT15" s="3" t="str">
        <f t="shared" si="25"/>
        <v/>
      </c>
      <c r="AU15" s="3" t="str">
        <f t="shared" si="25"/>
        <v/>
      </c>
      <c r="AV15" s="3" t="str">
        <f t="shared" si="25"/>
        <v/>
      </c>
      <c r="AW15" s="3" t="str">
        <f t="shared" si="15"/>
        <v/>
      </c>
      <c r="AX15" s="26" t="str">
        <f>IF(AQ15&gt;0,HLOOKUP(AW15,AR15:AV29,7,FALSE),"")</f>
        <v/>
      </c>
      <c r="AY15" s="3" t="str">
        <f t="shared" si="23"/>
        <v/>
      </c>
      <c r="AZ15" s="3" t="str">
        <f>IF(AQ15&gt;0,HLOOKUP(AY15,AR15:AV29,7,FALSE),"")</f>
        <v/>
      </c>
      <c r="BA15" s="3"/>
      <c r="BB15" s="3"/>
      <c r="BC15" s="3"/>
      <c r="BD15" s="3"/>
    </row>
    <row r="16" spans="1:56" ht="16.5" customHeight="1">
      <c r="A16" s="3"/>
      <c r="B16" s="215" t="s">
        <v>90</v>
      </c>
      <c r="C16" s="216"/>
      <c r="D16" s="216"/>
      <c r="E16" s="216"/>
      <c r="F16" s="216"/>
      <c r="G16" s="217"/>
      <c r="H16" s="218"/>
      <c r="I16" s="219"/>
      <c r="J16" s="398">
        <f t="shared" si="0"/>
        <v>0</v>
      </c>
      <c r="K16" s="399"/>
      <c r="L16" s="222"/>
      <c r="M16" s="223"/>
      <c r="N16" s="219"/>
      <c r="O16" s="398">
        <f t="shared" si="1"/>
        <v>0</v>
      </c>
      <c r="P16" s="221">
        <f t="shared" si="2"/>
        <v>0</v>
      </c>
      <c r="Q16" s="400"/>
      <c r="R16" s="401"/>
      <c r="S16" s="23"/>
      <c r="T16" s="23"/>
      <c r="U16" s="23"/>
      <c r="V16" s="3" t="s">
        <v>47</v>
      </c>
      <c r="W16" s="23">
        <v>4.8400253889488836</v>
      </c>
      <c r="X16" s="24" t="str">
        <f t="shared" si="3"/>
        <v/>
      </c>
      <c r="Y16" s="25" t="str">
        <f t="shared" si="4"/>
        <v/>
      </c>
      <c r="Z16" s="24" t="str">
        <f t="shared" si="5"/>
        <v/>
      </c>
      <c r="AA16" s="24" t="str">
        <f t="shared" si="6"/>
        <v/>
      </c>
      <c r="AB16" s="25">
        <f t="shared" si="7"/>
        <v>0</v>
      </c>
      <c r="AC16" s="3" t="str">
        <f t="shared" ref="AC16:AG16" si="26">IF(C16&gt;0,AC$21-$AB16*FLOOR(AC$21/$AB16,1),"")</f>
        <v/>
      </c>
      <c r="AD16" s="3" t="str">
        <f t="shared" si="26"/>
        <v/>
      </c>
      <c r="AE16" s="3" t="str">
        <f t="shared" si="26"/>
        <v/>
      </c>
      <c r="AF16" s="3" t="str">
        <f t="shared" si="26"/>
        <v/>
      </c>
      <c r="AG16" s="3" t="str">
        <f t="shared" si="26"/>
        <v/>
      </c>
      <c r="AH16" s="3" t="str">
        <f t="shared" si="9"/>
        <v/>
      </c>
      <c r="AI16" s="26" t="str">
        <f>IF(AB16&gt;0,HLOOKUP(AH16,AC16:AG31,6,FALSE),"")</f>
        <v/>
      </c>
      <c r="AJ16" s="3"/>
      <c r="AK16" s="3"/>
      <c r="AL16" s="25">
        <f t="shared" si="10"/>
        <v>0</v>
      </c>
      <c r="AM16" s="25">
        <f t="shared" si="11"/>
        <v>0</v>
      </c>
      <c r="AN16" s="25">
        <f t="shared" si="17"/>
        <v>0</v>
      </c>
      <c r="AO16" s="25">
        <f t="shared" si="12"/>
        <v>0</v>
      </c>
      <c r="AP16" s="3"/>
      <c r="AQ16" s="25">
        <f t="shared" si="13"/>
        <v>0</v>
      </c>
      <c r="AR16" s="3" t="str">
        <f t="shared" ref="AR16:AV16" si="27">IF(C16&gt;0,AR$21-$AQ16*FLOOR(AR$21/$AQ16,1),"")</f>
        <v/>
      </c>
      <c r="AS16" s="3" t="str">
        <f t="shared" si="27"/>
        <v/>
      </c>
      <c r="AT16" s="3" t="str">
        <f t="shared" si="27"/>
        <v/>
      </c>
      <c r="AU16" s="3" t="str">
        <f t="shared" si="27"/>
        <v/>
      </c>
      <c r="AV16" s="3" t="str">
        <f t="shared" si="27"/>
        <v/>
      </c>
      <c r="AW16" s="3" t="str">
        <f t="shared" si="15"/>
        <v/>
      </c>
      <c r="AX16" s="26" t="str">
        <f>IF(AQ16&gt;0,HLOOKUP(AW16,AR16:AV31,6,FALSE),"")</f>
        <v/>
      </c>
      <c r="AY16" s="3" t="str">
        <f t="shared" si="23"/>
        <v/>
      </c>
      <c r="AZ16" s="3" t="str">
        <f>IF(AQ16&gt;0,HLOOKUP(AY16,AR16:AV31,6,FALSE),"")</f>
        <v/>
      </c>
      <c r="BA16" s="3"/>
      <c r="BB16" s="3"/>
      <c r="BC16" s="3"/>
      <c r="BD16" s="3"/>
    </row>
    <row r="17" spans="1:56" ht="16.5" customHeight="1">
      <c r="A17" s="3"/>
      <c r="B17" s="215" t="s">
        <v>91</v>
      </c>
      <c r="C17" s="216"/>
      <c r="D17" s="216"/>
      <c r="E17" s="216"/>
      <c r="F17" s="216"/>
      <c r="G17" s="217"/>
      <c r="H17" s="218"/>
      <c r="I17" s="219"/>
      <c r="J17" s="398">
        <f t="shared" si="0"/>
        <v>0</v>
      </c>
      <c r="K17" s="399"/>
      <c r="L17" s="222"/>
      <c r="M17" s="223"/>
      <c r="N17" s="219"/>
      <c r="O17" s="398">
        <f t="shared" si="1"/>
        <v>0</v>
      </c>
      <c r="P17" s="221">
        <f t="shared" si="2"/>
        <v>0</v>
      </c>
      <c r="Q17" s="400"/>
      <c r="R17" s="401"/>
      <c r="S17" s="23"/>
      <c r="T17" s="23"/>
      <c r="U17" s="23"/>
      <c r="V17" s="3" t="s">
        <v>49</v>
      </c>
      <c r="W17" s="23">
        <v>6.3216658141373188</v>
      </c>
      <c r="X17" s="24" t="str">
        <f t="shared" si="3"/>
        <v/>
      </c>
      <c r="Y17" s="25" t="str">
        <f t="shared" si="4"/>
        <v/>
      </c>
      <c r="Z17" s="24" t="str">
        <f t="shared" si="5"/>
        <v/>
      </c>
      <c r="AA17" s="24" t="str">
        <f t="shared" si="6"/>
        <v/>
      </c>
      <c r="AB17" s="25">
        <f t="shared" si="7"/>
        <v>0</v>
      </c>
      <c r="AC17" s="3" t="str">
        <f t="shared" ref="AC17:AG17" si="28">IF(C17&gt;0,AC$21-$AB17*FLOOR(AC$21/$AB17,1),"")</f>
        <v/>
      </c>
      <c r="AD17" s="3" t="str">
        <f t="shared" si="28"/>
        <v/>
      </c>
      <c r="AE17" s="3" t="str">
        <f t="shared" si="28"/>
        <v/>
      </c>
      <c r="AF17" s="3" t="str">
        <f t="shared" si="28"/>
        <v/>
      </c>
      <c r="AG17" s="3" t="str">
        <f t="shared" si="28"/>
        <v/>
      </c>
      <c r="AH17" s="3" t="str">
        <f t="shared" si="9"/>
        <v/>
      </c>
      <c r="AI17" s="26" t="str">
        <f>IF(AB17&gt;0,HLOOKUP(AH17,AC17:AG33,5,FALSE),"")</f>
        <v/>
      </c>
      <c r="AJ17" s="3"/>
      <c r="AK17" s="3"/>
      <c r="AL17" s="25">
        <f t="shared" si="10"/>
        <v>0</v>
      </c>
      <c r="AM17" s="25">
        <f t="shared" si="11"/>
        <v>0</v>
      </c>
      <c r="AN17" s="25">
        <f t="shared" si="17"/>
        <v>0</v>
      </c>
      <c r="AO17" s="25">
        <f t="shared" si="12"/>
        <v>0</v>
      </c>
      <c r="AP17" s="3"/>
      <c r="AQ17" s="25">
        <f t="shared" si="13"/>
        <v>0</v>
      </c>
      <c r="AR17" s="3" t="str">
        <f t="shared" ref="AR17:AV17" si="29">IF(C17&gt;0,AR$21-$AQ17*FLOOR(AR$21/$AQ17,1),"")</f>
        <v/>
      </c>
      <c r="AS17" s="3" t="str">
        <f t="shared" si="29"/>
        <v/>
      </c>
      <c r="AT17" s="3" t="str">
        <f t="shared" si="29"/>
        <v/>
      </c>
      <c r="AU17" s="3" t="str">
        <f t="shared" si="29"/>
        <v/>
      </c>
      <c r="AV17" s="3" t="str">
        <f t="shared" si="29"/>
        <v/>
      </c>
      <c r="AW17" s="3" t="str">
        <f t="shared" si="15"/>
        <v/>
      </c>
      <c r="AX17" s="26" t="str">
        <f>IF(AQ17&gt;0,HLOOKUP(AW17,AR17:AV33,5,FALSE),"")</f>
        <v/>
      </c>
      <c r="AY17" s="3" t="str">
        <f t="shared" si="23"/>
        <v/>
      </c>
      <c r="AZ17" s="3" t="str">
        <f>IF(AQ17&gt;0,HLOOKUP(AY17,AR17:AV33,5,FALSE),"")</f>
        <v/>
      </c>
      <c r="BA17" s="3"/>
      <c r="BB17" s="3"/>
      <c r="BC17" s="3"/>
      <c r="BD17" s="3"/>
    </row>
    <row r="18" spans="1:56" ht="16.5" customHeight="1">
      <c r="A18" s="3"/>
      <c r="B18" s="215" t="s">
        <v>92</v>
      </c>
      <c r="C18" s="216"/>
      <c r="D18" s="216"/>
      <c r="E18" s="216"/>
      <c r="F18" s="216"/>
      <c r="G18" s="217"/>
      <c r="H18" s="218"/>
      <c r="I18" s="219"/>
      <c r="J18" s="398">
        <f t="shared" si="0"/>
        <v>0</v>
      </c>
      <c r="K18" s="399"/>
      <c r="L18" s="222"/>
      <c r="M18" s="223"/>
      <c r="N18" s="219"/>
      <c r="O18" s="398">
        <f t="shared" si="1"/>
        <v>0</v>
      </c>
      <c r="P18" s="221">
        <f t="shared" si="2"/>
        <v>0</v>
      </c>
      <c r="Q18" s="400"/>
      <c r="R18" s="401"/>
      <c r="S18" s="23"/>
      <c r="T18" s="23"/>
      <c r="U18" s="23"/>
      <c r="V18" s="23"/>
      <c r="W18" s="23"/>
      <c r="X18" s="24" t="str">
        <f t="shared" si="3"/>
        <v/>
      </c>
      <c r="Y18" s="25" t="str">
        <f t="shared" si="4"/>
        <v/>
      </c>
      <c r="Z18" s="24" t="str">
        <f t="shared" si="5"/>
        <v/>
      </c>
      <c r="AA18" s="24" t="str">
        <f t="shared" si="6"/>
        <v/>
      </c>
      <c r="AB18" s="25">
        <f t="shared" si="7"/>
        <v>0</v>
      </c>
      <c r="AC18" s="3" t="str">
        <f t="shared" ref="AC18:AG18" si="30">IF(C18&gt;0,AC$21-$AB18*FLOOR(AC$21/$AB18,1),"")</f>
        <v/>
      </c>
      <c r="AD18" s="3" t="str">
        <f t="shared" si="30"/>
        <v/>
      </c>
      <c r="AE18" s="3" t="str">
        <f t="shared" si="30"/>
        <v/>
      </c>
      <c r="AF18" s="3" t="str">
        <f t="shared" si="30"/>
        <v/>
      </c>
      <c r="AG18" s="3" t="str">
        <f t="shared" si="30"/>
        <v/>
      </c>
      <c r="AH18" s="3" t="str">
        <f t="shared" si="9"/>
        <v/>
      </c>
      <c r="AI18" s="26" t="str">
        <f>IF(AB18&gt;0,HLOOKUP(AH18,AC18:AG35,4,FALSE),"")</f>
        <v/>
      </c>
      <c r="AJ18" s="3"/>
      <c r="AK18" s="3"/>
      <c r="AL18" s="25">
        <f t="shared" si="10"/>
        <v>0</v>
      </c>
      <c r="AM18" s="25">
        <f t="shared" si="11"/>
        <v>0</v>
      </c>
      <c r="AN18" s="25">
        <f t="shared" si="17"/>
        <v>0</v>
      </c>
      <c r="AO18" s="25">
        <f t="shared" si="12"/>
        <v>0</v>
      </c>
      <c r="AP18" s="3"/>
      <c r="AQ18" s="25">
        <f t="shared" si="13"/>
        <v>0</v>
      </c>
      <c r="AR18" s="3" t="str">
        <f t="shared" ref="AR18:AV18" si="31">IF(C18&gt;0,AR$21-$AQ18*FLOOR(AR$21/$AQ18,1),"")</f>
        <v/>
      </c>
      <c r="AS18" s="3" t="str">
        <f t="shared" si="31"/>
        <v/>
      </c>
      <c r="AT18" s="3" t="str">
        <f t="shared" si="31"/>
        <v/>
      </c>
      <c r="AU18" s="3" t="str">
        <f t="shared" si="31"/>
        <v/>
      </c>
      <c r="AV18" s="3" t="str">
        <f t="shared" si="31"/>
        <v/>
      </c>
      <c r="AW18" s="3" t="str">
        <f t="shared" si="15"/>
        <v/>
      </c>
      <c r="AX18" s="26" t="str">
        <f>IF(AQ18&gt;0,HLOOKUP(AW18,AR18:AV35,4,FALSE),"")</f>
        <v/>
      </c>
      <c r="AY18" s="3" t="str">
        <f t="shared" si="23"/>
        <v/>
      </c>
      <c r="AZ18" s="3" t="str">
        <f>IF(AQ18&gt;0,HLOOKUP(AY18,AR18:AV35,4,FALSE),"")</f>
        <v/>
      </c>
      <c r="BA18" s="3"/>
      <c r="BB18" s="3"/>
      <c r="BC18" s="3"/>
      <c r="BD18" s="3"/>
    </row>
    <row r="19" spans="1:56" ht="16.5" customHeight="1">
      <c r="A19" s="3"/>
      <c r="B19" s="215" t="s">
        <v>93</v>
      </c>
      <c r="C19" s="216"/>
      <c r="D19" s="216"/>
      <c r="E19" s="216"/>
      <c r="F19" s="216"/>
      <c r="G19" s="217"/>
      <c r="H19" s="218"/>
      <c r="I19" s="219"/>
      <c r="J19" s="398">
        <f t="shared" si="0"/>
        <v>0</v>
      </c>
      <c r="K19" s="399"/>
      <c r="L19" s="222"/>
      <c r="M19" s="223"/>
      <c r="N19" s="219"/>
      <c r="O19" s="398">
        <f t="shared" si="1"/>
        <v>0</v>
      </c>
      <c r="P19" s="221">
        <f t="shared" si="2"/>
        <v>0</v>
      </c>
      <c r="Q19" s="400"/>
      <c r="R19" s="401"/>
      <c r="S19" s="23"/>
      <c r="T19" s="23"/>
      <c r="U19" s="23"/>
      <c r="V19" s="23"/>
      <c r="W19" s="23"/>
      <c r="X19" s="24" t="str">
        <f t="shared" si="3"/>
        <v/>
      </c>
      <c r="Y19" s="25" t="str">
        <f t="shared" si="4"/>
        <v/>
      </c>
      <c r="Z19" s="24" t="str">
        <f t="shared" si="5"/>
        <v/>
      </c>
      <c r="AA19" s="24" t="str">
        <f t="shared" si="6"/>
        <v/>
      </c>
      <c r="AB19" s="25">
        <f t="shared" si="7"/>
        <v>0</v>
      </c>
      <c r="AC19" s="3" t="str">
        <f t="shared" ref="AC19:AG19" si="32">IF(C19&gt;0,AC$21-$AB19*FLOOR(AC$21/$AB19,1),"")</f>
        <v/>
      </c>
      <c r="AD19" s="3" t="str">
        <f t="shared" si="32"/>
        <v/>
      </c>
      <c r="AE19" s="3" t="str">
        <f t="shared" si="32"/>
        <v/>
      </c>
      <c r="AF19" s="3" t="str">
        <f t="shared" si="32"/>
        <v/>
      </c>
      <c r="AG19" s="3" t="str">
        <f t="shared" si="32"/>
        <v/>
      </c>
      <c r="AH19" s="3" t="str">
        <f t="shared" si="9"/>
        <v/>
      </c>
      <c r="AI19" s="26" t="str">
        <f>IF(AB19&gt;0,HLOOKUP(AH19,AC19:AG37,3,FALSE),"")</f>
        <v/>
      </c>
      <c r="AJ19" s="3"/>
      <c r="AK19" s="3"/>
      <c r="AL19" s="25">
        <f t="shared" si="10"/>
        <v>0</v>
      </c>
      <c r="AM19" s="25">
        <f t="shared" si="11"/>
        <v>0</v>
      </c>
      <c r="AN19" s="25">
        <f t="shared" si="17"/>
        <v>0</v>
      </c>
      <c r="AO19" s="25">
        <f t="shared" si="12"/>
        <v>0</v>
      </c>
      <c r="AP19" s="3"/>
      <c r="AQ19" s="25">
        <f t="shared" si="13"/>
        <v>0</v>
      </c>
      <c r="AR19" s="3" t="str">
        <f t="shared" ref="AR19:AV19" si="33">IF(C19&gt;0,AR$21-$AQ19*FLOOR(AR$21/$AQ19,1),"")</f>
        <v/>
      </c>
      <c r="AS19" s="3" t="str">
        <f t="shared" si="33"/>
        <v/>
      </c>
      <c r="AT19" s="3" t="str">
        <f t="shared" si="33"/>
        <v/>
      </c>
      <c r="AU19" s="3" t="str">
        <f t="shared" si="33"/>
        <v/>
      </c>
      <c r="AV19" s="3" t="str">
        <f t="shared" si="33"/>
        <v/>
      </c>
      <c r="AW19" s="3" t="str">
        <f t="shared" si="15"/>
        <v/>
      </c>
      <c r="AX19" s="26" t="str">
        <f>IF(AQ19&gt;0,HLOOKUP(AW19,AR19:AV37,3,FALSE),"")</f>
        <v/>
      </c>
      <c r="AY19" s="3" t="str">
        <f t="shared" si="23"/>
        <v/>
      </c>
      <c r="AZ19" s="3" t="str">
        <f>IF(AQ19&gt;0,HLOOKUP(AY19,AR19:AV37,3,FALSE),"")</f>
        <v/>
      </c>
      <c r="BA19" s="3"/>
      <c r="BB19" s="3"/>
      <c r="BC19" s="3"/>
      <c r="BD19" s="3"/>
    </row>
    <row r="20" spans="1:56" ht="16.5" customHeight="1">
      <c r="A20" s="3"/>
      <c r="B20" s="225" t="s">
        <v>94</v>
      </c>
      <c r="C20" s="226"/>
      <c r="D20" s="226"/>
      <c r="E20" s="226"/>
      <c r="F20" s="226"/>
      <c r="G20" s="227"/>
      <c r="H20" s="228"/>
      <c r="I20" s="229"/>
      <c r="J20" s="402">
        <f t="shared" si="0"/>
        <v>0</v>
      </c>
      <c r="K20" s="403"/>
      <c r="L20" s="232"/>
      <c r="M20" s="233"/>
      <c r="N20" s="229"/>
      <c r="O20" s="402">
        <f t="shared" si="1"/>
        <v>0</v>
      </c>
      <c r="P20" s="231">
        <f t="shared" si="2"/>
        <v>0</v>
      </c>
      <c r="Q20" s="404"/>
      <c r="R20" s="405"/>
      <c r="S20" s="23"/>
      <c r="T20" s="23"/>
      <c r="U20" s="23"/>
      <c r="V20" s="23"/>
      <c r="W20" s="23"/>
      <c r="X20" s="24" t="str">
        <f t="shared" si="3"/>
        <v/>
      </c>
      <c r="Y20" s="25" t="str">
        <f t="shared" si="4"/>
        <v/>
      </c>
      <c r="Z20" s="24" t="str">
        <f t="shared" si="5"/>
        <v/>
      </c>
      <c r="AA20" s="24" t="str">
        <f t="shared" si="6"/>
        <v/>
      </c>
      <c r="AB20" s="25">
        <f t="shared" si="7"/>
        <v>0</v>
      </c>
      <c r="AC20" s="3" t="str">
        <f t="shared" ref="AC20:AG20" si="34">IF(C20&gt;0,AC$21-$AB20*FLOOR(AC$21/$AB20,1),"")</f>
        <v/>
      </c>
      <c r="AD20" s="3" t="str">
        <f t="shared" si="34"/>
        <v/>
      </c>
      <c r="AE20" s="3" t="str">
        <f t="shared" si="34"/>
        <v/>
      </c>
      <c r="AF20" s="3" t="str">
        <f t="shared" si="34"/>
        <v/>
      </c>
      <c r="AG20" s="3" t="str">
        <f t="shared" si="34"/>
        <v/>
      </c>
      <c r="AH20" s="3" t="str">
        <f t="shared" si="9"/>
        <v/>
      </c>
      <c r="AI20" s="26" t="str">
        <f>IF(AB20&gt;0,HLOOKUP(AH20,AC20:AG39,2,FALSE),"")</f>
        <v/>
      </c>
      <c r="AJ20" s="3"/>
      <c r="AK20" s="3"/>
      <c r="AL20" s="25">
        <f t="shared" si="10"/>
        <v>0</v>
      </c>
      <c r="AM20" s="25">
        <f t="shared" si="11"/>
        <v>0</v>
      </c>
      <c r="AN20" s="25">
        <f t="shared" si="17"/>
        <v>0</v>
      </c>
      <c r="AO20" s="25">
        <f t="shared" si="12"/>
        <v>0</v>
      </c>
      <c r="AP20" s="3"/>
      <c r="AQ20" s="25">
        <f t="shared" si="13"/>
        <v>0</v>
      </c>
      <c r="AR20" s="3" t="str">
        <f t="shared" ref="AR20:AV20" si="35">IF(C20&gt;0,AR$21-$AQ20*FLOOR(AR$21/$AQ20,1),"")</f>
        <v/>
      </c>
      <c r="AS20" s="3" t="str">
        <f t="shared" si="35"/>
        <v/>
      </c>
      <c r="AT20" s="3" t="str">
        <f t="shared" si="35"/>
        <v/>
      </c>
      <c r="AU20" s="3" t="str">
        <f t="shared" si="35"/>
        <v/>
      </c>
      <c r="AV20" s="3" t="str">
        <f t="shared" si="35"/>
        <v/>
      </c>
      <c r="AW20" s="3" t="str">
        <f t="shared" si="15"/>
        <v/>
      </c>
      <c r="AX20" s="26" t="str">
        <f>IF(AQ20&gt;0,HLOOKUP(AW20,AR20:AV39,2,FALSE),"")</f>
        <v/>
      </c>
      <c r="AY20" s="3" t="str">
        <f t="shared" si="23"/>
        <v/>
      </c>
      <c r="AZ20" s="3" t="str">
        <f>IF(AQ20&gt;0,HLOOKUP(AY20,AR20:AV39,2,FALSE),"")</f>
        <v/>
      </c>
      <c r="BA20" s="3"/>
      <c r="BB20" s="3"/>
      <c r="BC20" s="3"/>
      <c r="BD20" s="3"/>
    </row>
    <row r="21" spans="1:56" ht="16.5" customHeight="1">
      <c r="A21" s="3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3"/>
      <c r="T21" s="3"/>
      <c r="U21" s="3"/>
      <c r="V21" s="3"/>
      <c r="W21" s="3"/>
      <c r="X21" s="24">
        <f t="shared" ref="X21:Y21" si="36">SUM(X11:X17)</f>
        <v>117.34592167492397</v>
      </c>
      <c r="Y21" s="24">
        <f t="shared" si="36"/>
        <v>53.339055306783621</v>
      </c>
      <c r="Z21" s="3"/>
      <c r="AA21" s="3"/>
      <c r="AB21" s="3"/>
      <c r="AC21" s="3">
        <v>6</v>
      </c>
      <c r="AD21" s="3">
        <f t="shared" ref="AD21:AG21" si="37">AC21+1.5</f>
        <v>7.5</v>
      </c>
      <c r="AE21" s="3">
        <f t="shared" si="37"/>
        <v>9</v>
      </c>
      <c r="AF21" s="3">
        <f t="shared" si="37"/>
        <v>10.5</v>
      </c>
      <c r="AG21" s="3">
        <f t="shared" si="37"/>
        <v>12</v>
      </c>
      <c r="AH21" s="3"/>
      <c r="AI21" s="26"/>
      <c r="AJ21" s="3"/>
      <c r="AK21" s="3"/>
      <c r="AL21" s="25">
        <f t="shared" ref="AL21:AN21" si="38">SUM(AL11:AL20)</f>
        <v>5.625</v>
      </c>
      <c r="AM21" s="25">
        <f t="shared" si="38"/>
        <v>23.625</v>
      </c>
      <c r="AN21" s="25">
        <f t="shared" si="38"/>
        <v>17.71875</v>
      </c>
      <c r="AO21" s="25"/>
      <c r="AP21" s="3"/>
      <c r="AQ21" s="3"/>
      <c r="AR21" s="3">
        <v>6</v>
      </c>
      <c r="AS21" s="3">
        <f t="shared" ref="AS21:AV21" si="39">AR21+1.5</f>
        <v>7.5</v>
      </c>
      <c r="AT21" s="3">
        <f t="shared" si="39"/>
        <v>9</v>
      </c>
      <c r="AU21" s="3">
        <f t="shared" si="39"/>
        <v>10.5</v>
      </c>
      <c r="AV21" s="3">
        <f t="shared" si="39"/>
        <v>12</v>
      </c>
      <c r="AW21" s="3"/>
      <c r="AX21" s="3"/>
      <c r="AY21" s="3"/>
      <c r="AZ21" s="3"/>
      <c r="BA21" s="3"/>
      <c r="BB21" s="3"/>
      <c r="BC21" s="3"/>
      <c r="BD21" s="3"/>
    </row>
    <row r="22" spans="1:56" ht="16.5" customHeight="1">
      <c r="A22" s="3"/>
      <c r="B22" s="174"/>
      <c r="C22" s="174"/>
      <c r="D22" s="174"/>
      <c r="E22" s="174"/>
      <c r="F22" s="235" t="s">
        <v>53</v>
      </c>
      <c r="G22" s="172"/>
      <c r="H22" s="172"/>
      <c r="I22" s="172"/>
      <c r="J22" s="172"/>
      <c r="K22" s="173"/>
      <c r="L22" s="174"/>
      <c r="M22" s="174"/>
      <c r="N22" s="174"/>
      <c r="O22" s="174"/>
      <c r="P22" s="174"/>
      <c r="Q22" s="174"/>
      <c r="R22" s="174"/>
      <c r="S22" s="3"/>
      <c r="T22" s="3"/>
      <c r="U22" s="3"/>
      <c r="V22" s="3"/>
      <c r="W22" s="3"/>
      <c r="X22" s="24">
        <f>X21+Y21</f>
        <v>170.68497698170759</v>
      </c>
      <c r="Y22" s="2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25">
        <f>VLOOKUP(G8,AJ11:AK14,2,FALSE)</f>
        <v>8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 spans="1:56" ht="16.5" customHeight="1">
      <c r="A23" s="3"/>
      <c r="B23" s="174"/>
      <c r="C23" s="174"/>
      <c r="D23" s="174"/>
      <c r="E23" s="174"/>
      <c r="F23" s="236"/>
      <c r="G23" s="237"/>
      <c r="H23" s="237"/>
      <c r="I23" s="237"/>
      <c r="J23" s="237"/>
      <c r="K23" s="238"/>
      <c r="L23" s="174"/>
      <c r="M23" s="174"/>
      <c r="N23" s="174"/>
      <c r="O23" s="174"/>
      <c r="P23" s="174"/>
      <c r="Q23" s="174"/>
      <c r="R23" s="174"/>
      <c r="S23" s="3"/>
      <c r="T23" s="3"/>
      <c r="U23" s="3"/>
      <c r="V23" s="3"/>
      <c r="W23" s="3"/>
      <c r="X23" s="23" t="s">
        <v>30</v>
      </c>
      <c r="Y23" s="24">
        <f>CEILING(0.013*X22,0.5)</f>
        <v>2.5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54</v>
      </c>
      <c r="AL23" s="3">
        <f>CEILING(AL22*AL21,1)</f>
        <v>45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</row>
    <row r="24" spans="1:56" ht="16.5" customHeight="1">
      <c r="A24" s="3"/>
      <c r="B24" s="174"/>
      <c r="C24" s="174"/>
      <c r="D24" s="174"/>
      <c r="E24" s="174"/>
      <c r="F24" s="239" t="s">
        <v>1</v>
      </c>
      <c r="G24" s="239" t="s">
        <v>55</v>
      </c>
      <c r="H24" s="239" t="s">
        <v>56</v>
      </c>
      <c r="I24" s="239" t="s">
        <v>57</v>
      </c>
      <c r="J24" s="239" t="s">
        <v>58</v>
      </c>
      <c r="K24" s="239" t="s">
        <v>59</v>
      </c>
      <c r="L24" s="174"/>
      <c r="M24" s="174"/>
      <c r="N24" s="174"/>
      <c r="O24" s="174"/>
      <c r="P24" s="174"/>
      <c r="Q24" s="174"/>
      <c r="R24" s="17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60</v>
      </c>
      <c r="AL24" s="25">
        <f>AL21/2</f>
        <v>2.8125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 spans="1:56" ht="16.5" customHeight="1">
      <c r="A25" s="3"/>
      <c r="B25" s="174"/>
      <c r="C25" s="174"/>
      <c r="D25" s="174"/>
      <c r="E25" s="174"/>
      <c r="F25" s="240"/>
      <c r="G25" s="241" t="str">
        <f>'Materials Price List'!A8</f>
        <v>Cement</v>
      </c>
      <c r="H25" s="241">
        <f t="shared" ref="H25:H27" si="40">AL23</f>
        <v>45</v>
      </c>
      <c r="I25" s="242" t="s">
        <v>61</v>
      </c>
      <c r="J25" s="243">
        <f>IF(H25="","",VLOOKUP(G25,'Materials Price List'!$A$8:$B$46,2,FALSE))</f>
        <v>220</v>
      </c>
      <c r="K25" s="243">
        <f t="shared" ref="K25:K48" si="41">IF(H25="","",H25*J25)</f>
        <v>9900</v>
      </c>
      <c r="L25" s="174"/>
      <c r="M25" s="174"/>
      <c r="N25" s="174"/>
      <c r="O25" s="174"/>
      <c r="P25" s="174"/>
      <c r="Q25" s="174"/>
      <c r="R25" s="17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 t="s">
        <v>62</v>
      </c>
      <c r="AL25" s="25">
        <f>AL21</f>
        <v>5.625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 spans="1:56" ht="16.5" customHeight="1">
      <c r="A26" s="3"/>
      <c r="B26" s="174"/>
      <c r="C26" s="174"/>
      <c r="D26" s="174"/>
      <c r="E26" s="174"/>
      <c r="F26" s="240"/>
      <c r="G26" s="241" t="str">
        <f>'Materials Price List'!A9</f>
        <v>Sand</v>
      </c>
      <c r="H26" s="242">
        <f t="shared" si="40"/>
        <v>2.8125</v>
      </c>
      <c r="I26" s="241" t="s">
        <v>63</v>
      </c>
      <c r="J26" s="243">
        <f>IF(H26="","",VLOOKUP(G26,'Materials Price List'!$A$8:$B$46,2,FALSE))</f>
        <v>875</v>
      </c>
      <c r="K26" s="243">
        <f t="shared" si="41"/>
        <v>2460.9375</v>
      </c>
      <c r="L26" s="174"/>
      <c r="M26" s="174"/>
      <c r="N26" s="174"/>
      <c r="O26" s="174"/>
      <c r="P26" s="174"/>
      <c r="Q26" s="174"/>
      <c r="R26" s="17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 spans="1:56" ht="16.5" customHeight="1">
      <c r="A27" s="3"/>
      <c r="B27" s="174"/>
      <c r="C27" s="174"/>
      <c r="D27" s="174"/>
      <c r="E27" s="174"/>
      <c r="F27" s="240"/>
      <c r="G27" s="241" t="str">
        <f>'Materials Price List'!A10</f>
        <v>Gravel</v>
      </c>
      <c r="H27" s="242">
        <f t="shared" si="40"/>
        <v>5.625</v>
      </c>
      <c r="I27" s="241" t="s">
        <v>63</v>
      </c>
      <c r="J27" s="243">
        <f>IF(H27="","",VLOOKUP(G27,'Materials Price List'!$A$8:$B$46,2,FALSE))</f>
        <v>1875</v>
      </c>
      <c r="K27" s="243">
        <f t="shared" si="41"/>
        <v>10546.875</v>
      </c>
      <c r="L27" s="174"/>
      <c r="M27" s="174"/>
      <c r="N27" s="174"/>
      <c r="O27" s="174"/>
      <c r="P27" s="174"/>
      <c r="Q27" s="174"/>
      <c r="R27" s="17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 spans="1:56" ht="16.5" customHeight="1">
      <c r="A28" s="3"/>
      <c r="B28" s="174"/>
      <c r="C28" s="174"/>
      <c r="D28" s="174"/>
      <c r="E28" s="174"/>
      <c r="F28" s="240"/>
      <c r="G28" s="241" t="s">
        <v>30</v>
      </c>
      <c r="H28" s="242">
        <f>Y23</f>
        <v>2.5</v>
      </c>
      <c r="I28" s="241" t="s">
        <v>64</v>
      </c>
      <c r="J28" s="243">
        <f>IF(H28="","",VLOOKUP(G28,'Materials Price List'!$A$8:$B$46,2,FALSE))</f>
        <v>95</v>
      </c>
      <c r="K28" s="243">
        <f t="shared" si="41"/>
        <v>237.5</v>
      </c>
      <c r="L28" s="174"/>
      <c r="M28" s="174"/>
      <c r="N28" s="174"/>
      <c r="O28" s="174"/>
      <c r="P28" s="174"/>
      <c r="Q28" s="174"/>
      <c r="R28" s="17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 spans="1:56" ht="16.5" customHeight="1">
      <c r="A29" s="37"/>
      <c r="B29" s="244"/>
      <c r="C29" s="244"/>
      <c r="D29" s="244"/>
      <c r="E29" s="244"/>
      <c r="F29" s="245" t="str">
        <f>IF(C11&gt;0,B11,"")</f>
        <v>WF-1</v>
      </c>
      <c r="G29" s="246" t="str">
        <f>IF(C11&gt;0,CONCATENATE(I11," X ",J11,"m"),"")</f>
        <v>12mm Ø X 6m</v>
      </c>
      <c r="H29" s="247">
        <f>Z11</f>
        <v>22</v>
      </c>
      <c r="I29" s="247" t="str">
        <f t="shared" ref="I29:I48" si="42">IF(H29="","","pcs")</f>
        <v>pcs</v>
      </c>
      <c r="J29" s="248">
        <f>IF(H29="","",VLOOKUP(G29,'Materials Price List'!$A$8:$B$46,2))</f>
        <v>235.88028169014083</v>
      </c>
      <c r="K29" s="248">
        <f t="shared" si="41"/>
        <v>5189.3661971830979</v>
      </c>
      <c r="L29" s="244"/>
      <c r="M29" s="244"/>
      <c r="N29" s="244"/>
      <c r="O29" s="244"/>
      <c r="P29" s="244"/>
      <c r="Q29" s="244"/>
      <c r="R29" s="244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</row>
    <row r="30" spans="1:56" ht="16.5" customHeight="1">
      <c r="A30" s="37"/>
      <c r="B30" s="244"/>
      <c r="C30" s="244"/>
      <c r="D30" s="244"/>
      <c r="E30" s="244"/>
      <c r="F30" s="249" t="str">
        <f>F29</f>
        <v>WF-1</v>
      </c>
      <c r="G30" s="246" t="str">
        <f>IF(C11&gt;0,CONCATENATE(N11," X ",O11,"m"),"")</f>
        <v>10mm Ø X 6m</v>
      </c>
      <c r="H30" s="247">
        <f>AA11</f>
        <v>10</v>
      </c>
      <c r="I30" s="247" t="str">
        <f t="shared" si="42"/>
        <v>pcs</v>
      </c>
      <c r="J30" s="248">
        <f>IF(H30="","",VLOOKUP(G30,'Materials Price List'!$A$8:$B$46,2))</f>
        <v>165</v>
      </c>
      <c r="K30" s="248">
        <f t="shared" si="41"/>
        <v>1650</v>
      </c>
      <c r="L30" s="244"/>
      <c r="M30" s="244"/>
      <c r="N30" s="244"/>
      <c r="O30" s="244"/>
      <c r="P30" s="244"/>
      <c r="Q30" s="244"/>
      <c r="R30" s="244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</row>
    <row r="31" spans="1:56" ht="16.5" customHeight="1">
      <c r="A31" s="37"/>
      <c r="B31" s="244"/>
      <c r="C31" s="244"/>
      <c r="D31" s="244"/>
      <c r="E31" s="244"/>
      <c r="F31" s="245" t="str">
        <f>IF(C12&gt;0,B12,"")</f>
        <v/>
      </c>
      <c r="G31" s="246" t="str">
        <f>IF(C12&gt;0,CONCATENATE(I12," X ",J12,"m"),"")</f>
        <v/>
      </c>
      <c r="H31" s="247" t="str">
        <f>Z12</f>
        <v/>
      </c>
      <c r="I31" s="247" t="str">
        <f t="shared" si="42"/>
        <v/>
      </c>
      <c r="J31" s="248" t="str">
        <f>IF(H31="","",VLOOKUP(G31,'Materials Price List'!$A$8:$B$46,2))</f>
        <v/>
      </c>
      <c r="K31" s="248" t="str">
        <f t="shared" si="41"/>
        <v/>
      </c>
      <c r="L31" s="244"/>
      <c r="M31" s="244"/>
      <c r="N31" s="244"/>
      <c r="O31" s="244"/>
      <c r="P31" s="244"/>
      <c r="Q31" s="244"/>
      <c r="R31" s="244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</row>
    <row r="32" spans="1:56" ht="16.5" customHeight="1">
      <c r="A32" s="37"/>
      <c r="B32" s="244"/>
      <c r="C32" s="244"/>
      <c r="D32" s="244"/>
      <c r="E32" s="244"/>
      <c r="F32" s="249" t="str">
        <f>F31</f>
        <v/>
      </c>
      <c r="G32" s="246" t="str">
        <f>IF(C12&gt;0,CONCATENATE(N12," X ",O12,"m"),"")</f>
        <v/>
      </c>
      <c r="H32" s="247" t="str">
        <f>AA12</f>
        <v/>
      </c>
      <c r="I32" s="247" t="str">
        <f t="shared" si="42"/>
        <v/>
      </c>
      <c r="J32" s="248" t="str">
        <f>IF(H32="","",VLOOKUP(G32,'Materials Price List'!$A$8:$B$46,2))</f>
        <v/>
      </c>
      <c r="K32" s="248" t="str">
        <f t="shared" si="41"/>
        <v/>
      </c>
      <c r="L32" s="244"/>
      <c r="M32" s="244"/>
      <c r="N32" s="244"/>
      <c r="O32" s="244"/>
      <c r="P32" s="244"/>
      <c r="Q32" s="244"/>
      <c r="R32" s="244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</row>
    <row r="33" spans="1:56" ht="16.5" customHeight="1">
      <c r="A33" s="37"/>
      <c r="B33" s="244"/>
      <c r="C33" s="244"/>
      <c r="D33" s="244"/>
      <c r="E33" s="244"/>
      <c r="F33" s="245" t="str">
        <f>IF(C13&gt;0,B13,"")</f>
        <v/>
      </c>
      <c r="G33" s="246" t="str">
        <f>IF(C13&gt;0,CONCATENATE(I13," X ",J13,"m"),"")</f>
        <v/>
      </c>
      <c r="H33" s="247" t="str">
        <f>Z13</f>
        <v/>
      </c>
      <c r="I33" s="247" t="str">
        <f t="shared" si="42"/>
        <v/>
      </c>
      <c r="J33" s="248" t="str">
        <f>IF(H33="","",VLOOKUP(G33,'Materials Price List'!$A$8:$B$46,2))</f>
        <v/>
      </c>
      <c r="K33" s="248" t="str">
        <f t="shared" si="41"/>
        <v/>
      </c>
      <c r="L33" s="244"/>
      <c r="M33" s="244"/>
      <c r="N33" s="244"/>
      <c r="O33" s="244"/>
      <c r="P33" s="244"/>
      <c r="Q33" s="244"/>
      <c r="R33" s="244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</row>
    <row r="34" spans="1:56" ht="16.5" customHeight="1">
      <c r="A34" s="37"/>
      <c r="B34" s="244"/>
      <c r="C34" s="244"/>
      <c r="D34" s="244"/>
      <c r="E34" s="244"/>
      <c r="F34" s="249" t="str">
        <f>F33</f>
        <v/>
      </c>
      <c r="G34" s="246" t="str">
        <f>IF(C13&gt;0,CONCATENATE(N13," X ",O13,"m"),"")</f>
        <v/>
      </c>
      <c r="H34" s="247" t="str">
        <f>AA13</f>
        <v/>
      </c>
      <c r="I34" s="247" t="str">
        <f t="shared" si="42"/>
        <v/>
      </c>
      <c r="J34" s="248" t="str">
        <f>IF(H34="","",VLOOKUP(G34,'Materials Price List'!$A$8:$B$46,2))</f>
        <v/>
      </c>
      <c r="K34" s="248" t="str">
        <f t="shared" si="41"/>
        <v/>
      </c>
      <c r="L34" s="244"/>
      <c r="M34" s="244"/>
      <c r="N34" s="244"/>
      <c r="O34" s="244"/>
      <c r="P34" s="244"/>
      <c r="Q34" s="244"/>
      <c r="R34" s="244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</row>
    <row r="35" spans="1:56" ht="16.5" customHeight="1">
      <c r="A35" s="37"/>
      <c r="B35" s="244"/>
      <c r="C35" s="244"/>
      <c r="D35" s="244"/>
      <c r="E35" s="244"/>
      <c r="F35" s="245" t="str">
        <f>IF(C14&gt;0,B14,"")</f>
        <v/>
      </c>
      <c r="G35" s="246" t="str">
        <f>IF(C14&gt;0,CONCATENATE(I14," X ",J14,"m"),"")</f>
        <v/>
      </c>
      <c r="H35" s="247" t="str">
        <f>Z14</f>
        <v/>
      </c>
      <c r="I35" s="247" t="str">
        <f t="shared" si="42"/>
        <v/>
      </c>
      <c r="J35" s="248" t="str">
        <f>IF(H35="","",VLOOKUP(G35,'Materials Price List'!$A$8:$B$46,2))</f>
        <v/>
      </c>
      <c r="K35" s="248" t="str">
        <f t="shared" si="41"/>
        <v/>
      </c>
      <c r="L35" s="244"/>
      <c r="M35" s="244"/>
      <c r="N35" s="244"/>
      <c r="O35" s="244"/>
      <c r="P35" s="244"/>
      <c r="Q35" s="244"/>
      <c r="R35" s="244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</row>
    <row r="36" spans="1:56" ht="16.5" customHeight="1">
      <c r="A36" s="37"/>
      <c r="B36" s="244"/>
      <c r="C36" s="244"/>
      <c r="D36" s="244"/>
      <c r="E36" s="244"/>
      <c r="F36" s="249" t="str">
        <f>F35</f>
        <v/>
      </c>
      <c r="G36" s="246" t="str">
        <f>IF(C14&gt;0,CONCATENATE(N14," X ",O14,"m"),"")</f>
        <v/>
      </c>
      <c r="H36" s="247" t="str">
        <f>AA14</f>
        <v/>
      </c>
      <c r="I36" s="247" t="str">
        <f t="shared" si="42"/>
        <v/>
      </c>
      <c r="J36" s="248" t="str">
        <f>IF(H36="","",VLOOKUP(G36,'Materials Price List'!$A$8:$B$46,2))</f>
        <v/>
      </c>
      <c r="K36" s="248" t="str">
        <f t="shared" si="41"/>
        <v/>
      </c>
      <c r="L36" s="244"/>
      <c r="M36" s="244"/>
      <c r="N36" s="244"/>
      <c r="O36" s="244"/>
      <c r="P36" s="244"/>
      <c r="Q36" s="244"/>
      <c r="R36" s="244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</row>
    <row r="37" spans="1:56" ht="16.5" customHeight="1">
      <c r="A37" s="37"/>
      <c r="B37" s="244"/>
      <c r="C37" s="244"/>
      <c r="D37" s="244"/>
      <c r="E37" s="244"/>
      <c r="F37" s="245" t="str">
        <f>IF(C15&gt;0,B15,"")</f>
        <v/>
      </c>
      <c r="G37" s="246" t="str">
        <f>IF(C15&gt;0,CONCATENATE(I15," X ",J15,"m"),"")</f>
        <v/>
      </c>
      <c r="H37" s="247" t="str">
        <f>Z15</f>
        <v/>
      </c>
      <c r="I37" s="247" t="str">
        <f t="shared" si="42"/>
        <v/>
      </c>
      <c r="J37" s="248" t="str">
        <f>IF(H37="","",VLOOKUP(G37,'Materials Price List'!$A$8:$B$46,2))</f>
        <v/>
      </c>
      <c r="K37" s="248" t="str">
        <f t="shared" si="41"/>
        <v/>
      </c>
      <c r="L37" s="244"/>
      <c r="M37" s="244"/>
      <c r="N37" s="244"/>
      <c r="O37" s="244"/>
      <c r="P37" s="244"/>
      <c r="Q37" s="244"/>
      <c r="R37" s="244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</row>
    <row r="38" spans="1:56" ht="16.5" customHeight="1">
      <c r="A38" s="37"/>
      <c r="B38" s="244"/>
      <c r="C38" s="244"/>
      <c r="D38" s="244"/>
      <c r="E38" s="244"/>
      <c r="F38" s="249" t="str">
        <f>F37</f>
        <v/>
      </c>
      <c r="G38" s="246" t="str">
        <f>IF(C15&gt;0,CONCATENATE(N15," X ",O15,"m"),"")</f>
        <v/>
      </c>
      <c r="H38" s="247" t="str">
        <f>AA15</f>
        <v/>
      </c>
      <c r="I38" s="247" t="str">
        <f t="shared" si="42"/>
        <v/>
      </c>
      <c r="J38" s="248" t="str">
        <f>IF(H38="","",VLOOKUP(G38,'Materials Price List'!$A$8:$B$46,2))</f>
        <v/>
      </c>
      <c r="K38" s="248" t="str">
        <f t="shared" si="41"/>
        <v/>
      </c>
      <c r="L38" s="244"/>
      <c r="M38" s="244"/>
      <c r="N38" s="244"/>
      <c r="O38" s="244"/>
      <c r="P38" s="244"/>
      <c r="Q38" s="244"/>
      <c r="R38" s="244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</row>
    <row r="39" spans="1:56" ht="16.5" customHeight="1">
      <c r="A39" s="37"/>
      <c r="B39" s="244"/>
      <c r="C39" s="244"/>
      <c r="D39" s="244"/>
      <c r="E39" s="244"/>
      <c r="F39" s="245" t="str">
        <f>IF(C16&gt;0,B16,"")</f>
        <v/>
      </c>
      <c r="G39" s="246" t="str">
        <f>IF(C16&gt;0,CONCATENATE(I16," X ",J16,"m"),"")</f>
        <v/>
      </c>
      <c r="H39" s="247" t="str">
        <f>Z16</f>
        <v/>
      </c>
      <c r="I39" s="247" t="str">
        <f t="shared" si="42"/>
        <v/>
      </c>
      <c r="J39" s="248" t="str">
        <f>IF(H39="","",VLOOKUP(G39,'Materials Price List'!$A$8:$B$46,2))</f>
        <v/>
      </c>
      <c r="K39" s="248" t="str">
        <f t="shared" si="41"/>
        <v/>
      </c>
      <c r="L39" s="244"/>
      <c r="M39" s="244"/>
      <c r="N39" s="244"/>
      <c r="O39" s="244"/>
      <c r="P39" s="244"/>
      <c r="Q39" s="244"/>
      <c r="R39" s="244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</row>
    <row r="40" spans="1:56" ht="16.5" customHeight="1">
      <c r="A40" s="37"/>
      <c r="B40" s="244"/>
      <c r="C40" s="244"/>
      <c r="D40" s="244"/>
      <c r="E40" s="244"/>
      <c r="F40" s="249" t="str">
        <f>F39</f>
        <v/>
      </c>
      <c r="G40" s="246" t="str">
        <f>IF(C16&gt;0,CONCATENATE(N16," X ",O16,"m"),"")</f>
        <v/>
      </c>
      <c r="H40" s="247" t="str">
        <f>AA16</f>
        <v/>
      </c>
      <c r="I40" s="247" t="str">
        <f t="shared" si="42"/>
        <v/>
      </c>
      <c r="J40" s="248" t="str">
        <f>IF(H40="","",VLOOKUP(G40,'Materials Price List'!$A$8:$B$46,2))</f>
        <v/>
      </c>
      <c r="K40" s="248" t="str">
        <f t="shared" si="41"/>
        <v/>
      </c>
      <c r="L40" s="244"/>
      <c r="M40" s="244"/>
      <c r="N40" s="244"/>
      <c r="O40" s="244"/>
      <c r="P40" s="244"/>
      <c r="Q40" s="244"/>
      <c r="R40" s="244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</row>
    <row r="41" spans="1:56" ht="16.5" customHeight="1">
      <c r="A41" s="37"/>
      <c r="B41" s="244"/>
      <c r="C41" s="244"/>
      <c r="D41" s="244"/>
      <c r="E41" s="244"/>
      <c r="F41" s="245" t="str">
        <f>IF(C17&gt;0,B17,"")</f>
        <v/>
      </c>
      <c r="G41" s="246" t="str">
        <f>IF(C17&gt;0,CONCATENATE(I17," X ",J17,"m"),"")</f>
        <v/>
      </c>
      <c r="H41" s="247" t="str">
        <f>Z17</f>
        <v/>
      </c>
      <c r="I41" s="247" t="str">
        <f t="shared" si="42"/>
        <v/>
      </c>
      <c r="J41" s="248" t="str">
        <f>IF(H41="","",VLOOKUP(G41,'Materials Price List'!$A$8:$B$46,2))</f>
        <v/>
      </c>
      <c r="K41" s="248" t="str">
        <f t="shared" si="41"/>
        <v/>
      </c>
      <c r="L41" s="244"/>
      <c r="M41" s="244"/>
      <c r="N41" s="244"/>
      <c r="O41" s="244"/>
      <c r="P41" s="244"/>
      <c r="Q41" s="244"/>
      <c r="R41" s="244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</row>
    <row r="42" spans="1:56" ht="16.5" customHeight="1">
      <c r="A42" s="37"/>
      <c r="B42" s="244"/>
      <c r="C42" s="244"/>
      <c r="D42" s="244"/>
      <c r="E42" s="244"/>
      <c r="F42" s="249" t="str">
        <f>F41</f>
        <v/>
      </c>
      <c r="G42" s="246" t="str">
        <f>IF(C17&gt;0,CONCATENATE(N17," X ",O17,"m"),"")</f>
        <v/>
      </c>
      <c r="H42" s="247" t="str">
        <f>AA17</f>
        <v/>
      </c>
      <c r="I42" s="247" t="str">
        <f t="shared" si="42"/>
        <v/>
      </c>
      <c r="J42" s="248" t="str">
        <f>IF(H42="","",VLOOKUP(G42,'Materials Price List'!$A$8:$B$46,2))</f>
        <v/>
      </c>
      <c r="K42" s="248" t="str">
        <f t="shared" si="41"/>
        <v/>
      </c>
      <c r="L42" s="244"/>
      <c r="M42" s="244"/>
      <c r="N42" s="244"/>
      <c r="O42" s="244"/>
      <c r="P42" s="244"/>
      <c r="Q42" s="244"/>
      <c r="R42" s="244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</row>
    <row r="43" spans="1:56" ht="16.5" customHeight="1">
      <c r="A43" s="37"/>
      <c r="B43" s="244"/>
      <c r="C43" s="244"/>
      <c r="D43" s="244"/>
      <c r="E43" s="244"/>
      <c r="F43" s="245" t="str">
        <f>IF(C18&gt;0,B18,"")</f>
        <v/>
      </c>
      <c r="G43" s="246" t="str">
        <f>IF(C18&gt;0,CONCATENATE(I18," X ",J18,"m"),"")</f>
        <v/>
      </c>
      <c r="H43" s="247" t="str">
        <f>Z18</f>
        <v/>
      </c>
      <c r="I43" s="247" t="str">
        <f t="shared" si="42"/>
        <v/>
      </c>
      <c r="J43" s="248" t="str">
        <f>IF(H43="","",VLOOKUP(G43,'Materials Price List'!$A$8:$B$46,2))</f>
        <v/>
      </c>
      <c r="K43" s="248" t="str">
        <f t="shared" si="41"/>
        <v/>
      </c>
      <c r="L43" s="244"/>
      <c r="M43" s="244"/>
      <c r="N43" s="244"/>
      <c r="O43" s="244"/>
      <c r="P43" s="244"/>
      <c r="Q43" s="244"/>
      <c r="R43" s="244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 ht="16.5" customHeight="1">
      <c r="A44" s="37"/>
      <c r="B44" s="244"/>
      <c r="C44" s="244"/>
      <c r="D44" s="244"/>
      <c r="E44" s="244"/>
      <c r="F44" s="249" t="str">
        <f>F43</f>
        <v/>
      </c>
      <c r="G44" s="246" t="str">
        <f>IF(C18&gt;0,CONCATENATE(N18," X ",O18,"m"),"")</f>
        <v/>
      </c>
      <c r="H44" s="247" t="str">
        <f>AA18</f>
        <v/>
      </c>
      <c r="I44" s="247" t="str">
        <f t="shared" si="42"/>
        <v/>
      </c>
      <c r="J44" s="248" t="str">
        <f>IF(H44="","",VLOOKUP(G44,'Materials Price List'!$A$8:$B$46,2))</f>
        <v/>
      </c>
      <c r="K44" s="248" t="str">
        <f t="shared" si="41"/>
        <v/>
      </c>
      <c r="L44" s="244"/>
      <c r="M44" s="244"/>
      <c r="N44" s="244"/>
      <c r="O44" s="244"/>
      <c r="P44" s="244"/>
      <c r="Q44" s="244"/>
      <c r="R44" s="244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ht="16.5" customHeight="1">
      <c r="A45" s="37"/>
      <c r="B45" s="244"/>
      <c r="C45" s="244"/>
      <c r="D45" s="244"/>
      <c r="E45" s="244"/>
      <c r="F45" s="245" t="str">
        <f>IF(C19&gt;0,B19,"")</f>
        <v/>
      </c>
      <c r="G45" s="246" t="str">
        <f>IF(C19&gt;0,CONCATENATE(I19," X ",J19,"m"),"")</f>
        <v/>
      </c>
      <c r="H45" s="247" t="str">
        <f>Z19</f>
        <v/>
      </c>
      <c r="I45" s="247" t="str">
        <f t="shared" si="42"/>
        <v/>
      </c>
      <c r="J45" s="248" t="str">
        <f>IF(H45="","",VLOOKUP(G45,'Materials Price List'!$A$8:$B$46,2))</f>
        <v/>
      </c>
      <c r="K45" s="248" t="str">
        <f t="shared" si="41"/>
        <v/>
      </c>
      <c r="L45" s="244"/>
      <c r="M45" s="244"/>
      <c r="N45" s="244"/>
      <c r="O45" s="244"/>
      <c r="P45" s="244"/>
      <c r="Q45" s="244"/>
      <c r="R45" s="244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</row>
    <row r="46" spans="1:56" ht="16.5" customHeight="1">
      <c r="A46" s="37"/>
      <c r="B46" s="244"/>
      <c r="C46" s="244"/>
      <c r="D46" s="244"/>
      <c r="E46" s="244"/>
      <c r="F46" s="249" t="str">
        <f>F45</f>
        <v/>
      </c>
      <c r="G46" s="246" t="str">
        <f>IF(C19&gt;0,CONCATENATE(N19," X ",O19,"m"),"")</f>
        <v/>
      </c>
      <c r="H46" s="247" t="str">
        <f>AA19</f>
        <v/>
      </c>
      <c r="I46" s="247" t="str">
        <f t="shared" si="42"/>
        <v/>
      </c>
      <c r="J46" s="248" t="str">
        <f>IF(H46="","",VLOOKUP(G46,'Materials Price List'!$A$8:$B$46,2))</f>
        <v/>
      </c>
      <c r="K46" s="248" t="str">
        <f t="shared" si="41"/>
        <v/>
      </c>
      <c r="L46" s="244"/>
      <c r="M46" s="244"/>
      <c r="N46" s="244"/>
      <c r="O46" s="244"/>
      <c r="P46" s="244"/>
      <c r="Q46" s="244"/>
      <c r="R46" s="244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</row>
    <row r="47" spans="1:56" ht="16.5" customHeight="1">
      <c r="A47" s="37"/>
      <c r="B47" s="244"/>
      <c r="C47" s="244"/>
      <c r="D47" s="244"/>
      <c r="E47" s="244"/>
      <c r="F47" s="245" t="str">
        <f>IF(C20&gt;0,B20,"")</f>
        <v/>
      </c>
      <c r="G47" s="246" t="str">
        <f>IF(C20&gt;0,CONCATENATE(I20," X ",J20,"m"),"")</f>
        <v/>
      </c>
      <c r="H47" s="247" t="str">
        <f>Z20</f>
        <v/>
      </c>
      <c r="I47" s="247" t="str">
        <f t="shared" si="42"/>
        <v/>
      </c>
      <c r="J47" s="248" t="str">
        <f>IF(H47="","",VLOOKUP(G47,'Materials Price List'!$A$8:$B$46,2))</f>
        <v/>
      </c>
      <c r="K47" s="248" t="str">
        <f t="shared" si="41"/>
        <v/>
      </c>
      <c r="L47" s="244"/>
      <c r="M47" s="244"/>
      <c r="N47" s="244"/>
      <c r="O47" s="244"/>
      <c r="P47" s="244"/>
      <c r="Q47" s="244"/>
      <c r="R47" s="244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</row>
    <row r="48" spans="1:56" ht="16.5" customHeight="1">
      <c r="A48" s="37"/>
      <c r="B48" s="244"/>
      <c r="C48" s="244"/>
      <c r="D48" s="244"/>
      <c r="E48" s="244"/>
      <c r="F48" s="249" t="str">
        <f>F47</f>
        <v/>
      </c>
      <c r="G48" s="246" t="str">
        <f>IF(C20&gt;0,CONCATENATE(N20," X ",O20,"m"),"")</f>
        <v/>
      </c>
      <c r="H48" s="247" t="str">
        <f>AA20</f>
        <v/>
      </c>
      <c r="I48" s="247" t="str">
        <f t="shared" si="42"/>
        <v/>
      </c>
      <c r="J48" s="248" t="str">
        <f>IF(H48="","",VLOOKUP(G48,'Materials Price List'!$A$8:$B$46,2))</f>
        <v/>
      </c>
      <c r="K48" s="248" t="str">
        <f t="shared" si="41"/>
        <v/>
      </c>
      <c r="L48" s="244"/>
      <c r="M48" s="244"/>
      <c r="N48" s="244"/>
      <c r="O48" s="244"/>
      <c r="P48" s="244"/>
      <c r="Q48" s="244"/>
      <c r="R48" s="244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</row>
    <row r="49" spans="1:56" ht="16.5" customHeight="1">
      <c r="A49" s="3"/>
      <c r="B49" s="174"/>
      <c r="C49" s="174"/>
      <c r="D49" s="174"/>
      <c r="E49" s="174"/>
      <c r="F49" s="250" t="s">
        <v>65</v>
      </c>
      <c r="G49" s="251"/>
      <c r="H49" s="251"/>
      <c r="I49" s="251"/>
      <c r="J49" s="252"/>
      <c r="K49" s="253">
        <f>SUM(K25:K48)</f>
        <v>29984.678697183099</v>
      </c>
      <c r="L49" s="174"/>
      <c r="M49" s="174"/>
      <c r="N49" s="174"/>
      <c r="O49" s="174"/>
      <c r="P49" s="174"/>
      <c r="Q49" s="174"/>
      <c r="R49" s="17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 spans="1:56" ht="16.5" customHeight="1">
      <c r="A50" s="3"/>
      <c r="B50" s="174"/>
      <c r="C50" s="174"/>
      <c r="D50" s="174"/>
      <c r="E50" s="174"/>
      <c r="F50" s="254" t="s">
        <v>66</v>
      </c>
      <c r="G50" s="183"/>
      <c r="H50" s="183"/>
      <c r="I50" s="184"/>
      <c r="J50" s="255">
        <v>0.35</v>
      </c>
      <c r="K50" s="256">
        <f>J50*K49</f>
        <v>10494.637544014084</v>
      </c>
      <c r="L50" s="174"/>
      <c r="M50" s="174"/>
      <c r="N50" s="174"/>
      <c r="O50" s="174"/>
      <c r="P50" s="174"/>
      <c r="Q50" s="174"/>
      <c r="R50" s="17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 spans="1:56" ht="16.5" customHeight="1">
      <c r="A51" s="3"/>
      <c r="B51" s="174"/>
      <c r="C51" s="174"/>
      <c r="D51" s="174"/>
      <c r="E51" s="174"/>
      <c r="F51" s="257"/>
      <c r="G51" s="257"/>
      <c r="H51" s="257"/>
      <c r="I51" s="257"/>
      <c r="J51" s="258"/>
      <c r="K51" s="259"/>
      <c r="L51" s="174"/>
      <c r="M51" s="174"/>
      <c r="N51" s="174"/>
      <c r="O51" s="174"/>
      <c r="P51" s="174"/>
      <c r="Q51" s="174"/>
      <c r="R51" s="17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 spans="1:56" ht="16.5" customHeight="1">
      <c r="A52" s="3"/>
      <c r="B52" s="174"/>
      <c r="C52" s="174"/>
      <c r="D52" s="174"/>
      <c r="E52" s="174"/>
      <c r="F52" s="260" t="s">
        <v>67</v>
      </c>
      <c r="G52" s="176"/>
      <c r="H52" s="261">
        <f>AM21</f>
        <v>23.625</v>
      </c>
      <c r="I52" s="262" t="s">
        <v>63</v>
      </c>
      <c r="J52" s="263">
        <v>200</v>
      </c>
      <c r="K52" s="259" t="s">
        <v>68</v>
      </c>
      <c r="L52" s="174"/>
      <c r="M52" s="174"/>
      <c r="N52" s="174"/>
      <c r="O52" s="174"/>
      <c r="P52" s="174"/>
      <c r="Q52" s="174"/>
      <c r="R52" s="17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 spans="1:56" ht="16.5" customHeight="1">
      <c r="A53" s="3"/>
      <c r="B53" s="174"/>
      <c r="C53" s="174"/>
      <c r="D53" s="174"/>
      <c r="E53" s="174"/>
      <c r="F53" s="260" t="s">
        <v>69</v>
      </c>
      <c r="G53" s="176"/>
      <c r="H53" s="261">
        <f>AN21</f>
        <v>17.71875</v>
      </c>
      <c r="I53" s="262" t="s">
        <v>63</v>
      </c>
      <c r="J53" s="263">
        <v>125</v>
      </c>
      <c r="K53" s="259" t="str">
        <f>K52</f>
        <v>per cu.m</v>
      </c>
      <c r="L53" s="174"/>
      <c r="M53" s="174"/>
      <c r="N53" s="174"/>
      <c r="O53" s="174"/>
      <c r="P53" s="174"/>
      <c r="Q53" s="174"/>
      <c r="R53" s="17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 spans="1:56" ht="16.5" customHeight="1">
      <c r="A54" s="3"/>
      <c r="B54" s="174"/>
      <c r="C54" s="174"/>
      <c r="D54" s="174"/>
      <c r="E54" s="174"/>
      <c r="F54" s="257"/>
      <c r="G54" s="257"/>
      <c r="H54" s="257"/>
      <c r="I54" s="257"/>
      <c r="J54" s="258"/>
      <c r="K54" s="259"/>
      <c r="L54" s="174"/>
      <c r="M54" s="174"/>
      <c r="N54" s="174"/>
      <c r="O54" s="174"/>
      <c r="P54" s="174"/>
      <c r="Q54" s="174"/>
      <c r="R54" s="17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 spans="1:56" ht="16.5" customHeight="1">
      <c r="A55" s="3"/>
      <c r="B55" s="174"/>
      <c r="C55" s="174"/>
      <c r="D55" s="174"/>
      <c r="E55" s="174"/>
      <c r="F55" s="264" t="s">
        <v>70</v>
      </c>
      <c r="G55" s="251"/>
      <c r="H55" s="251"/>
      <c r="I55" s="251"/>
      <c r="J55" s="252"/>
      <c r="K55" s="265">
        <f>J52*H52</f>
        <v>4725</v>
      </c>
      <c r="L55" s="174"/>
      <c r="M55" s="174"/>
      <c r="N55" s="174"/>
      <c r="O55" s="174"/>
      <c r="P55" s="174"/>
      <c r="Q55" s="174"/>
      <c r="R55" s="17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 spans="1:56" ht="16.5" customHeight="1">
      <c r="A56" s="3"/>
      <c r="B56" s="174"/>
      <c r="C56" s="174"/>
      <c r="D56" s="174"/>
      <c r="E56" s="174"/>
      <c r="F56" s="266" t="s">
        <v>71</v>
      </c>
      <c r="G56" s="251"/>
      <c r="H56" s="251"/>
      <c r="I56" s="251"/>
      <c r="J56" s="252"/>
      <c r="K56" s="267">
        <f>H53*J53</f>
        <v>2214.84375</v>
      </c>
      <c r="L56" s="174"/>
      <c r="M56" s="174"/>
      <c r="N56" s="174"/>
      <c r="O56" s="174"/>
      <c r="P56" s="174"/>
      <c r="Q56" s="174"/>
      <c r="R56" s="17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1:56" ht="16.5" customHeight="1">
      <c r="A57" s="3"/>
      <c r="B57" s="174"/>
      <c r="C57" s="174"/>
      <c r="D57" s="174"/>
      <c r="E57" s="174"/>
      <c r="F57" s="257"/>
      <c r="G57" s="257"/>
      <c r="H57" s="257"/>
      <c r="I57" s="257"/>
      <c r="J57" s="258"/>
      <c r="K57" s="259"/>
      <c r="L57" s="174"/>
      <c r="M57" s="174"/>
      <c r="N57" s="174"/>
      <c r="O57" s="174"/>
      <c r="P57" s="174"/>
      <c r="Q57" s="174"/>
      <c r="R57" s="17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1:56" ht="16.5" customHeight="1">
      <c r="A58" s="3"/>
      <c r="B58" s="174"/>
      <c r="C58" s="174"/>
      <c r="D58" s="174"/>
      <c r="E58" s="174"/>
      <c r="F58" s="260" t="s">
        <v>72</v>
      </c>
      <c r="G58" s="176"/>
      <c r="H58" s="176"/>
      <c r="I58" s="176"/>
      <c r="J58" s="268">
        <v>8</v>
      </c>
      <c r="K58" s="269" t="s">
        <v>73</v>
      </c>
      <c r="L58" s="174"/>
      <c r="M58" s="174"/>
      <c r="N58" s="174"/>
      <c r="O58" s="174"/>
      <c r="P58" s="174"/>
      <c r="Q58" s="174"/>
      <c r="R58" s="17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 spans="1:56" ht="16.5" customHeight="1">
      <c r="A59" s="3"/>
      <c r="B59" s="174"/>
      <c r="C59" s="174"/>
      <c r="D59" s="174"/>
      <c r="E59" s="174"/>
      <c r="F59" s="260" t="s">
        <v>74</v>
      </c>
      <c r="G59" s="176"/>
      <c r="H59" s="176"/>
      <c r="I59" s="176"/>
      <c r="J59" s="270">
        <f>CEILING(SUM(AL11:AL20)/J58,1)</f>
        <v>1</v>
      </c>
      <c r="K59" s="269" t="s">
        <v>75</v>
      </c>
      <c r="L59" s="174"/>
      <c r="M59" s="174"/>
      <c r="N59" s="174"/>
      <c r="O59" s="174"/>
      <c r="P59" s="174"/>
      <c r="Q59" s="174"/>
      <c r="R59" s="17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 spans="1:56" ht="16.5" customHeight="1">
      <c r="A60" s="3"/>
      <c r="B60" s="174"/>
      <c r="C60" s="174"/>
      <c r="D60" s="174"/>
      <c r="E60" s="174"/>
      <c r="F60" s="260" t="s">
        <v>76</v>
      </c>
      <c r="G60" s="176"/>
      <c r="H60" s="176"/>
      <c r="I60" s="176"/>
      <c r="J60" s="271">
        <f>'Materials Price List'!B47</f>
        <v>1200</v>
      </c>
      <c r="K60" s="272" t="s">
        <v>77</v>
      </c>
      <c r="L60" s="174"/>
      <c r="M60" s="174"/>
      <c r="N60" s="174"/>
      <c r="O60" s="174"/>
      <c r="P60" s="174"/>
      <c r="Q60" s="174"/>
      <c r="R60" s="17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1:56" ht="16.5" customHeight="1">
      <c r="A61" s="3"/>
      <c r="B61" s="174"/>
      <c r="C61" s="174"/>
      <c r="D61" s="174"/>
      <c r="E61" s="174"/>
      <c r="F61" s="273" t="s">
        <v>78</v>
      </c>
      <c r="G61" s="183"/>
      <c r="H61" s="183"/>
      <c r="I61" s="183"/>
      <c r="J61" s="184"/>
      <c r="K61" s="274">
        <f>J60*J59</f>
        <v>1200</v>
      </c>
      <c r="L61" s="174"/>
      <c r="M61" s="174"/>
      <c r="N61" s="174"/>
      <c r="O61" s="174"/>
      <c r="P61" s="174"/>
      <c r="Q61" s="174"/>
      <c r="R61" s="17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 spans="1:56" ht="16.5" customHeight="1">
      <c r="A62" s="3"/>
      <c r="B62" s="174"/>
      <c r="C62" s="174"/>
      <c r="D62" s="174"/>
      <c r="E62" s="174"/>
      <c r="F62" s="174"/>
      <c r="G62" s="174"/>
      <c r="H62" s="174"/>
      <c r="I62" s="174"/>
      <c r="J62" s="174"/>
      <c r="K62" s="275"/>
      <c r="L62" s="174"/>
      <c r="M62" s="174"/>
      <c r="N62" s="174"/>
      <c r="O62" s="174"/>
      <c r="P62" s="174"/>
      <c r="Q62" s="174"/>
      <c r="R62" s="17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 spans="1:56" ht="16.5" customHeight="1">
      <c r="A63" s="3"/>
      <c r="B63" s="174"/>
      <c r="C63" s="174"/>
      <c r="D63" s="174"/>
      <c r="E63" s="174"/>
      <c r="F63" s="174"/>
      <c r="G63" s="174"/>
      <c r="H63" s="260" t="s">
        <v>79</v>
      </c>
      <c r="I63" s="176"/>
      <c r="J63" s="176"/>
      <c r="K63" s="276">
        <f>K49+K50+K61+K55+K56</f>
        <v>48619.159991197186</v>
      </c>
      <c r="L63" s="174"/>
      <c r="M63" s="174"/>
      <c r="N63" s="174"/>
      <c r="O63" s="174"/>
      <c r="P63" s="174"/>
      <c r="Q63" s="174"/>
      <c r="R63" s="17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 spans="1:56" ht="16.5" customHeight="1">
      <c r="A64" s="3"/>
      <c r="B64" s="174"/>
      <c r="C64" s="174"/>
      <c r="D64" s="174"/>
      <c r="E64" s="174"/>
      <c r="F64" s="174"/>
      <c r="G64" s="275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 spans="1:56" ht="16.5" hidden="1" customHeight="1">
      <c r="A65" s="3"/>
      <c r="B65" s="174"/>
      <c r="C65" s="174"/>
      <c r="D65" s="174"/>
      <c r="E65" s="174"/>
      <c r="F65" s="174"/>
      <c r="G65" s="275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 spans="1:56" ht="16.5" hidden="1" customHeight="1">
      <c r="A66" s="3"/>
      <c r="B66" s="174"/>
      <c r="C66" s="174"/>
      <c r="D66" s="174"/>
      <c r="E66" s="174"/>
      <c r="F66" s="174"/>
      <c r="G66" s="275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 spans="1:56" ht="16.5" hidden="1" customHeight="1">
      <c r="A67" s="3"/>
      <c r="B67" s="174"/>
      <c r="C67" s="174"/>
      <c r="D67" s="174"/>
      <c r="E67" s="174"/>
      <c r="F67" s="174"/>
      <c r="G67" s="275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 spans="1:56" ht="16.5" hidden="1" customHeight="1">
      <c r="A68" s="3"/>
      <c r="B68" s="174"/>
      <c r="C68" s="174"/>
      <c r="D68" s="174"/>
      <c r="E68" s="174"/>
      <c r="F68" s="174"/>
      <c r="G68" s="275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 spans="1:56" ht="16.5" hidden="1" customHeight="1">
      <c r="A69" s="3"/>
      <c r="B69" s="174"/>
      <c r="C69" s="174"/>
      <c r="D69" s="174"/>
      <c r="E69" s="174"/>
      <c r="F69" s="174"/>
      <c r="G69" s="275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 spans="1:56" ht="16.5" hidden="1" customHeight="1">
      <c r="A70" s="3"/>
      <c r="B70" s="174"/>
      <c r="C70" s="174"/>
      <c r="D70" s="174"/>
      <c r="E70" s="174"/>
      <c r="F70" s="174"/>
      <c r="G70" s="275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 spans="1:56" ht="16.5" hidden="1" customHeight="1">
      <c r="A71" s="3"/>
      <c r="B71" s="174"/>
      <c r="C71" s="174"/>
      <c r="D71" s="174"/>
      <c r="E71" s="174"/>
      <c r="F71" s="174"/>
      <c r="G71" s="275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 spans="1:56" ht="16.5" hidden="1" customHeight="1">
      <c r="A72" s="3"/>
      <c r="B72" s="174"/>
      <c r="C72" s="174"/>
      <c r="D72" s="174"/>
      <c r="E72" s="174"/>
      <c r="F72" s="174"/>
      <c r="G72" s="275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 spans="1:56" ht="16.5" hidden="1" customHeight="1">
      <c r="A73" s="3"/>
      <c r="B73" s="174"/>
      <c r="C73" s="174"/>
      <c r="D73" s="174"/>
      <c r="E73" s="174"/>
      <c r="F73" s="174"/>
      <c r="G73" s="275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 spans="1:56" ht="16.5" hidden="1" customHeight="1">
      <c r="A74" s="3"/>
      <c r="B74" s="174"/>
      <c r="C74" s="174"/>
      <c r="D74" s="174"/>
      <c r="E74" s="174"/>
      <c r="F74" s="174"/>
      <c r="G74" s="275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 spans="1:56" ht="16.5" hidden="1" customHeight="1">
      <c r="A75" s="3"/>
      <c r="B75" s="174"/>
      <c r="C75" s="174"/>
      <c r="D75" s="174"/>
      <c r="E75" s="174"/>
      <c r="F75" s="174"/>
      <c r="G75" s="275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 spans="1:56" ht="16.5" hidden="1" customHeight="1">
      <c r="A76" s="3"/>
      <c r="B76" s="174"/>
      <c r="C76" s="174"/>
      <c r="D76" s="174"/>
      <c r="E76" s="174"/>
      <c r="F76" s="174"/>
      <c r="G76" s="275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 spans="1:56" ht="16.5" hidden="1" customHeight="1">
      <c r="A77" s="3"/>
      <c r="B77" s="174"/>
      <c r="C77" s="174"/>
      <c r="D77" s="174"/>
      <c r="E77" s="174"/>
      <c r="F77" s="174"/>
      <c r="G77" s="275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 spans="1:56" ht="16.5" hidden="1" customHeight="1">
      <c r="A78" s="3"/>
      <c r="B78" s="174"/>
      <c r="C78" s="174"/>
      <c r="D78" s="174"/>
      <c r="E78" s="174"/>
      <c r="F78" s="174"/>
      <c r="G78" s="275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 spans="1:56" ht="16.5" hidden="1" customHeight="1">
      <c r="A79" s="3"/>
      <c r="B79" s="174"/>
      <c r="C79" s="174"/>
      <c r="D79" s="174"/>
      <c r="E79" s="174"/>
      <c r="F79" s="174"/>
      <c r="G79" s="275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 spans="1:56" ht="16.5" hidden="1" customHeight="1">
      <c r="A80" s="3"/>
      <c r="B80" s="174"/>
      <c r="C80" s="174"/>
      <c r="D80" s="174"/>
      <c r="E80" s="174"/>
      <c r="F80" s="174"/>
      <c r="G80" s="275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 spans="1:56" ht="16.5" hidden="1" customHeight="1">
      <c r="A81" s="3"/>
      <c r="B81" s="174"/>
      <c r="C81" s="174"/>
      <c r="D81" s="174"/>
      <c r="E81" s="174"/>
      <c r="F81" s="174"/>
      <c r="G81" s="275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 spans="1:56" ht="16.5" hidden="1" customHeight="1">
      <c r="A82" s="3"/>
      <c r="B82" s="174"/>
      <c r="C82" s="174"/>
      <c r="D82" s="174"/>
      <c r="E82" s="174"/>
      <c r="F82" s="174"/>
      <c r="G82" s="275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 spans="1:56" ht="16.5" hidden="1" customHeight="1">
      <c r="A83" s="3"/>
      <c r="B83" s="174"/>
      <c r="C83" s="174"/>
      <c r="D83" s="174"/>
      <c r="E83" s="174"/>
      <c r="F83" s="174"/>
      <c r="G83" s="275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 spans="1:56" ht="16.5" hidden="1" customHeight="1">
      <c r="A84" s="3"/>
      <c r="B84" s="174"/>
      <c r="C84" s="174"/>
      <c r="D84" s="174"/>
      <c r="E84" s="174"/>
      <c r="F84" s="174"/>
      <c r="G84" s="275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 spans="1:56" ht="16.5" hidden="1" customHeight="1">
      <c r="A85" s="3"/>
      <c r="B85" s="174"/>
      <c r="C85" s="174"/>
      <c r="D85" s="174"/>
      <c r="E85" s="174"/>
      <c r="F85" s="174"/>
      <c r="G85" s="275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 spans="1:56" ht="16.5" hidden="1" customHeight="1">
      <c r="A86" s="3"/>
      <c r="B86" s="174"/>
      <c r="C86" s="174"/>
      <c r="D86" s="174"/>
      <c r="E86" s="174"/>
      <c r="F86" s="174"/>
      <c r="G86" s="275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 spans="1:56" ht="16.5" hidden="1" customHeight="1">
      <c r="A87" s="3"/>
      <c r="B87" s="174"/>
      <c r="C87" s="174"/>
      <c r="D87" s="174"/>
      <c r="E87" s="174"/>
      <c r="F87" s="174"/>
      <c r="G87" s="275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 spans="1:56" ht="16.5" hidden="1" customHeight="1">
      <c r="A88" s="3"/>
      <c r="B88" s="174"/>
      <c r="C88" s="174"/>
      <c r="D88" s="174"/>
      <c r="E88" s="174"/>
      <c r="F88" s="174"/>
      <c r="G88" s="275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 spans="1:56" ht="16.5" hidden="1" customHeight="1">
      <c r="A89" s="3"/>
      <c r="B89" s="174"/>
      <c r="C89" s="174"/>
      <c r="D89" s="174"/>
      <c r="E89" s="174"/>
      <c r="F89" s="174"/>
      <c r="G89" s="275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 spans="1:56" ht="16.5" customHeight="1">
      <c r="A90" s="3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 spans="1:56" ht="16.5" customHeight="1">
      <c r="A91" s="3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 spans="1:56" ht="16.5" customHeight="1">
      <c r="A92" s="3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 spans="1:56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 spans="1:56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 spans="1:56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 spans="1:5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 spans="1:56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 spans="1:56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 spans="1:56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 spans="1:56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 spans="1:56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 spans="1:56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 spans="1:56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 spans="1:56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 spans="1:56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 spans="1:5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 spans="1:56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 spans="1:56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 spans="1:56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 spans="1:56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 spans="1:56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 spans="1:56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 spans="1:56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 spans="1:56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 spans="1:56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 spans="1:5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 spans="1:56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 spans="1:56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 spans="1:56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 spans="1:56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 spans="1:56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 spans="1:56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 spans="1:56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 spans="1:56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 spans="1:56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 spans="1:5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 spans="1:56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 spans="1:56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 spans="1:56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 spans="1:56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 spans="1:56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 spans="1:56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 spans="1:56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 spans="1:56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 spans="1:56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 spans="1:5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 spans="1:56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 spans="1:56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 spans="1:56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 spans="1:56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 spans="1:56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 spans="1:56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 spans="1:56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 spans="1:56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 spans="1:56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 spans="1:5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 spans="1:56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 spans="1:56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 spans="1:56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 spans="1:56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 spans="1:56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 spans="1:56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 spans="1:56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 spans="1:56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 spans="1:56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 spans="1: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 spans="1:56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 spans="1:56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 spans="1:56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 spans="1:56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 spans="1:56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 spans="1:56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 spans="1:56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 spans="1:56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 spans="1:56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 spans="1:5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 spans="1:56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 spans="1:56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 spans="1:56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 spans="1:56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 spans="1:56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 spans="1:56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 spans="1:56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spans="1:56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 spans="1:56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 spans="1:5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 spans="1:56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 spans="1:56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 spans="1:56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 spans="1:56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 spans="1:56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 spans="1:56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 spans="1:56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 spans="1:56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 spans="1:56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 spans="1:5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 spans="1:56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 spans="1:56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 spans="1:56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 spans="1:56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 spans="1:56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 spans="1:56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 spans="1:56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 spans="1:56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 spans="1:56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 spans="1:5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 spans="1:56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 spans="1:56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 spans="1:56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 spans="1:56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 spans="1:56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 spans="1:56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 spans="1:56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 spans="1:56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 spans="1:56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 spans="1:5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 spans="1:56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 spans="1:56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 spans="1:56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 spans="1:56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 spans="1:56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 spans="1:56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 spans="1:56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 spans="1:56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 spans="1:56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 spans="1:5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 spans="1:56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 spans="1:56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 spans="1:56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 spans="1:56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 spans="1:56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 spans="1:56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 spans="1:56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 spans="1:56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 spans="1:56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 spans="1:5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 spans="1:56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 spans="1:56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 spans="1:56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 spans="1:56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 spans="1:56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 spans="1:56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 spans="1:56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 spans="1:56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 spans="1:56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 spans="1:5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 spans="1:56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 spans="1:56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 spans="1:56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 spans="1:56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1:56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1:56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 spans="1:56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 spans="1:56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 spans="1:56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 spans="1:5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 spans="1:56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 spans="1:56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 spans="1:56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 spans="1:56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 spans="1:56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 spans="1:56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 spans="1:56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 spans="1:56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 spans="1:56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 spans="1: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 spans="1:56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 spans="1:56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 spans="1:56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 spans="1:56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 spans="1:56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 spans="1:56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 spans="1:56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 spans="1:56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 spans="1:56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 spans="1:5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 spans="1:56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 spans="1:56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 spans="1:56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 spans="1:56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 spans="1:56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 spans="1:56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 spans="1:56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 spans="1:56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 spans="1:56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 spans="1:5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 spans="1:56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 spans="1:56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 spans="1:56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 spans="1:56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 spans="1:56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 spans="1:56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 spans="1:56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 spans="1:56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 spans="1:56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 spans="1:5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 spans="1:56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 spans="1:56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 spans="1:56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 spans="1:56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 spans="1:56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 spans="1:56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 spans="1:56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 spans="1:56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 spans="1:56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 spans="1:5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 spans="1:56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 spans="1:56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 spans="1:56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 spans="1:56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 spans="1:56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 spans="1:56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 spans="1:56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 spans="1:56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 spans="1:56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 spans="1:5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 spans="1:56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 spans="1:56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 spans="1:56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 spans="1:56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 spans="1:56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 spans="1:56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 spans="1:56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 spans="1:56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 spans="1:56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 spans="1:5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 spans="1:56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 spans="1:56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 spans="1:56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 spans="1:56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 spans="1:56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 spans="1:56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 spans="1:56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 spans="1:56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 spans="1:56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 spans="1:5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 spans="1:56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 spans="1:56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 spans="1:56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 spans="1:56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 spans="1:56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 spans="1:56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 spans="1:56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 spans="1:56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 spans="1:56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 spans="1:5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 spans="1:56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 spans="1:56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 spans="1:56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 spans="1:56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 spans="1:56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 spans="1:56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 spans="1:56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 spans="1:56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 spans="1:56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 spans="1:5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 spans="1:56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 spans="1:56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 spans="1:56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 spans="1:56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 spans="1:56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 spans="1:56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 spans="1:56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 spans="1:56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 spans="1:56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 spans="1: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 spans="1:56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 spans="1:56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 spans="1:56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 spans="1:56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 spans="1:56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 spans="1:56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 spans="1:56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 spans="1:56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 spans="1:56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 spans="1:5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 spans="1:56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 spans="1:56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 spans="1:56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 spans="1:56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 spans="1:56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 spans="1:56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 spans="1:56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 spans="1:56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 spans="1:56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 spans="1:5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 spans="1:56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 spans="1:56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 spans="1:56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 spans="1:56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 spans="1:56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 spans="1:56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 spans="1:56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 spans="1:56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 spans="1:56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 spans="1:5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 spans="1:56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 spans="1:56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 spans="1:56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 spans="1:56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 spans="1:56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 spans="1:56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 spans="1:56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 spans="1:56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 spans="1:56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 spans="1:5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 spans="1:56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 spans="1:56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 spans="1:56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 spans="1:56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 spans="1:56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 spans="1:56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 spans="1:56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 spans="1:56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 spans="1:56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 spans="1:5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 spans="1:56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 spans="1:56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 spans="1:56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 spans="1:56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 spans="1:56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 spans="1:56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 spans="1:56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 spans="1:56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 spans="1:56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 spans="1:5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 spans="1:56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 spans="1:56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 spans="1:56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 spans="1:56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 spans="1:56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 spans="1:56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 spans="1:56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 spans="1:56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 spans="1:56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 spans="1:5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 spans="1:56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 spans="1:56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 spans="1:56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 spans="1:56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 spans="1:56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 spans="1:56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 spans="1:56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 spans="1:56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 spans="1:56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 spans="1:5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 spans="1:56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 spans="1:56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 spans="1:56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 spans="1:56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 spans="1:56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 spans="1:56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 spans="1:56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 spans="1:56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 spans="1:56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 spans="1:5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 spans="1:56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 spans="1:56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 spans="1:56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 spans="1:56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 spans="1:56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 spans="1:56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 spans="1:56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 spans="1:56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 spans="1:56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 spans="1: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 spans="1:56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 spans="1:56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 spans="1:56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 spans="1:56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 spans="1:56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 spans="1:56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 spans="1:56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 spans="1:56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 spans="1:56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 spans="1:5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 spans="1:56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 spans="1:56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 spans="1:56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 spans="1:56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 spans="1:56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 spans="1:56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 spans="1:56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 spans="1:56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 spans="1:56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 spans="1:5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 spans="1:56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 spans="1:56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 spans="1:56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 spans="1:56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 spans="1:56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 spans="1:56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 spans="1:56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 spans="1:56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 spans="1:56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 spans="1:5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 spans="1:56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 spans="1:56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 spans="1:56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 spans="1:56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 spans="1:56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 spans="1:56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 spans="1:56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 spans="1:56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 spans="1:56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 spans="1:5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 spans="1:56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 spans="1:56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 spans="1:56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 spans="1:56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 spans="1:56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 spans="1:56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 spans="1:56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 spans="1:56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 spans="1:56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 spans="1:5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 spans="1:56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 spans="1:56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 spans="1:56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 spans="1:56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 spans="1:56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 spans="1:56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 spans="1:56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 spans="1:56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 spans="1:56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 spans="1:5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 spans="1:56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 spans="1:56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 spans="1:56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 spans="1:56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 spans="1:56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 spans="1:56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 spans="1:56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 spans="1:56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 spans="1:56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 spans="1:5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 spans="1:56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 spans="1:56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 spans="1:56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 spans="1:56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 spans="1:56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 spans="1:56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 spans="1:56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 spans="1:56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 spans="1:56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 spans="1:5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 spans="1:56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 spans="1:56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 spans="1:56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 spans="1:56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 spans="1:56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 spans="1:56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 spans="1:56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 spans="1:56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 spans="1:56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 spans="1:5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 spans="1:56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 spans="1:56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 spans="1:56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 spans="1:56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 spans="1:56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 spans="1:56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 spans="1:56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 spans="1:56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 spans="1:56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 spans="1: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 spans="1:56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 spans="1:56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 spans="1:56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 spans="1:56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 spans="1:56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 spans="1:56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 spans="1:56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 spans="1:56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 spans="1:56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 spans="1:5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 spans="1:56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 spans="1:56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 spans="1:56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 spans="1:56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 spans="1:56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 spans="1:56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 spans="1:56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 spans="1:56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 spans="1:56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 spans="1:5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 spans="1:56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 spans="1:56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 spans="1:56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 spans="1:56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 spans="1:56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 spans="1:56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 spans="1:56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 spans="1:56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 spans="1:56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 spans="1:5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 spans="1:56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 spans="1:56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 spans="1:56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 spans="1:56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 spans="1:56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 spans="1:56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 spans="1:56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 spans="1:56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 spans="1:56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 spans="1:5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 spans="1:56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 spans="1:56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 spans="1:56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 spans="1:56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 spans="1:56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 spans="1:56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 spans="1:56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 spans="1:56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 spans="1:56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 spans="1:5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 spans="1:56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 spans="1:56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 spans="1:56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 spans="1:56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 spans="1:56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 spans="1:56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 spans="1:56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 spans="1:56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 spans="1:56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 spans="1:5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 spans="1:56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 spans="1:56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 spans="1:56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 spans="1:56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 spans="1:56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 spans="1:56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 spans="1:56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 spans="1:56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 spans="1:56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 spans="1:5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 spans="1:56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 spans="1:56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 spans="1:56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 spans="1:56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 spans="1:56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 spans="1:56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 spans="1:56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 spans="1:56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 spans="1:56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 spans="1:5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 spans="1:56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 spans="1:56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 spans="1:56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 spans="1:56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 spans="1:56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 spans="1:56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 spans="1:56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 spans="1:56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 spans="1:56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 spans="1:5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 spans="1:56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 spans="1:56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 spans="1:56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 spans="1:56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 spans="1:56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 spans="1:56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 spans="1:56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 spans="1:56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 spans="1:56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 spans="1: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 spans="1:56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 spans="1:56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 spans="1:56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 spans="1:56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 spans="1:56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 spans="1:56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 spans="1:56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 spans="1:56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 spans="1:56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 spans="1:5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 spans="1:56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 spans="1:56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 spans="1:56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 spans="1:56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 spans="1:56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 spans="1:56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 spans="1:56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 spans="1:56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 spans="1:56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 spans="1:5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 spans="1:56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 spans="1:56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 spans="1:56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 spans="1:56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 spans="1:56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 spans="1:56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 spans="1:56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 spans="1:56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 spans="1:56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 spans="1:5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 spans="1:56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 spans="1:56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 spans="1:56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 spans="1:56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 spans="1:56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 spans="1:56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 spans="1:56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 spans="1:56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 spans="1:56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 spans="1:5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 spans="1:56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 spans="1:56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 spans="1:56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 spans="1:56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 spans="1:56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 spans="1:56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 spans="1:56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 spans="1:56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 spans="1:56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 spans="1:5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 spans="1:56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 spans="1:56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 spans="1:56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 spans="1:56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 spans="1:56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 spans="1:56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 spans="1:56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 spans="1:56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 spans="1:56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 spans="1:5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 spans="1:56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 spans="1:56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 spans="1:56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 spans="1:56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 spans="1:56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 spans="1:56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 spans="1:56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 spans="1:56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 spans="1:56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 spans="1:5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 spans="1:56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 spans="1:56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 spans="1:56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 spans="1:56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 spans="1:56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 spans="1:56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 spans="1:56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 spans="1:56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 spans="1:56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 spans="1:5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 spans="1:56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 spans="1:56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 spans="1:56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 spans="1:56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 spans="1:56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 spans="1:56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 spans="1:56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 spans="1:56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 spans="1:56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 spans="1:5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 spans="1:56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 spans="1:56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 spans="1:56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 spans="1:56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 spans="1:56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 spans="1:56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 spans="1:56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 spans="1:56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 spans="1:56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 spans="1: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 spans="1:56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 spans="1:56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 spans="1:56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 spans="1:56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 spans="1:56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 spans="1:56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 spans="1:56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 spans="1:56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 spans="1:56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 spans="1:5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 spans="1:56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 spans="1:56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 spans="1:56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 spans="1:56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 spans="1:56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 spans="1:56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 spans="1:56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 spans="1:56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 spans="1:56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 spans="1:5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 spans="1:56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 spans="1:56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 spans="1:56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 spans="1:56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 spans="1:56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 spans="1:56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 spans="1:56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 spans="1:56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 spans="1:56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 spans="1:5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 spans="1:56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 spans="1:56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 spans="1:56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 spans="1:56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 spans="1:56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 spans="1:56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 spans="1:56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 spans="1:56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 spans="1:56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 spans="1:5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 spans="1:56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 spans="1:56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 spans="1:56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 spans="1:56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 spans="1:56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 spans="1:56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 spans="1:56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 spans="1:56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 spans="1:56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 spans="1:5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 spans="1:56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 spans="1:56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 spans="1:56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 spans="1:56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 spans="1:56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 spans="1:56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 spans="1:56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 spans="1:56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 spans="1:56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 spans="1:5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 spans="1:56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 spans="1:56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 spans="1:56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 spans="1:56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 spans="1:56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 spans="1:56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 spans="1:56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 spans="1:56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 spans="1:56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 spans="1:5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 spans="1:56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 spans="1:56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 spans="1:56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 spans="1:56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 spans="1:56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 spans="1:56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 spans="1:56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 spans="1:56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 spans="1:56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 spans="1:5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 spans="1:56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 spans="1:56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 spans="1:56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 spans="1:56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 spans="1:56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 spans="1:56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 spans="1:56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 spans="1:56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 spans="1:56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 spans="1:5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 spans="1:56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 spans="1:56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 spans="1:56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 spans="1:56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 spans="1:56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 spans="1:56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 spans="1:56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 spans="1:56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 spans="1:56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 spans="1: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 spans="1:56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 spans="1:56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 spans="1:56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 spans="1:56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 spans="1:56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 spans="1:56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 spans="1:56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 spans="1:56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 spans="1:56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 spans="1:5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 spans="1:56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 spans="1:56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 spans="1:56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 spans="1:56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 spans="1:56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 spans="1:56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 spans="1:56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 spans="1:56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 spans="1:56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 spans="1:5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 spans="1:56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 spans="1:56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 spans="1:56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 spans="1:56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 spans="1:56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 spans="1:56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 spans="1:56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 spans="1:56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 spans="1:56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 spans="1:5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 spans="1:56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 spans="1:56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 spans="1:56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 spans="1:56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 spans="1:56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 spans="1:56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 spans="1:56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 spans="1:56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 spans="1:56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 spans="1:5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 spans="1:56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 spans="1:56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 spans="1:56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 spans="1:56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 spans="1:56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 spans="1:56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 spans="1:56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 spans="1:56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 spans="1:56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 spans="1:5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 spans="1:56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 spans="1:56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 spans="1:56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 spans="1:56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 spans="1:56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 spans="1:56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 spans="1:56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 spans="1:56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 spans="1:56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 spans="1:5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 spans="1:56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 spans="1:56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 spans="1:56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 spans="1:56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 spans="1:56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 spans="1:56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 spans="1:56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 spans="1:56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 spans="1:56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 spans="1:5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 spans="1:56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 spans="1:56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 spans="1:56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 spans="1:56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 spans="1:56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 spans="1:56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 spans="1:56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 spans="1:56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 spans="1:56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 spans="1:5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 spans="1:56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 spans="1:56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 spans="1:56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 spans="1:56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 spans="1:56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 spans="1:56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 spans="1:56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 spans="1:56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 spans="1:56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 spans="1:5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 spans="1:56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 spans="1:56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 spans="1:56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 spans="1:56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 spans="1:56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 spans="1:56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 spans="1:56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 spans="1:56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 spans="1:56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 spans="1: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 spans="1:56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 spans="1:56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 spans="1:56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 spans="1:56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 spans="1:56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 spans="1:56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 spans="1:56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 spans="1:56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 spans="1:56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 spans="1:5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 spans="1:56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 spans="1:56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 spans="1:56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 spans="1:56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 spans="1:56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 spans="1:56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 spans="1:56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 spans="1:56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 spans="1:56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 spans="1:5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 spans="1:56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 spans="1:56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 spans="1:56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 spans="1:56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 spans="1:56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 spans="1:56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 spans="1:56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 spans="1:56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 spans="1:56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 spans="1:5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 spans="1:56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 spans="1:56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 spans="1:56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 spans="1:56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 spans="1:56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 spans="1:56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 spans="1:56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 spans="1:56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 spans="1:56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 spans="1:5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 spans="1:56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 spans="1:56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 spans="1:56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 spans="1:56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</sheetData>
  <mergeCells count="31">
    <mergeCell ref="F61:J61"/>
    <mergeCell ref="H63:J63"/>
    <mergeCell ref="G9:G10"/>
    <mergeCell ref="H9:H10"/>
    <mergeCell ref="F22:K23"/>
    <mergeCell ref="F49:J49"/>
    <mergeCell ref="F50:I50"/>
    <mergeCell ref="F52:G52"/>
    <mergeCell ref="F53:G53"/>
    <mergeCell ref="F55:J55"/>
    <mergeCell ref="F56:J56"/>
    <mergeCell ref="F58:I58"/>
    <mergeCell ref="F59:I59"/>
    <mergeCell ref="F60:I60"/>
    <mergeCell ref="B1:R3"/>
    <mergeCell ref="B6:R6"/>
    <mergeCell ref="B7:B10"/>
    <mergeCell ref="D7:F8"/>
    <mergeCell ref="G7:H7"/>
    <mergeCell ref="I7:R8"/>
    <mergeCell ref="G8:H8"/>
    <mergeCell ref="N9:R9"/>
    <mergeCell ref="AL9:AL10"/>
    <mergeCell ref="AM9:AM10"/>
    <mergeCell ref="AN9:AN10"/>
    <mergeCell ref="AO9:AO10"/>
    <mergeCell ref="C7:C10"/>
    <mergeCell ref="D9:D10"/>
    <mergeCell ref="E9:E10"/>
    <mergeCell ref="F9:F10"/>
    <mergeCell ref="I9:M9"/>
  </mergeCells>
  <conditionalFormatting sqref="G29:K48">
    <cfRule type="containsBlanks" dxfId="10" priority="1">
      <formula>LEN(TRIM(G29))=0</formula>
    </cfRule>
  </conditionalFormatting>
  <conditionalFormatting sqref="F29:F48">
    <cfRule type="containsBlanks" dxfId="9" priority="2">
      <formula>LEN(TRIM(F29))=0</formula>
    </cfRule>
  </conditionalFormatting>
  <dataValidations count="3">
    <dataValidation type="list" allowBlank="1" showErrorMessage="1" sqref="I11:I20 N11:N20" xr:uid="{00000000-0002-0000-0200-000000000000}">
      <formula1>$V$11:$V$17</formula1>
    </dataValidation>
    <dataValidation type="list" allowBlank="1" showErrorMessage="1" sqref="G8" xr:uid="{00000000-0002-0000-0200-000001000000}">
      <formula1>$AJ$11:$AJ$14</formula1>
    </dataValidation>
    <dataValidation type="list" allowBlank="1" showErrorMessage="1" sqref="K11:K20" xr:uid="{00000000-0002-0000-0200-000002000000}">
      <formula1>$AC$21:$AG$21</formula1>
    </dataValidation>
  </dataValidation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J1000"/>
  <sheetViews>
    <sheetView showGridLines="0" zoomScale="85" zoomScaleNormal="85" workbookViewId="0">
      <pane ySplit="4" topLeftCell="A32" activePane="bottomLeft" state="frozen"/>
      <selection pane="bottomLeft" activeCell="N48" sqref="N48:N49"/>
    </sheetView>
  </sheetViews>
  <sheetFormatPr defaultColWidth="12.625" defaultRowHeight="15" customHeight="1"/>
  <cols>
    <col min="1" max="1" width="8.625" hidden="1" customWidth="1"/>
    <col min="2" max="2" width="9.625" customWidth="1"/>
    <col min="3" max="4" width="9" customWidth="1"/>
    <col min="5" max="5" width="7.875" customWidth="1"/>
    <col min="6" max="6" width="10.75" customWidth="1"/>
    <col min="7" max="7" width="20.375" customWidth="1"/>
    <col min="8" max="8" width="12.75" customWidth="1"/>
    <col min="9" max="9" width="9.5" customWidth="1"/>
    <col min="10" max="10" width="13" customWidth="1"/>
    <col min="11" max="11" width="14.5" customWidth="1"/>
    <col min="12" max="12" width="8" customWidth="1"/>
    <col min="13" max="16" width="10.875" customWidth="1"/>
    <col min="17" max="17" width="10" customWidth="1"/>
    <col min="18" max="18" width="8.875" hidden="1" customWidth="1"/>
    <col min="19" max="27" width="10.875" hidden="1" customWidth="1"/>
    <col min="28" max="51" width="9" hidden="1" customWidth="1"/>
    <col min="52" max="52" width="9.75" hidden="1" customWidth="1"/>
    <col min="53" max="53" width="11.375" hidden="1" customWidth="1"/>
    <col min="54" max="54" width="7.625" hidden="1" customWidth="1"/>
    <col min="55" max="55" width="10.625" hidden="1" customWidth="1"/>
    <col min="56" max="56" width="9" hidden="1" customWidth="1"/>
    <col min="57" max="57" width="14.875" hidden="1" customWidth="1"/>
    <col min="58" max="58" width="9" hidden="1" customWidth="1"/>
    <col min="59" max="62" width="8.625" hidden="1" customWidth="1"/>
  </cols>
  <sheetData>
    <row r="1" spans="1:62" ht="16.5" customHeight="1">
      <c r="A1" s="3"/>
      <c r="B1" s="113" t="s">
        <v>95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100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</row>
    <row r="2" spans="1:62" ht="16.5" customHeight="1">
      <c r="A2" s="3"/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16.5" customHeight="1">
      <c r="A3" s="3"/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16.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</row>
    <row r="5" spans="1:62" ht="16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</row>
    <row r="6" spans="1:62" ht="16.5" customHeight="1">
      <c r="A6" s="3"/>
      <c r="B6" s="182" t="s">
        <v>96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4"/>
      <c r="S6" s="5"/>
      <c r="T6" s="5"/>
      <c r="U6" s="5"/>
      <c r="V6" s="5"/>
      <c r="W6" s="5"/>
      <c r="X6" s="5"/>
      <c r="Y6" s="5"/>
      <c r="Z6" s="5"/>
      <c r="AA6" s="5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</row>
    <row r="7" spans="1:62" ht="16.5" customHeight="1">
      <c r="A7" s="3"/>
      <c r="B7" s="185" t="s">
        <v>3</v>
      </c>
      <c r="C7" s="186" t="s">
        <v>10</v>
      </c>
      <c r="D7" s="187" t="s">
        <v>11</v>
      </c>
      <c r="E7" s="188"/>
      <c r="F7" s="189"/>
      <c r="G7" s="190" t="s">
        <v>12</v>
      </c>
      <c r="H7" s="191"/>
      <c r="I7" s="192" t="s">
        <v>249</v>
      </c>
      <c r="J7" s="188"/>
      <c r="K7" s="188"/>
      <c r="L7" s="188"/>
      <c r="M7" s="188"/>
      <c r="N7" s="188"/>
      <c r="O7" s="188"/>
      <c r="P7" s="188"/>
      <c r="Q7" s="188"/>
      <c r="R7" s="191"/>
      <c r="S7" s="6"/>
      <c r="T7" s="6"/>
      <c r="U7" s="6"/>
      <c r="V7" s="6"/>
      <c r="W7" s="6"/>
      <c r="X7" s="6"/>
      <c r="Y7" s="6"/>
      <c r="Z7" s="6"/>
      <c r="AA7" s="6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</row>
    <row r="8" spans="1:62" ht="16.5" customHeight="1">
      <c r="A8" s="3"/>
      <c r="B8" s="193"/>
      <c r="C8" s="194"/>
      <c r="D8" s="195"/>
      <c r="E8" s="196"/>
      <c r="F8" s="197"/>
      <c r="G8" s="198" t="s">
        <v>13</v>
      </c>
      <c r="H8" s="199"/>
      <c r="I8" s="200"/>
      <c r="J8" s="201"/>
      <c r="K8" s="201"/>
      <c r="L8" s="201"/>
      <c r="M8" s="201"/>
      <c r="N8" s="201"/>
      <c r="O8" s="201"/>
      <c r="P8" s="201"/>
      <c r="Q8" s="201"/>
      <c r="R8" s="202"/>
      <c r="S8" s="6"/>
      <c r="T8" s="6"/>
      <c r="U8" s="6"/>
      <c r="V8" s="6"/>
      <c r="W8" s="6"/>
      <c r="X8" s="6"/>
      <c r="Y8" s="6"/>
      <c r="Z8" s="6"/>
      <c r="AA8" s="6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</row>
    <row r="9" spans="1:62" ht="16.5" customHeight="1">
      <c r="A9" s="3"/>
      <c r="B9" s="193"/>
      <c r="C9" s="194"/>
      <c r="D9" s="203" t="s">
        <v>97</v>
      </c>
      <c r="E9" s="203" t="s">
        <v>98</v>
      </c>
      <c r="F9" s="203" t="s">
        <v>99</v>
      </c>
      <c r="G9" s="203" t="s">
        <v>17</v>
      </c>
      <c r="H9" s="204" t="s">
        <v>100</v>
      </c>
      <c r="I9" s="205" t="s">
        <v>101</v>
      </c>
      <c r="J9" s="206"/>
      <c r="K9" s="206"/>
      <c r="L9" s="206"/>
      <c r="M9" s="207"/>
      <c r="N9" s="205" t="s">
        <v>102</v>
      </c>
      <c r="O9" s="206"/>
      <c r="P9" s="206"/>
      <c r="Q9" s="206"/>
      <c r="R9" s="207"/>
      <c r="S9" s="6"/>
      <c r="T9" s="6"/>
      <c r="U9" s="6"/>
      <c r="V9" s="6"/>
      <c r="W9" s="6"/>
      <c r="X9" s="6"/>
      <c r="Y9" s="6"/>
      <c r="Z9" s="6"/>
      <c r="AA9" s="6"/>
      <c r="AB9" s="3"/>
      <c r="AC9" s="3"/>
      <c r="AD9" s="3"/>
      <c r="AE9" s="3"/>
      <c r="AF9" s="3"/>
      <c r="AG9" s="3"/>
      <c r="AH9" s="3"/>
      <c r="AI9" s="3"/>
      <c r="AJ9" s="3"/>
      <c r="AK9" s="3"/>
      <c r="AL9" s="111" t="s">
        <v>21</v>
      </c>
      <c r="AM9" s="112" t="s">
        <v>22</v>
      </c>
      <c r="AN9" s="112" t="s">
        <v>23</v>
      </c>
      <c r="AO9" s="112" t="s">
        <v>24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9" t="s">
        <v>103</v>
      </c>
      <c r="BF9" s="3"/>
      <c r="BG9" s="3"/>
      <c r="BH9" s="3"/>
      <c r="BI9" s="3"/>
      <c r="BJ9" s="3"/>
    </row>
    <row r="10" spans="1:62" ht="16.5" customHeight="1">
      <c r="A10" s="9"/>
      <c r="B10" s="208"/>
      <c r="C10" s="209"/>
      <c r="D10" s="209"/>
      <c r="E10" s="209"/>
      <c r="F10" s="209"/>
      <c r="G10" s="209"/>
      <c r="H10" s="210"/>
      <c r="I10" s="211" t="s">
        <v>25</v>
      </c>
      <c r="J10" s="212" t="s">
        <v>26</v>
      </c>
      <c r="K10" s="213" t="s">
        <v>82</v>
      </c>
      <c r="L10" s="212" t="s">
        <v>28</v>
      </c>
      <c r="M10" s="214" t="s">
        <v>29</v>
      </c>
      <c r="N10" s="211" t="s">
        <v>25</v>
      </c>
      <c r="O10" s="212" t="s">
        <v>26</v>
      </c>
      <c r="P10" s="213" t="s">
        <v>27</v>
      </c>
      <c r="Q10" s="212" t="s">
        <v>104</v>
      </c>
      <c r="R10" s="214" t="s">
        <v>29</v>
      </c>
      <c r="S10" s="14"/>
      <c r="T10" s="14"/>
      <c r="U10" s="14"/>
      <c r="V10" s="14"/>
      <c r="W10" s="14"/>
      <c r="X10" s="14" t="s">
        <v>30</v>
      </c>
      <c r="Y10" s="14" t="s">
        <v>30</v>
      </c>
      <c r="Z10" s="14"/>
      <c r="AA10" s="14"/>
      <c r="AB10" s="9"/>
      <c r="AC10" s="9"/>
      <c r="AD10" s="9"/>
      <c r="AE10" s="9"/>
      <c r="AF10" s="9"/>
      <c r="AG10" s="9"/>
      <c r="AH10" s="9"/>
      <c r="AI10" s="15"/>
      <c r="AJ10" s="9"/>
      <c r="AK10" s="9"/>
      <c r="AL10" s="102"/>
      <c r="AM10" s="102"/>
      <c r="AN10" s="102"/>
      <c r="AO10" s="102"/>
      <c r="AP10" s="9"/>
      <c r="AQ10" s="9"/>
      <c r="AR10" s="9"/>
      <c r="AS10" s="9"/>
      <c r="AT10" s="9"/>
      <c r="AU10" s="9"/>
      <c r="AV10" s="9"/>
      <c r="AW10" s="9"/>
      <c r="AX10" s="9"/>
      <c r="AY10" s="9" t="s">
        <v>31</v>
      </c>
      <c r="AZ10" s="9" t="s">
        <v>32</v>
      </c>
      <c r="BA10" s="9" t="s">
        <v>19</v>
      </c>
      <c r="BB10" s="9" t="s">
        <v>10</v>
      </c>
      <c r="BC10" s="9" t="s">
        <v>20</v>
      </c>
      <c r="BD10" s="9" t="s">
        <v>10</v>
      </c>
      <c r="BE10" s="9" t="s">
        <v>24</v>
      </c>
      <c r="BF10" s="9" t="s">
        <v>105</v>
      </c>
      <c r="BG10" s="9" t="s">
        <v>106</v>
      </c>
      <c r="BH10" s="9" t="s">
        <v>107</v>
      </c>
      <c r="BI10" s="9" t="s">
        <v>108</v>
      </c>
      <c r="BJ10" s="9" t="s">
        <v>109</v>
      </c>
    </row>
    <row r="11" spans="1:62" ht="16.5" customHeight="1">
      <c r="A11" s="3"/>
      <c r="B11" s="215" t="s">
        <v>110</v>
      </c>
      <c r="C11" s="216">
        <v>4</v>
      </c>
      <c r="D11" s="216">
        <v>0.4</v>
      </c>
      <c r="E11" s="216">
        <v>0.4</v>
      </c>
      <c r="F11" s="216">
        <v>4</v>
      </c>
      <c r="G11" s="217">
        <v>40</v>
      </c>
      <c r="H11" s="218">
        <v>1.5</v>
      </c>
      <c r="I11" s="219" t="s">
        <v>34</v>
      </c>
      <c r="J11" s="220">
        <f t="shared" ref="J11:J20" si="0">AI11</f>
        <v>6</v>
      </c>
      <c r="K11" s="221">
        <f t="shared" ref="K11:K20" si="1">F11+H11-G11/1000+IF(C11&gt;0,0.5,0)</f>
        <v>5.96</v>
      </c>
      <c r="L11" s="222">
        <v>3</v>
      </c>
      <c r="M11" s="223">
        <v>3</v>
      </c>
      <c r="N11" s="224" t="s">
        <v>36</v>
      </c>
      <c r="O11" s="220">
        <f t="shared" ref="O11:O20" si="2">AX11</f>
        <v>12</v>
      </c>
      <c r="P11" s="221">
        <f t="shared" ref="P11:P20" si="3">IF(C11&gt;0,0.05*2+2*(D11+E11)-4*(G11/1000),0)</f>
        <v>1.5400000000000003</v>
      </c>
      <c r="Q11" s="222">
        <v>200</v>
      </c>
      <c r="R11" s="406">
        <v>0</v>
      </c>
      <c r="S11" s="23"/>
      <c r="T11" s="23">
        <f t="shared" ref="T11:T20" si="4">4*0.05+10*0.1</f>
        <v>1.2</v>
      </c>
      <c r="U11" s="24">
        <f t="shared" ref="U11:U20" si="5">F11-T11</f>
        <v>2.8</v>
      </c>
      <c r="V11" s="3" t="s">
        <v>36</v>
      </c>
      <c r="W11" s="23">
        <v>0.61735017716184748</v>
      </c>
      <c r="X11" s="24">
        <f t="shared" ref="X11:X20" si="6">IF(C11&gt;0,Z11*J11*VLOOKUP(I11,$V$11:$W$17,2,FALSE),"")</f>
        <v>227.57996930894348</v>
      </c>
      <c r="Y11" s="25">
        <f t="shared" ref="Y11:Y20" si="7">IF(C11&gt;0,O11*AA11*VLOOKUP(I11,$V$11:$W$17,2,FALSE),"")</f>
        <v>284.47496163617933</v>
      </c>
      <c r="Z11" s="24">
        <f t="shared" ref="Z11:Z20" si="8">IF(C11&gt;0,CEILING(C11*K11*(L11+M11)/J11,1),"")</f>
        <v>24</v>
      </c>
      <c r="AA11" s="24">
        <f t="shared" ref="AA11:AA20" si="9">IF(C11&gt;0,CEILING(C11*P11*(14+U11*1000/Q11+R11+1)/O11,1),"")</f>
        <v>15</v>
      </c>
      <c r="AB11" s="25">
        <f t="shared" ref="AB11:AB20" si="10">K11</f>
        <v>5.96</v>
      </c>
      <c r="AC11" s="3">
        <f t="shared" ref="AC11:AG11" si="11">IF(C11&gt;0,AC$21-$AB11*FLOOR(AC$21/$AB11,1),"")</f>
        <v>4.0000000000000036E-2</v>
      </c>
      <c r="AD11" s="3">
        <f t="shared" si="11"/>
        <v>1.54</v>
      </c>
      <c r="AE11" s="3">
        <f t="shared" si="11"/>
        <v>3.04</v>
      </c>
      <c r="AF11" s="3">
        <f t="shared" si="11"/>
        <v>4.54</v>
      </c>
      <c r="AG11" s="3">
        <f t="shared" si="11"/>
        <v>8.0000000000000071E-2</v>
      </c>
      <c r="AH11" s="3">
        <f t="shared" ref="AH11:AH20" si="12">IF(AB11&gt;0,SMALL(AC11:AG11,1),"")</f>
        <v>4.0000000000000036E-2</v>
      </c>
      <c r="AI11" s="26">
        <f>IF(AB11&gt;0,HLOOKUP(AH11,AC11:AG21,11,FALSE),"")</f>
        <v>6</v>
      </c>
      <c r="AJ11" s="23" t="s">
        <v>13</v>
      </c>
      <c r="AK11" s="3">
        <v>12</v>
      </c>
      <c r="AL11" s="25">
        <f t="shared" ref="AL11:AL20" si="13">C11*D11*E11*F11</f>
        <v>2.5600000000000005</v>
      </c>
      <c r="AM11" s="25">
        <f t="shared" ref="AM11:AM20" si="14">C11*D11*E11*H11*1.3</f>
        <v>1.2480000000000002</v>
      </c>
      <c r="AN11" s="25">
        <f t="shared" ref="AN11:AN20" si="15">AM11-(AL11*1.15)</f>
        <v>-1.6960000000000002</v>
      </c>
      <c r="AO11" s="25">
        <f t="shared" ref="AO11:AO20" si="16">D11*E11*C11</f>
        <v>0.64000000000000012</v>
      </c>
      <c r="AP11" s="3"/>
      <c r="AQ11" s="25">
        <f t="shared" ref="AQ11:AQ20" si="17">P11</f>
        <v>1.5400000000000003</v>
      </c>
      <c r="AR11" s="3">
        <f t="shared" ref="AR11:AV11" si="18">IF(C11&gt;0,AR$21-$AQ11*FLOOR(AR$21/$AQ11,1),"")</f>
        <v>1.379999999999999</v>
      </c>
      <c r="AS11" s="3">
        <f t="shared" si="18"/>
        <v>1.339999999999999</v>
      </c>
      <c r="AT11" s="3">
        <f t="shared" si="18"/>
        <v>1.2999999999999989</v>
      </c>
      <c r="AU11" s="3">
        <f t="shared" si="18"/>
        <v>1.259999999999998</v>
      </c>
      <c r="AV11" s="3">
        <f t="shared" si="18"/>
        <v>1.2199999999999989</v>
      </c>
      <c r="AW11" s="3">
        <f t="shared" ref="AW11:AW20" si="19">IF(AQ11&gt;0,SMALL(AR11:AV11,1),"")</f>
        <v>1.2199999999999989</v>
      </c>
      <c r="AX11" s="26">
        <f>IF(AQ11&gt;0,HLOOKUP(AW11,AR11:AV21,11,FALSE),"")</f>
        <v>12</v>
      </c>
      <c r="AY11" s="3"/>
      <c r="AZ11" s="3"/>
      <c r="BA11" s="3"/>
      <c r="BB11" s="3"/>
      <c r="BC11" s="3"/>
      <c r="BD11" s="3"/>
      <c r="BE11" s="25">
        <f t="shared" ref="BE11:BE20" si="20">C11*2*(D11+E11)*F11</f>
        <v>25.6</v>
      </c>
      <c r="BF11" s="25">
        <f t="shared" ref="BF11:BF20" si="21">BE11/(1.2*2.4)</f>
        <v>8.8888888888888893</v>
      </c>
      <c r="BG11" s="25">
        <f t="shared" ref="BG11:BG20" si="22">BF11*20.33/(2*2*8/12)/1.5</f>
        <v>45.177777777777777</v>
      </c>
      <c r="BH11" s="25">
        <f t="shared" ref="BH11:BH20" si="23">BF11*30.5/(2*3*8/12)/1.5</f>
        <v>45.18518518518519</v>
      </c>
      <c r="BI11" s="25">
        <f t="shared" ref="BI11:BI20" si="24">0.02*4*8*BF11</f>
        <v>5.6888888888888891</v>
      </c>
      <c r="BJ11" s="25">
        <f t="shared" ref="BJ11:BJ20" si="25">0.02*4*8*BF11</f>
        <v>5.6888888888888891</v>
      </c>
    </row>
    <row r="12" spans="1:62" ht="16.5" customHeight="1">
      <c r="A12" s="3"/>
      <c r="B12" s="215" t="s">
        <v>111</v>
      </c>
      <c r="C12" s="216"/>
      <c r="D12" s="216"/>
      <c r="E12" s="216"/>
      <c r="F12" s="216"/>
      <c r="G12" s="217"/>
      <c r="H12" s="218"/>
      <c r="I12" s="219"/>
      <c r="J12" s="220" t="str">
        <f t="shared" si="0"/>
        <v/>
      </c>
      <c r="K12" s="221">
        <f t="shared" si="1"/>
        <v>0</v>
      </c>
      <c r="L12" s="222"/>
      <c r="M12" s="223"/>
      <c r="N12" s="224"/>
      <c r="O12" s="220" t="str">
        <f t="shared" si="2"/>
        <v/>
      </c>
      <c r="P12" s="221">
        <f t="shared" si="3"/>
        <v>0</v>
      </c>
      <c r="Q12" s="222"/>
      <c r="R12" s="406">
        <v>0</v>
      </c>
      <c r="S12" s="23"/>
      <c r="T12" s="23">
        <f t="shared" si="4"/>
        <v>1.2</v>
      </c>
      <c r="U12" s="24">
        <f t="shared" si="5"/>
        <v>-1.2</v>
      </c>
      <c r="V12" s="3" t="s">
        <v>35</v>
      </c>
      <c r="W12" s="23">
        <v>0.88898425511306034</v>
      </c>
      <c r="X12" s="24" t="str">
        <f t="shared" si="6"/>
        <v/>
      </c>
      <c r="Y12" s="25" t="str">
        <f t="shared" si="7"/>
        <v/>
      </c>
      <c r="Z12" s="24" t="str">
        <f t="shared" si="8"/>
        <v/>
      </c>
      <c r="AA12" s="24" t="str">
        <f t="shared" si="9"/>
        <v/>
      </c>
      <c r="AB12" s="25">
        <f t="shared" si="10"/>
        <v>0</v>
      </c>
      <c r="AC12" s="3" t="str">
        <f t="shared" ref="AC12:AG12" si="26">IF(C12&gt;0,AC$21-$AB12*FLOOR(AC$21/$AB12,1),"")</f>
        <v/>
      </c>
      <c r="AD12" s="3" t="str">
        <f t="shared" si="26"/>
        <v/>
      </c>
      <c r="AE12" s="3" t="str">
        <f t="shared" si="26"/>
        <v/>
      </c>
      <c r="AF12" s="3" t="str">
        <f t="shared" si="26"/>
        <v/>
      </c>
      <c r="AG12" s="3" t="str">
        <f t="shared" si="26"/>
        <v/>
      </c>
      <c r="AH12" s="3" t="str">
        <f t="shared" si="12"/>
        <v/>
      </c>
      <c r="AI12" s="26" t="str">
        <f>IF(AB12&gt;0,HLOOKUP(AH12,AC12:AG22,10,FALSE),"")</f>
        <v/>
      </c>
      <c r="AJ12" s="23" t="s">
        <v>38</v>
      </c>
      <c r="AK12" s="3">
        <v>10</v>
      </c>
      <c r="AL12" s="25">
        <f t="shared" si="13"/>
        <v>0</v>
      </c>
      <c r="AM12" s="25">
        <f t="shared" si="14"/>
        <v>0</v>
      </c>
      <c r="AN12" s="25">
        <f t="shared" si="15"/>
        <v>0</v>
      </c>
      <c r="AO12" s="25">
        <f t="shared" si="16"/>
        <v>0</v>
      </c>
      <c r="AP12" s="3"/>
      <c r="AQ12" s="25">
        <f t="shared" si="17"/>
        <v>0</v>
      </c>
      <c r="AR12" s="3" t="str">
        <f t="shared" ref="AR12:AV12" si="27">IF(C12&gt;0,AR$21-$AQ12*FLOOR(AR$21/$AQ12,1),"")</f>
        <v/>
      </c>
      <c r="AS12" s="3" t="str">
        <f t="shared" si="27"/>
        <v/>
      </c>
      <c r="AT12" s="3" t="str">
        <f t="shared" si="27"/>
        <v/>
      </c>
      <c r="AU12" s="3" t="str">
        <f t="shared" si="27"/>
        <v/>
      </c>
      <c r="AV12" s="3" t="str">
        <f t="shared" si="27"/>
        <v/>
      </c>
      <c r="AW12" s="3" t="str">
        <f t="shared" si="19"/>
        <v/>
      </c>
      <c r="AX12" s="26" t="str">
        <f>IF(AQ12&gt;0,HLOOKUP(AW12,AR12:AV22,10,FALSE),"")</f>
        <v/>
      </c>
      <c r="AY12" s="3"/>
      <c r="AZ12" s="3"/>
      <c r="BA12" s="3"/>
      <c r="BB12" s="3"/>
      <c r="BC12" s="3"/>
      <c r="BD12" s="3"/>
      <c r="BE12" s="25">
        <f t="shared" si="20"/>
        <v>0</v>
      </c>
      <c r="BF12" s="25">
        <f t="shared" si="21"/>
        <v>0</v>
      </c>
      <c r="BG12" s="25">
        <f t="shared" si="22"/>
        <v>0</v>
      </c>
      <c r="BH12" s="25">
        <f t="shared" si="23"/>
        <v>0</v>
      </c>
      <c r="BI12" s="25">
        <f t="shared" si="24"/>
        <v>0</v>
      </c>
      <c r="BJ12" s="25">
        <f t="shared" si="25"/>
        <v>0</v>
      </c>
    </row>
    <row r="13" spans="1:62" ht="16.5" customHeight="1">
      <c r="A13" s="3"/>
      <c r="B13" s="215" t="s">
        <v>112</v>
      </c>
      <c r="C13" s="216"/>
      <c r="D13" s="216"/>
      <c r="E13" s="216"/>
      <c r="F13" s="216"/>
      <c r="G13" s="217"/>
      <c r="H13" s="218"/>
      <c r="I13" s="219"/>
      <c r="J13" s="220" t="str">
        <f t="shared" si="0"/>
        <v/>
      </c>
      <c r="K13" s="221">
        <f t="shared" si="1"/>
        <v>0</v>
      </c>
      <c r="L13" s="222"/>
      <c r="M13" s="223"/>
      <c r="N13" s="224"/>
      <c r="O13" s="220" t="str">
        <f t="shared" si="2"/>
        <v/>
      </c>
      <c r="P13" s="221">
        <f t="shared" si="3"/>
        <v>0</v>
      </c>
      <c r="Q13" s="222"/>
      <c r="R13" s="406">
        <v>0</v>
      </c>
      <c r="S13" s="23"/>
      <c r="T13" s="23">
        <f t="shared" si="4"/>
        <v>1.2</v>
      </c>
      <c r="U13" s="24">
        <f t="shared" si="5"/>
        <v>-1.2</v>
      </c>
      <c r="V13" s="3" t="s">
        <v>34</v>
      </c>
      <c r="W13" s="23">
        <v>1.5804164535343297</v>
      </c>
      <c r="X13" s="24" t="str">
        <f t="shared" si="6"/>
        <v/>
      </c>
      <c r="Y13" s="25" t="str">
        <f t="shared" si="7"/>
        <v/>
      </c>
      <c r="Z13" s="24" t="str">
        <f t="shared" si="8"/>
        <v/>
      </c>
      <c r="AA13" s="24" t="str">
        <f t="shared" si="9"/>
        <v/>
      </c>
      <c r="AB13" s="25">
        <f t="shared" si="10"/>
        <v>0</v>
      </c>
      <c r="AC13" s="3" t="str">
        <f t="shared" ref="AC13:AG13" si="28">IF(C13&gt;0,AC$21-$AB13*FLOOR(AC$21/$AB13,1),"")</f>
        <v/>
      </c>
      <c r="AD13" s="3" t="str">
        <f t="shared" si="28"/>
        <v/>
      </c>
      <c r="AE13" s="3" t="str">
        <f t="shared" si="28"/>
        <v/>
      </c>
      <c r="AF13" s="3" t="str">
        <f t="shared" si="28"/>
        <v/>
      </c>
      <c r="AG13" s="3" t="str">
        <f t="shared" si="28"/>
        <v/>
      </c>
      <c r="AH13" s="3" t="str">
        <f t="shared" si="12"/>
        <v/>
      </c>
      <c r="AI13" s="26" t="str">
        <f>IF(AB13&gt;0,HLOOKUP(AH13,AC13:AG23,9,FALSE),"")</f>
        <v/>
      </c>
      <c r="AJ13" s="23" t="s">
        <v>40</v>
      </c>
      <c r="AK13" s="3">
        <v>8</v>
      </c>
      <c r="AL13" s="25">
        <f t="shared" si="13"/>
        <v>0</v>
      </c>
      <c r="AM13" s="25">
        <f t="shared" si="14"/>
        <v>0</v>
      </c>
      <c r="AN13" s="25">
        <f t="shared" si="15"/>
        <v>0</v>
      </c>
      <c r="AO13" s="25">
        <f t="shared" si="16"/>
        <v>0</v>
      </c>
      <c r="AP13" s="3"/>
      <c r="AQ13" s="25">
        <f t="shared" si="17"/>
        <v>0</v>
      </c>
      <c r="AR13" s="3" t="str">
        <f t="shared" ref="AR13:AV13" si="29">IF(C13&gt;0,AR$21-$AQ13*FLOOR(AR$21/$AQ13,1),"")</f>
        <v/>
      </c>
      <c r="AS13" s="3" t="str">
        <f t="shared" si="29"/>
        <v/>
      </c>
      <c r="AT13" s="3" t="str">
        <f t="shared" si="29"/>
        <v/>
      </c>
      <c r="AU13" s="3" t="str">
        <f t="shared" si="29"/>
        <v/>
      </c>
      <c r="AV13" s="3" t="str">
        <f t="shared" si="29"/>
        <v/>
      </c>
      <c r="AW13" s="3" t="str">
        <f t="shared" si="19"/>
        <v/>
      </c>
      <c r="AX13" s="26" t="str">
        <f>IF(AQ13&gt;0,HLOOKUP(AW13,AR13:AV23,9,FALSE),"")</f>
        <v/>
      </c>
      <c r="AY13" s="3"/>
      <c r="AZ13" s="3"/>
      <c r="BA13" s="3"/>
      <c r="BB13" s="3"/>
      <c r="BC13" s="3"/>
      <c r="BD13" s="3"/>
      <c r="BE13" s="25">
        <f t="shared" si="20"/>
        <v>0</v>
      </c>
      <c r="BF13" s="25">
        <f t="shared" si="21"/>
        <v>0</v>
      </c>
      <c r="BG13" s="25">
        <f t="shared" si="22"/>
        <v>0</v>
      </c>
      <c r="BH13" s="25">
        <f t="shared" si="23"/>
        <v>0</v>
      </c>
      <c r="BI13" s="25">
        <f t="shared" si="24"/>
        <v>0</v>
      </c>
      <c r="BJ13" s="25">
        <f t="shared" si="25"/>
        <v>0</v>
      </c>
    </row>
    <row r="14" spans="1:62" ht="16.5" customHeight="1">
      <c r="A14" s="3"/>
      <c r="B14" s="215" t="s">
        <v>113</v>
      </c>
      <c r="C14" s="216"/>
      <c r="D14" s="216"/>
      <c r="E14" s="216"/>
      <c r="F14" s="216"/>
      <c r="G14" s="217"/>
      <c r="H14" s="218"/>
      <c r="I14" s="219"/>
      <c r="J14" s="220" t="str">
        <f t="shared" si="0"/>
        <v/>
      </c>
      <c r="K14" s="221">
        <f t="shared" si="1"/>
        <v>0</v>
      </c>
      <c r="L14" s="222"/>
      <c r="M14" s="223"/>
      <c r="N14" s="224"/>
      <c r="O14" s="220" t="str">
        <f t="shared" si="2"/>
        <v/>
      </c>
      <c r="P14" s="221">
        <f t="shared" si="3"/>
        <v>0</v>
      </c>
      <c r="Q14" s="222"/>
      <c r="R14" s="406">
        <v>0</v>
      </c>
      <c r="S14" s="23"/>
      <c r="T14" s="23">
        <f t="shared" si="4"/>
        <v>1.2</v>
      </c>
      <c r="U14" s="24">
        <f t="shared" si="5"/>
        <v>-1.2</v>
      </c>
      <c r="V14" s="3" t="s">
        <v>42</v>
      </c>
      <c r="W14" s="23">
        <v>2.4694007086473899</v>
      </c>
      <c r="X14" s="24" t="str">
        <f t="shared" si="6"/>
        <v/>
      </c>
      <c r="Y14" s="25" t="str">
        <f t="shared" si="7"/>
        <v/>
      </c>
      <c r="Z14" s="24" t="str">
        <f t="shared" si="8"/>
        <v/>
      </c>
      <c r="AA14" s="24" t="str">
        <f t="shared" si="9"/>
        <v/>
      </c>
      <c r="AB14" s="25">
        <f t="shared" si="10"/>
        <v>0</v>
      </c>
      <c r="AC14" s="3" t="str">
        <f t="shared" ref="AC14:AG14" si="30">IF(C14&gt;0,AC$21-$AB14*FLOOR(AC$21/$AB14,1),"")</f>
        <v/>
      </c>
      <c r="AD14" s="3" t="str">
        <f t="shared" si="30"/>
        <v/>
      </c>
      <c r="AE14" s="3" t="str">
        <f t="shared" si="30"/>
        <v/>
      </c>
      <c r="AF14" s="3" t="str">
        <f t="shared" si="30"/>
        <v/>
      </c>
      <c r="AG14" s="3" t="str">
        <f t="shared" si="30"/>
        <v/>
      </c>
      <c r="AH14" s="3" t="str">
        <f t="shared" si="12"/>
        <v/>
      </c>
      <c r="AI14" s="26" t="str">
        <f>IF(AB14&gt;0,HLOOKUP(AH14,AC14:AG24,8,FALSE),"")</f>
        <v/>
      </c>
      <c r="AJ14" s="23" t="s">
        <v>43</v>
      </c>
      <c r="AK14" s="3">
        <v>6.5</v>
      </c>
      <c r="AL14" s="25">
        <f t="shared" si="13"/>
        <v>0</v>
      </c>
      <c r="AM14" s="25">
        <f t="shared" si="14"/>
        <v>0</v>
      </c>
      <c r="AN14" s="25">
        <f t="shared" si="15"/>
        <v>0</v>
      </c>
      <c r="AO14" s="25">
        <f t="shared" si="16"/>
        <v>0</v>
      </c>
      <c r="AP14" s="3"/>
      <c r="AQ14" s="25">
        <f t="shared" si="17"/>
        <v>0</v>
      </c>
      <c r="AR14" s="3" t="str">
        <f t="shared" ref="AR14:AV14" si="31">IF(C14&gt;0,AR$21-$AQ14*FLOOR(AR$21/$AQ14,1),"")</f>
        <v/>
      </c>
      <c r="AS14" s="3" t="str">
        <f t="shared" si="31"/>
        <v/>
      </c>
      <c r="AT14" s="3" t="str">
        <f t="shared" si="31"/>
        <v/>
      </c>
      <c r="AU14" s="3" t="str">
        <f t="shared" si="31"/>
        <v/>
      </c>
      <c r="AV14" s="3" t="str">
        <f t="shared" si="31"/>
        <v/>
      </c>
      <c r="AW14" s="3" t="str">
        <f t="shared" si="19"/>
        <v/>
      </c>
      <c r="AX14" s="26" t="str">
        <f>IF(AQ14&gt;0,HLOOKUP(AW14,AR14:AV24,8,FALSE),"")</f>
        <v/>
      </c>
      <c r="AY14" s="3" t="str">
        <f t="shared" ref="AY14:AY20" si="32">IF(AQ14&gt;0,SMALL(AR14:AV14,1),"")</f>
        <v/>
      </c>
      <c r="AZ14" s="3" t="str">
        <f>IF(AQ14&gt;0,HLOOKUP(AY14,AR14:AV24,8,FALSE),"")</f>
        <v/>
      </c>
      <c r="BA14" s="3"/>
      <c r="BB14" s="3"/>
      <c r="BC14" s="3"/>
      <c r="BD14" s="3"/>
      <c r="BE14" s="25">
        <f t="shared" si="20"/>
        <v>0</v>
      </c>
      <c r="BF14" s="25">
        <f t="shared" si="21"/>
        <v>0</v>
      </c>
      <c r="BG14" s="25">
        <f t="shared" si="22"/>
        <v>0</v>
      </c>
      <c r="BH14" s="25">
        <f t="shared" si="23"/>
        <v>0</v>
      </c>
      <c r="BI14" s="25">
        <f t="shared" si="24"/>
        <v>0</v>
      </c>
      <c r="BJ14" s="25">
        <f t="shared" si="25"/>
        <v>0</v>
      </c>
    </row>
    <row r="15" spans="1:62" ht="16.5" customHeight="1">
      <c r="A15" s="3"/>
      <c r="B15" s="215" t="s">
        <v>114</v>
      </c>
      <c r="C15" s="216"/>
      <c r="D15" s="216"/>
      <c r="E15" s="216"/>
      <c r="F15" s="216"/>
      <c r="G15" s="217"/>
      <c r="H15" s="218"/>
      <c r="I15" s="219"/>
      <c r="J15" s="220" t="str">
        <f t="shared" si="0"/>
        <v/>
      </c>
      <c r="K15" s="221">
        <f t="shared" si="1"/>
        <v>0</v>
      </c>
      <c r="L15" s="222"/>
      <c r="M15" s="223"/>
      <c r="N15" s="224"/>
      <c r="O15" s="220" t="str">
        <f t="shared" si="2"/>
        <v/>
      </c>
      <c r="P15" s="221">
        <f t="shared" si="3"/>
        <v>0</v>
      </c>
      <c r="Q15" s="222"/>
      <c r="R15" s="406">
        <v>0</v>
      </c>
      <c r="S15" s="23"/>
      <c r="T15" s="23">
        <f t="shared" si="4"/>
        <v>1.2</v>
      </c>
      <c r="U15" s="24">
        <f t="shared" si="5"/>
        <v>-1.2</v>
      </c>
      <c r="V15" s="3" t="s">
        <v>45</v>
      </c>
      <c r="W15" s="23">
        <v>3.8584386072615469</v>
      </c>
      <c r="X15" s="24" t="str">
        <f t="shared" si="6"/>
        <v/>
      </c>
      <c r="Y15" s="25" t="str">
        <f t="shared" si="7"/>
        <v/>
      </c>
      <c r="Z15" s="24" t="str">
        <f t="shared" si="8"/>
        <v/>
      </c>
      <c r="AA15" s="24" t="str">
        <f t="shared" si="9"/>
        <v/>
      </c>
      <c r="AB15" s="25">
        <f t="shared" si="10"/>
        <v>0</v>
      </c>
      <c r="AC15" s="3" t="str">
        <f t="shared" ref="AC15:AG15" si="33">IF(C15&gt;0,AC$21-$AB15*FLOOR(AC$21/$AB15,1),"")</f>
        <v/>
      </c>
      <c r="AD15" s="3" t="str">
        <f t="shared" si="33"/>
        <v/>
      </c>
      <c r="AE15" s="3" t="str">
        <f t="shared" si="33"/>
        <v/>
      </c>
      <c r="AF15" s="3" t="str">
        <f t="shared" si="33"/>
        <v/>
      </c>
      <c r="AG15" s="3" t="str">
        <f t="shared" si="33"/>
        <v/>
      </c>
      <c r="AH15" s="3" t="str">
        <f t="shared" si="12"/>
        <v/>
      </c>
      <c r="AI15" s="26" t="str">
        <f>IF(AB15&gt;0,HLOOKUP(AH15,AC15:AG34,7,FALSE),"")</f>
        <v/>
      </c>
      <c r="AJ15" s="3"/>
      <c r="AK15" s="3"/>
      <c r="AL15" s="25">
        <f t="shared" si="13"/>
        <v>0</v>
      </c>
      <c r="AM15" s="25">
        <f t="shared" si="14"/>
        <v>0</v>
      </c>
      <c r="AN15" s="25">
        <f t="shared" si="15"/>
        <v>0</v>
      </c>
      <c r="AO15" s="25">
        <f t="shared" si="16"/>
        <v>0</v>
      </c>
      <c r="AP15" s="3"/>
      <c r="AQ15" s="25">
        <f t="shared" si="17"/>
        <v>0</v>
      </c>
      <c r="AR15" s="3" t="str">
        <f t="shared" ref="AR15:AV15" si="34">IF(C15&gt;0,AR$21-$AQ15*FLOOR(AR$21/$AQ15,1),"")</f>
        <v/>
      </c>
      <c r="AS15" s="3" t="str">
        <f t="shared" si="34"/>
        <v/>
      </c>
      <c r="AT15" s="3" t="str">
        <f t="shared" si="34"/>
        <v/>
      </c>
      <c r="AU15" s="3" t="str">
        <f t="shared" si="34"/>
        <v/>
      </c>
      <c r="AV15" s="3" t="str">
        <f t="shared" si="34"/>
        <v/>
      </c>
      <c r="AW15" s="3" t="str">
        <f t="shared" si="19"/>
        <v/>
      </c>
      <c r="AX15" s="26" t="str">
        <f>IF(AQ15&gt;0,HLOOKUP(AW15,AR15:AV34,7,FALSE),"")</f>
        <v/>
      </c>
      <c r="AY15" s="3" t="str">
        <f t="shared" si="32"/>
        <v/>
      </c>
      <c r="AZ15" s="3" t="str">
        <f>IF(AQ15&gt;0,HLOOKUP(AY15,AR15:AV34,7,FALSE),"")</f>
        <v/>
      </c>
      <c r="BA15" s="3"/>
      <c r="BB15" s="3"/>
      <c r="BC15" s="3"/>
      <c r="BD15" s="3"/>
      <c r="BE15" s="25">
        <f t="shared" si="20"/>
        <v>0</v>
      </c>
      <c r="BF15" s="25">
        <f t="shared" si="21"/>
        <v>0</v>
      </c>
      <c r="BG15" s="25">
        <f t="shared" si="22"/>
        <v>0</v>
      </c>
      <c r="BH15" s="25">
        <f t="shared" si="23"/>
        <v>0</v>
      </c>
      <c r="BI15" s="25">
        <f t="shared" si="24"/>
        <v>0</v>
      </c>
      <c r="BJ15" s="25">
        <f t="shared" si="25"/>
        <v>0</v>
      </c>
    </row>
    <row r="16" spans="1:62" ht="16.5" customHeight="1">
      <c r="A16" s="3"/>
      <c r="B16" s="215" t="s">
        <v>115</v>
      </c>
      <c r="C16" s="216"/>
      <c r="D16" s="216"/>
      <c r="E16" s="216"/>
      <c r="F16" s="216"/>
      <c r="G16" s="217"/>
      <c r="H16" s="218"/>
      <c r="I16" s="219"/>
      <c r="J16" s="220" t="str">
        <f t="shared" si="0"/>
        <v/>
      </c>
      <c r="K16" s="221">
        <f t="shared" si="1"/>
        <v>0</v>
      </c>
      <c r="L16" s="222"/>
      <c r="M16" s="223"/>
      <c r="N16" s="224"/>
      <c r="O16" s="220" t="str">
        <f t="shared" si="2"/>
        <v/>
      </c>
      <c r="P16" s="221">
        <f t="shared" si="3"/>
        <v>0</v>
      </c>
      <c r="Q16" s="222"/>
      <c r="R16" s="406">
        <v>0</v>
      </c>
      <c r="S16" s="23"/>
      <c r="T16" s="23">
        <f t="shared" si="4"/>
        <v>1.2</v>
      </c>
      <c r="U16" s="24">
        <f t="shared" si="5"/>
        <v>-1.2</v>
      </c>
      <c r="V16" s="3" t="s">
        <v>47</v>
      </c>
      <c r="W16" s="23">
        <v>4.8400253889488836</v>
      </c>
      <c r="X16" s="24" t="str">
        <f t="shared" si="6"/>
        <v/>
      </c>
      <c r="Y16" s="25" t="str">
        <f t="shared" si="7"/>
        <v/>
      </c>
      <c r="Z16" s="24" t="str">
        <f t="shared" si="8"/>
        <v/>
      </c>
      <c r="AA16" s="24" t="str">
        <f t="shared" si="9"/>
        <v/>
      </c>
      <c r="AB16" s="25">
        <f t="shared" si="10"/>
        <v>0</v>
      </c>
      <c r="AC16" s="3" t="str">
        <f t="shared" ref="AC16:AG16" si="35">IF(C16&gt;0,AC$21-$AB16*FLOOR(AC$21/$AB16,1),"")</f>
        <v/>
      </c>
      <c r="AD16" s="3" t="str">
        <f t="shared" si="35"/>
        <v/>
      </c>
      <c r="AE16" s="3" t="str">
        <f t="shared" si="35"/>
        <v/>
      </c>
      <c r="AF16" s="3" t="str">
        <f t="shared" si="35"/>
        <v/>
      </c>
      <c r="AG16" s="3" t="str">
        <f t="shared" si="35"/>
        <v/>
      </c>
      <c r="AH16" s="3" t="str">
        <f t="shared" si="12"/>
        <v/>
      </c>
      <c r="AI16" s="26" t="str">
        <f>IF(AB16&gt;0,HLOOKUP(AH16,AC16:AG36,6,FALSE),"")</f>
        <v/>
      </c>
      <c r="AJ16" s="3"/>
      <c r="AK16" s="3"/>
      <c r="AL16" s="25">
        <f t="shared" si="13"/>
        <v>0</v>
      </c>
      <c r="AM16" s="25">
        <f t="shared" si="14"/>
        <v>0</v>
      </c>
      <c r="AN16" s="25">
        <f t="shared" si="15"/>
        <v>0</v>
      </c>
      <c r="AO16" s="25">
        <f t="shared" si="16"/>
        <v>0</v>
      </c>
      <c r="AP16" s="3"/>
      <c r="AQ16" s="25">
        <f t="shared" si="17"/>
        <v>0</v>
      </c>
      <c r="AR16" s="3" t="str">
        <f t="shared" ref="AR16:AV16" si="36">IF(C16&gt;0,AR$21-$AQ16*FLOOR(AR$21/$AQ16,1),"")</f>
        <v/>
      </c>
      <c r="AS16" s="3" t="str">
        <f t="shared" si="36"/>
        <v/>
      </c>
      <c r="AT16" s="3" t="str">
        <f t="shared" si="36"/>
        <v/>
      </c>
      <c r="AU16" s="3" t="str">
        <f t="shared" si="36"/>
        <v/>
      </c>
      <c r="AV16" s="3" t="str">
        <f t="shared" si="36"/>
        <v/>
      </c>
      <c r="AW16" s="3" t="str">
        <f t="shared" si="19"/>
        <v/>
      </c>
      <c r="AX16" s="26" t="str">
        <f>IF(AQ16&gt;0,HLOOKUP(AW16,AR16:AV36,6,FALSE),"")</f>
        <v/>
      </c>
      <c r="AY16" s="3" t="str">
        <f t="shared" si="32"/>
        <v/>
      </c>
      <c r="AZ16" s="3" t="str">
        <f>IF(AQ16&gt;0,HLOOKUP(AY16,AR16:AV36,6,FALSE),"")</f>
        <v/>
      </c>
      <c r="BA16" s="3"/>
      <c r="BB16" s="3"/>
      <c r="BC16" s="3"/>
      <c r="BD16" s="3"/>
      <c r="BE16" s="25">
        <f t="shared" si="20"/>
        <v>0</v>
      </c>
      <c r="BF16" s="25">
        <f t="shared" si="21"/>
        <v>0</v>
      </c>
      <c r="BG16" s="25">
        <f t="shared" si="22"/>
        <v>0</v>
      </c>
      <c r="BH16" s="25">
        <f t="shared" si="23"/>
        <v>0</v>
      </c>
      <c r="BI16" s="25">
        <f t="shared" si="24"/>
        <v>0</v>
      </c>
      <c r="BJ16" s="25">
        <f t="shared" si="25"/>
        <v>0</v>
      </c>
    </row>
    <row r="17" spans="1:62" ht="16.5" customHeight="1">
      <c r="A17" s="3"/>
      <c r="B17" s="215" t="s">
        <v>116</v>
      </c>
      <c r="C17" s="216"/>
      <c r="D17" s="216"/>
      <c r="E17" s="216"/>
      <c r="F17" s="216"/>
      <c r="G17" s="217"/>
      <c r="H17" s="218"/>
      <c r="I17" s="219"/>
      <c r="J17" s="220" t="str">
        <f t="shared" si="0"/>
        <v/>
      </c>
      <c r="K17" s="221">
        <f t="shared" si="1"/>
        <v>0</v>
      </c>
      <c r="L17" s="222"/>
      <c r="M17" s="223"/>
      <c r="N17" s="224"/>
      <c r="O17" s="220" t="str">
        <f t="shared" si="2"/>
        <v/>
      </c>
      <c r="P17" s="221">
        <f t="shared" si="3"/>
        <v>0</v>
      </c>
      <c r="Q17" s="222"/>
      <c r="R17" s="406">
        <v>0</v>
      </c>
      <c r="S17" s="23"/>
      <c r="T17" s="23">
        <f t="shared" si="4"/>
        <v>1.2</v>
      </c>
      <c r="U17" s="24">
        <f t="shared" si="5"/>
        <v>-1.2</v>
      </c>
      <c r="V17" s="3" t="s">
        <v>49</v>
      </c>
      <c r="W17" s="23">
        <v>6.3216658141373188</v>
      </c>
      <c r="X17" s="24" t="str">
        <f t="shared" si="6"/>
        <v/>
      </c>
      <c r="Y17" s="25" t="str">
        <f t="shared" si="7"/>
        <v/>
      </c>
      <c r="Z17" s="24" t="str">
        <f t="shared" si="8"/>
        <v/>
      </c>
      <c r="AA17" s="24" t="str">
        <f t="shared" si="9"/>
        <v/>
      </c>
      <c r="AB17" s="25">
        <f t="shared" si="10"/>
        <v>0</v>
      </c>
      <c r="AC17" s="3" t="str">
        <f t="shared" ref="AC17:AG17" si="37">IF(C17&gt;0,AC$21-$AB17*FLOOR(AC$21/$AB17,1),"")</f>
        <v/>
      </c>
      <c r="AD17" s="3" t="str">
        <f t="shared" si="37"/>
        <v/>
      </c>
      <c r="AE17" s="3" t="str">
        <f t="shared" si="37"/>
        <v/>
      </c>
      <c r="AF17" s="3" t="str">
        <f t="shared" si="37"/>
        <v/>
      </c>
      <c r="AG17" s="3" t="str">
        <f t="shared" si="37"/>
        <v/>
      </c>
      <c r="AH17" s="3" t="str">
        <f t="shared" si="12"/>
        <v/>
      </c>
      <c r="AI17" s="26" t="str">
        <f>IF(AB17&gt;0,HLOOKUP(AH17,AC17:AG38,5,FALSE),"")</f>
        <v/>
      </c>
      <c r="AJ17" s="3"/>
      <c r="AK17" s="3"/>
      <c r="AL17" s="25">
        <f t="shared" si="13"/>
        <v>0</v>
      </c>
      <c r="AM17" s="25">
        <f t="shared" si="14"/>
        <v>0</v>
      </c>
      <c r="AN17" s="25">
        <f t="shared" si="15"/>
        <v>0</v>
      </c>
      <c r="AO17" s="25">
        <f t="shared" si="16"/>
        <v>0</v>
      </c>
      <c r="AP17" s="3"/>
      <c r="AQ17" s="25">
        <f t="shared" si="17"/>
        <v>0</v>
      </c>
      <c r="AR17" s="3" t="str">
        <f t="shared" ref="AR17:AV17" si="38">IF(C17&gt;0,AR$21-$AQ17*FLOOR(AR$21/$AQ17,1),"")</f>
        <v/>
      </c>
      <c r="AS17" s="3" t="str">
        <f t="shared" si="38"/>
        <v/>
      </c>
      <c r="AT17" s="3" t="str">
        <f t="shared" si="38"/>
        <v/>
      </c>
      <c r="AU17" s="3" t="str">
        <f t="shared" si="38"/>
        <v/>
      </c>
      <c r="AV17" s="3" t="str">
        <f t="shared" si="38"/>
        <v/>
      </c>
      <c r="AW17" s="3" t="str">
        <f t="shared" si="19"/>
        <v/>
      </c>
      <c r="AX17" s="26" t="str">
        <f>IF(AQ17&gt;0,HLOOKUP(AW17,AR17:AV38,5,FALSE),"")</f>
        <v/>
      </c>
      <c r="AY17" s="3" t="str">
        <f t="shared" si="32"/>
        <v/>
      </c>
      <c r="AZ17" s="3" t="str">
        <f>IF(AQ17&gt;0,HLOOKUP(AY17,AR17:AV38,5,FALSE),"")</f>
        <v/>
      </c>
      <c r="BA17" s="3"/>
      <c r="BB17" s="3"/>
      <c r="BC17" s="3"/>
      <c r="BD17" s="3"/>
      <c r="BE17" s="25">
        <f t="shared" si="20"/>
        <v>0</v>
      </c>
      <c r="BF17" s="25">
        <f t="shared" si="21"/>
        <v>0</v>
      </c>
      <c r="BG17" s="25">
        <f t="shared" si="22"/>
        <v>0</v>
      </c>
      <c r="BH17" s="25">
        <f t="shared" si="23"/>
        <v>0</v>
      </c>
      <c r="BI17" s="25">
        <f t="shared" si="24"/>
        <v>0</v>
      </c>
      <c r="BJ17" s="25">
        <f t="shared" si="25"/>
        <v>0</v>
      </c>
    </row>
    <row r="18" spans="1:62" ht="16.5" customHeight="1">
      <c r="A18" s="3"/>
      <c r="B18" s="215" t="s">
        <v>117</v>
      </c>
      <c r="C18" s="216"/>
      <c r="D18" s="216"/>
      <c r="E18" s="216"/>
      <c r="F18" s="216"/>
      <c r="G18" s="217"/>
      <c r="H18" s="218"/>
      <c r="I18" s="219"/>
      <c r="J18" s="220" t="str">
        <f t="shared" si="0"/>
        <v/>
      </c>
      <c r="K18" s="221">
        <f t="shared" si="1"/>
        <v>0</v>
      </c>
      <c r="L18" s="222"/>
      <c r="M18" s="223"/>
      <c r="N18" s="224"/>
      <c r="O18" s="220" t="str">
        <f t="shared" si="2"/>
        <v/>
      </c>
      <c r="P18" s="221">
        <f t="shared" si="3"/>
        <v>0</v>
      </c>
      <c r="Q18" s="222"/>
      <c r="R18" s="406">
        <v>0</v>
      </c>
      <c r="S18" s="23"/>
      <c r="T18" s="23">
        <f t="shared" si="4"/>
        <v>1.2</v>
      </c>
      <c r="U18" s="24">
        <f t="shared" si="5"/>
        <v>-1.2</v>
      </c>
      <c r="V18" s="23"/>
      <c r="W18" s="23"/>
      <c r="X18" s="24" t="str">
        <f t="shared" si="6"/>
        <v/>
      </c>
      <c r="Y18" s="25" t="str">
        <f t="shared" si="7"/>
        <v/>
      </c>
      <c r="Z18" s="24" t="str">
        <f t="shared" si="8"/>
        <v/>
      </c>
      <c r="AA18" s="24" t="str">
        <f t="shared" si="9"/>
        <v/>
      </c>
      <c r="AB18" s="25">
        <f t="shared" si="10"/>
        <v>0</v>
      </c>
      <c r="AC18" s="3" t="str">
        <f t="shared" ref="AC18:AG18" si="39">IF(C18&gt;0,AC$21-$AB18*FLOOR(AC$21/$AB18,1),"")</f>
        <v/>
      </c>
      <c r="AD18" s="3" t="str">
        <f t="shared" si="39"/>
        <v/>
      </c>
      <c r="AE18" s="3" t="str">
        <f t="shared" si="39"/>
        <v/>
      </c>
      <c r="AF18" s="3" t="str">
        <f t="shared" si="39"/>
        <v/>
      </c>
      <c r="AG18" s="3" t="str">
        <f t="shared" si="39"/>
        <v/>
      </c>
      <c r="AH18" s="3" t="str">
        <f t="shared" si="12"/>
        <v/>
      </c>
      <c r="AI18" s="26" t="str">
        <f>IF(AB18&gt;0,HLOOKUP(AH18,AC18:AG40,4,FALSE),"")</f>
        <v/>
      </c>
      <c r="AJ18" s="3"/>
      <c r="AK18" s="3"/>
      <c r="AL18" s="25">
        <f t="shared" si="13"/>
        <v>0</v>
      </c>
      <c r="AM18" s="25">
        <f t="shared" si="14"/>
        <v>0</v>
      </c>
      <c r="AN18" s="25">
        <f t="shared" si="15"/>
        <v>0</v>
      </c>
      <c r="AO18" s="25">
        <f t="shared" si="16"/>
        <v>0</v>
      </c>
      <c r="AP18" s="3"/>
      <c r="AQ18" s="25">
        <f t="shared" si="17"/>
        <v>0</v>
      </c>
      <c r="AR18" s="3" t="str">
        <f t="shared" ref="AR18:AV18" si="40">IF(C18&gt;0,AR$21-$AQ18*FLOOR(AR$21/$AQ18,1),"")</f>
        <v/>
      </c>
      <c r="AS18" s="3" t="str">
        <f t="shared" si="40"/>
        <v/>
      </c>
      <c r="AT18" s="3" t="str">
        <f t="shared" si="40"/>
        <v/>
      </c>
      <c r="AU18" s="3" t="str">
        <f t="shared" si="40"/>
        <v/>
      </c>
      <c r="AV18" s="3" t="str">
        <f t="shared" si="40"/>
        <v/>
      </c>
      <c r="AW18" s="3" t="str">
        <f t="shared" si="19"/>
        <v/>
      </c>
      <c r="AX18" s="26" t="str">
        <f>IF(AQ18&gt;0,HLOOKUP(AW18,AR18:AV40,4,FALSE),"")</f>
        <v/>
      </c>
      <c r="AY18" s="3" t="str">
        <f t="shared" si="32"/>
        <v/>
      </c>
      <c r="AZ18" s="3" t="str">
        <f>IF(AQ18&gt;0,HLOOKUP(AY18,AR18:AV40,4,FALSE),"")</f>
        <v/>
      </c>
      <c r="BA18" s="3"/>
      <c r="BB18" s="3"/>
      <c r="BC18" s="3"/>
      <c r="BD18" s="3"/>
      <c r="BE18" s="25">
        <f t="shared" si="20"/>
        <v>0</v>
      </c>
      <c r="BF18" s="25">
        <f t="shared" si="21"/>
        <v>0</v>
      </c>
      <c r="BG18" s="25">
        <f t="shared" si="22"/>
        <v>0</v>
      </c>
      <c r="BH18" s="25">
        <f t="shared" si="23"/>
        <v>0</v>
      </c>
      <c r="BI18" s="25">
        <f t="shared" si="24"/>
        <v>0</v>
      </c>
      <c r="BJ18" s="25">
        <f t="shared" si="25"/>
        <v>0</v>
      </c>
    </row>
    <row r="19" spans="1:62" ht="16.5" customHeight="1">
      <c r="A19" s="3"/>
      <c r="B19" s="215" t="s">
        <v>118</v>
      </c>
      <c r="C19" s="216"/>
      <c r="D19" s="216"/>
      <c r="E19" s="216"/>
      <c r="F19" s="216"/>
      <c r="G19" s="217"/>
      <c r="H19" s="218"/>
      <c r="I19" s="219"/>
      <c r="J19" s="220" t="str">
        <f t="shared" si="0"/>
        <v/>
      </c>
      <c r="K19" s="221">
        <f t="shared" si="1"/>
        <v>0</v>
      </c>
      <c r="L19" s="222"/>
      <c r="M19" s="223"/>
      <c r="N19" s="224"/>
      <c r="O19" s="220" t="str">
        <f t="shared" si="2"/>
        <v/>
      </c>
      <c r="P19" s="221">
        <f t="shared" si="3"/>
        <v>0</v>
      </c>
      <c r="Q19" s="222"/>
      <c r="R19" s="406">
        <v>0</v>
      </c>
      <c r="S19" s="23"/>
      <c r="T19" s="23">
        <f t="shared" si="4"/>
        <v>1.2</v>
      </c>
      <c r="U19" s="24">
        <f t="shared" si="5"/>
        <v>-1.2</v>
      </c>
      <c r="V19" s="23"/>
      <c r="W19" s="23"/>
      <c r="X19" s="24" t="str">
        <f t="shared" si="6"/>
        <v/>
      </c>
      <c r="Y19" s="25" t="str">
        <f t="shared" si="7"/>
        <v/>
      </c>
      <c r="Z19" s="24" t="str">
        <f t="shared" si="8"/>
        <v/>
      </c>
      <c r="AA19" s="24" t="str">
        <f t="shared" si="9"/>
        <v/>
      </c>
      <c r="AB19" s="25">
        <f t="shared" si="10"/>
        <v>0</v>
      </c>
      <c r="AC19" s="3" t="str">
        <f t="shared" ref="AC19:AG19" si="41">IF(C19&gt;0,AC$21-$AB19*FLOOR(AC$21/$AB19,1),"")</f>
        <v/>
      </c>
      <c r="AD19" s="3" t="str">
        <f t="shared" si="41"/>
        <v/>
      </c>
      <c r="AE19" s="3" t="str">
        <f t="shared" si="41"/>
        <v/>
      </c>
      <c r="AF19" s="3" t="str">
        <f t="shared" si="41"/>
        <v/>
      </c>
      <c r="AG19" s="3" t="str">
        <f t="shared" si="41"/>
        <v/>
      </c>
      <c r="AH19" s="3" t="str">
        <f t="shared" si="12"/>
        <v/>
      </c>
      <c r="AI19" s="26" t="str">
        <f>IF(AB19&gt;0,HLOOKUP(AH19,AC19:AG42,3,FALSE),"")</f>
        <v/>
      </c>
      <c r="AJ19" s="3"/>
      <c r="AK19" s="3"/>
      <c r="AL19" s="25">
        <f t="shared" si="13"/>
        <v>0</v>
      </c>
      <c r="AM19" s="25">
        <f t="shared" si="14"/>
        <v>0</v>
      </c>
      <c r="AN19" s="25">
        <f t="shared" si="15"/>
        <v>0</v>
      </c>
      <c r="AO19" s="25">
        <f t="shared" si="16"/>
        <v>0</v>
      </c>
      <c r="AP19" s="3"/>
      <c r="AQ19" s="25">
        <f t="shared" si="17"/>
        <v>0</v>
      </c>
      <c r="AR19" s="3" t="str">
        <f t="shared" ref="AR19:AV19" si="42">IF(C19&gt;0,AR$21-$AQ19*FLOOR(AR$21/$AQ19,1),"")</f>
        <v/>
      </c>
      <c r="AS19" s="3" t="str">
        <f t="shared" si="42"/>
        <v/>
      </c>
      <c r="AT19" s="3" t="str">
        <f t="shared" si="42"/>
        <v/>
      </c>
      <c r="AU19" s="3" t="str">
        <f t="shared" si="42"/>
        <v/>
      </c>
      <c r="AV19" s="3" t="str">
        <f t="shared" si="42"/>
        <v/>
      </c>
      <c r="AW19" s="3" t="str">
        <f t="shared" si="19"/>
        <v/>
      </c>
      <c r="AX19" s="26" t="str">
        <f>IF(AQ19&gt;0,HLOOKUP(AW19,AR19:AV42,3,FALSE),"")</f>
        <v/>
      </c>
      <c r="AY19" s="3" t="str">
        <f t="shared" si="32"/>
        <v/>
      </c>
      <c r="AZ19" s="3" t="str">
        <f>IF(AQ19&gt;0,HLOOKUP(AY19,AR19:AV42,3,FALSE),"")</f>
        <v/>
      </c>
      <c r="BA19" s="3"/>
      <c r="BB19" s="3"/>
      <c r="BC19" s="3"/>
      <c r="BD19" s="3"/>
      <c r="BE19" s="25">
        <f t="shared" si="20"/>
        <v>0</v>
      </c>
      <c r="BF19" s="25">
        <f t="shared" si="21"/>
        <v>0</v>
      </c>
      <c r="BG19" s="25">
        <f t="shared" si="22"/>
        <v>0</v>
      </c>
      <c r="BH19" s="25">
        <f t="shared" si="23"/>
        <v>0</v>
      </c>
      <c r="BI19" s="25">
        <f t="shared" si="24"/>
        <v>0</v>
      </c>
      <c r="BJ19" s="25">
        <f t="shared" si="25"/>
        <v>0</v>
      </c>
    </row>
    <row r="20" spans="1:62" ht="16.5" customHeight="1">
      <c r="A20" s="3"/>
      <c r="B20" s="225" t="s">
        <v>119</v>
      </c>
      <c r="C20" s="226"/>
      <c r="D20" s="226"/>
      <c r="E20" s="226"/>
      <c r="F20" s="226"/>
      <c r="G20" s="227"/>
      <c r="H20" s="228"/>
      <c r="I20" s="229"/>
      <c r="J20" s="230" t="str">
        <f t="shared" si="0"/>
        <v/>
      </c>
      <c r="K20" s="231">
        <f t="shared" si="1"/>
        <v>0</v>
      </c>
      <c r="L20" s="232"/>
      <c r="M20" s="233"/>
      <c r="N20" s="234"/>
      <c r="O20" s="230" t="str">
        <f t="shared" si="2"/>
        <v/>
      </c>
      <c r="P20" s="231">
        <f t="shared" si="3"/>
        <v>0</v>
      </c>
      <c r="Q20" s="232"/>
      <c r="R20" s="407">
        <v>0</v>
      </c>
      <c r="S20" s="23"/>
      <c r="T20" s="23">
        <f t="shared" si="4"/>
        <v>1.2</v>
      </c>
      <c r="U20" s="24">
        <f t="shared" si="5"/>
        <v>-1.2</v>
      </c>
      <c r="V20" s="23"/>
      <c r="W20" s="23"/>
      <c r="X20" s="24" t="str">
        <f t="shared" si="6"/>
        <v/>
      </c>
      <c r="Y20" s="25" t="str">
        <f t="shared" si="7"/>
        <v/>
      </c>
      <c r="Z20" s="24" t="str">
        <f t="shared" si="8"/>
        <v/>
      </c>
      <c r="AA20" s="24" t="str">
        <f t="shared" si="9"/>
        <v/>
      </c>
      <c r="AB20" s="25">
        <f t="shared" si="10"/>
        <v>0</v>
      </c>
      <c r="AC20" s="3" t="str">
        <f t="shared" ref="AC20:AG20" si="43">IF(C20&gt;0,AC$21-$AB20*FLOOR(AC$21/$AB20,1),"")</f>
        <v/>
      </c>
      <c r="AD20" s="3" t="str">
        <f t="shared" si="43"/>
        <v/>
      </c>
      <c r="AE20" s="3" t="str">
        <f t="shared" si="43"/>
        <v/>
      </c>
      <c r="AF20" s="3" t="str">
        <f t="shared" si="43"/>
        <v/>
      </c>
      <c r="AG20" s="3" t="str">
        <f t="shared" si="43"/>
        <v/>
      </c>
      <c r="AH20" s="3" t="str">
        <f t="shared" si="12"/>
        <v/>
      </c>
      <c r="AI20" s="26" t="str">
        <f>IF(AB20&gt;0,HLOOKUP(AH20,AC20:AG44,2,FALSE),"")</f>
        <v/>
      </c>
      <c r="AJ20" s="3"/>
      <c r="AK20" s="3"/>
      <c r="AL20" s="25">
        <f t="shared" si="13"/>
        <v>0</v>
      </c>
      <c r="AM20" s="25">
        <f t="shared" si="14"/>
        <v>0</v>
      </c>
      <c r="AN20" s="25">
        <f t="shared" si="15"/>
        <v>0</v>
      </c>
      <c r="AO20" s="25">
        <f t="shared" si="16"/>
        <v>0</v>
      </c>
      <c r="AP20" s="3"/>
      <c r="AQ20" s="25">
        <f t="shared" si="17"/>
        <v>0</v>
      </c>
      <c r="AR20" s="3" t="str">
        <f t="shared" ref="AR20:AV20" si="44">IF(C20&gt;0,AR$21-$AQ20*FLOOR(AR$21/$AQ20,1),"")</f>
        <v/>
      </c>
      <c r="AS20" s="3" t="str">
        <f t="shared" si="44"/>
        <v/>
      </c>
      <c r="AT20" s="3" t="str">
        <f t="shared" si="44"/>
        <v/>
      </c>
      <c r="AU20" s="3" t="str">
        <f t="shared" si="44"/>
        <v/>
      </c>
      <c r="AV20" s="3" t="str">
        <f t="shared" si="44"/>
        <v/>
      </c>
      <c r="AW20" s="3" t="str">
        <f t="shared" si="19"/>
        <v/>
      </c>
      <c r="AX20" s="26" t="str">
        <f>IF(AQ20&gt;0,HLOOKUP(AW20,AR20:AV44,2,FALSE),"")</f>
        <v/>
      </c>
      <c r="AY20" s="3" t="str">
        <f t="shared" si="32"/>
        <v/>
      </c>
      <c r="AZ20" s="3" t="str">
        <f>IF(AQ20&gt;0,HLOOKUP(AY20,AR20:AV44,2,FALSE),"")</f>
        <v/>
      </c>
      <c r="BA20" s="3"/>
      <c r="BB20" s="3"/>
      <c r="BC20" s="3"/>
      <c r="BD20" s="3"/>
      <c r="BE20" s="25">
        <f t="shared" si="20"/>
        <v>0</v>
      </c>
      <c r="BF20" s="25">
        <f t="shared" si="21"/>
        <v>0</v>
      </c>
      <c r="BG20" s="25">
        <f t="shared" si="22"/>
        <v>0</v>
      </c>
      <c r="BH20" s="25">
        <f t="shared" si="23"/>
        <v>0</v>
      </c>
      <c r="BI20" s="25">
        <f t="shared" si="24"/>
        <v>0</v>
      </c>
      <c r="BJ20" s="25">
        <f t="shared" si="25"/>
        <v>0</v>
      </c>
    </row>
    <row r="21" spans="1:62" ht="16.5" customHeight="1">
      <c r="A21" s="3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3"/>
      <c r="T21" s="3"/>
      <c r="U21" s="3"/>
      <c r="V21" s="3"/>
      <c r="W21" s="3"/>
      <c r="X21" s="24">
        <f t="shared" ref="X21:Y21" si="45">SUM(X11:X17)</f>
        <v>227.57996930894348</v>
      </c>
      <c r="Y21" s="24">
        <f t="shared" si="45"/>
        <v>284.47496163617933</v>
      </c>
      <c r="Z21" s="3"/>
      <c r="AA21" s="3"/>
      <c r="AB21" s="3"/>
      <c r="AC21" s="3">
        <v>6</v>
      </c>
      <c r="AD21" s="3">
        <f t="shared" ref="AD21:AG21" si="46">AC21+1.5</f>
        <v>7.5</v>
      </c>
      <c r="AE21" s="3">
        <f t="shared" si="46"/>
        <v>9</v>
      </c>
      <c r="AF21" s="3">
        <f t="shared" si="46"/>
        <v>10.5</v>
      </c>
      <c r="AG21" s="3">
        <f t="shared" si="46"/>
        <v>12</v>
      </c>
      <c r="AH21" s="3"/>
      <c r="AI21" s="26"/>
      <c r="AJ21" s="3"/>
      <c r="AK21" s="3"/>
      <c r="AL21" s="25">
        <f t="shared" ref="AL21:AN21" si="47">SUM(AL11:AL20)</f>
        <v>2.5600000000000005</v>
      </c>
      <c r="AM21" s="25">
        <f t="shared" si="47"/>
        <v>1.2480000000000002</v>
      </c>
      <c r="AN21" s="25">
        <f t="shared" si="47"/>
        <v>-1.6960000000000002</v>
      </c>
      <c r="AO21" s="25"/>
      <c r="AP21" s="3"/>
      <c r="AQ21" s="3"/>
      <c r="AR21" s="3">
        <v>6</v>
      </c>
      <c r="AS21" s="3">
        <f t="shared" ref="AS21:AV21" si="48">AR21+1.5</f>
        <v>7.5</v>
      </c>
      <c r="AT21" s="3">
        <f t="shared" si="48"/>
        <v>9</v>
      </c>
      <c r="AU21" s="3">
        <f t="shared" si="48"/>
        <v>10.5</v>
      </c>
      <c r="AV21" s="3">
        <f t="shared" si="48"/>
        <v>12</v>
      </c>
      <c r="AW21" s="3"/>
      <c r="AX21" s="3"/>
      <c r="AY21" s="3"/>
      <c r="AZ21" s="3"/>
      <c r="BA21" s="3"/>
      <c r="BB21" s="3"/>
      <c r="BC21" s="3"/>
      <c r="BD21" s="3"/>
      <c r="BE21" s="3"/>
      <c r="BF21" s="3">
        <f t="shared" ref="BF21:BJ21" si="49">CEILING(SUM(BF11:BF20),1)</f>
        <v>9</v>
      </c>
      <c r="BG21" s="3">
        <f t="shared" si="49"/>
        <v>46</v>
      </c>
      <c r="BH21" s="3">
        <f t="shared" si="49"/>
        <v>46</v>
      </c>
      <c r="BI21" s="3">
        <f t="shared" si="49"/>
        <v>6</v>
      </c>
      <c r="BJ21" s="3">
        <f t="shared" si="49"/>
        <v>6</v>
      </c>
    </row>
    <row r="22" spans="1:62" ht="16.5" customHeight="1">
      <c r="A22" s="3"/>
      <c r="B22" s="174"/>
      <c r="C22" s="174"/>
      <c r="D22" s="174"/>
      <c r="E22" s="174"/>
      <c r="F22" s="235" t="s">
        <v>53</v>
      </c>
      <c r="G22" s="172"/>
      <c r="H22" s="172"/>
      <c r="I22" s="172"/>
      <c r="J22" s="172"/>
      <c r="K22" s="173"/>
      <c r="L22" s="174"/>
      <c r="M22" s="174"/>
      <c r="N22" s="174"/>
      <c r="O22" s="174"/>
      <c r="P22" s="174"/>
      <c r="Q22" s="174"/>
      <c r="R22" s="174"/>
      <c r="S22" s="3"/>
      <c r="T22" s="3"/>
      <c r="U22" s="3"/>
      <c r="V22" s="3"/>
      <c r="W22" s="3"/>
      <c r="X22" s="24">
        <f>X21+Y21</f>
        <v>512.05493094512281</v>
      </c>
      <c r="Y22" s="2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25">
        <f>VLOOKUP(G8,AJ11:AK14,2,FALSE)</f>
        <v>12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</row>
    <row r="23" spans="1:62" ht="16.5" customHeight="1">
      <c r="A23" s="3"/>
      <c r="B23" s="174"/>
      <c r="C23" s="174"/>
      <c r="D23" s="174"/>
      <c r="E23" s="174"/>
      <c r="F23" s="236"/>
      <c r="G23" s="237"/>
      <c r="H23" s="237"/>
      <c r="I23" s="237"/>
      <c r="J23" s="237"/>
      <c r="K23" s="238"/>
      <c r="L23" s="174"/>
      <c r="M23" s="174"/>
      <c r="N23" s="174"/>
      <c r="O23" s="174"/>
      <c r="P23" s="174"/>
      <c r="Q23" s="174"/>
      <c r="R23" s="174"/>
      <c r="S23" s="3"/>
      <c r="T23" s="3"/>
      <c r="U23" s="3"/>
      <c r="V23" s="3"/>
      <c r="W23" s="3"/>
      <c r="X23" s="23" t="s">
        <v>30</v>
      </c>
      <c r="Y23" s="24">
        <f>CEILING(0.013*X22,0.5)</f>
        <v>7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54</v>
      </c>
      <c r="AL23" s="3">
        <f>CEILING(AL22*AL21,1)</f>
        <v>31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</row>
    <row r="24" spans="1:62" ht="16.5" customHeight="1">
      <c r="A24" s="3"/>
      <c r="B24" s="174"/>
      <c r="C24" s="174"/>
      <c r="D24" s="174"/>
      <c r="E24" s="174"/>
      <c r="F24" s="239" t="s">
        <v>3</v>
      </c>
      <c r="G24" s="239" t="s">
        <v>55</v>
      </c>
      <c r="H24" s="239" t="s">
        <v>56</v>
      </c>
      <c r="I24" s="239" t="s">
        <v>57</v>
      </c>
      <c r="J24" s="239" t="s">
        <v>58</v>
      </c>
      <c r="K24" s="239" t="s">
        <v>59</v>
      </c>
      <c r="L24" s="174"/>
      <c r="M24" s="174"/>
      <c r="N24" s="174"/>
      <c r="O24" s="174"/>
      <c r="P24" s="174"/>
      <c r="Q24" s="174"/>
      <c r="R24" s="17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60</v>
      </c>
      <c r="AL24" s="25">
        <f>AL21/2</f>
        <v>1.2800000000000002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</row>
    <row r="25" spans="1:62" ht="16.5" customHeight="1">
      <c r="A25" s="3"/>
      <c r="B25" s="174"/>
      <c r="C25" s="174"/>
      <c r="D25" s="174"/>
      <c r="E25" s="174"/>
      <c r="F25" s="240"/>
      <c r="G25" s="241" t="str">
        <f>'Materials Price List'!A8</f>
        <v>Cement</v>
      </c>
      <c r="H25" s="241">
        <f t="shared" ref="H25:H27" si="50">AL23</f>
        <v>31</v>
      </c>
      <c r="I25" s="242" t="s">
        <v>61</v>
      </c>
      <c r="J25" s="243">
        <f>IF(H25="","",VLOOKUP(G25,'Materials Price List'!$A$8:$B$100,2,FALSE))</f>
        <v>220</v>
      </c>
      <c r="K25" s="243">
        <f t="shared" ref="K25:K53" si="51">IF(H25="","",H25*J25)</f>
        <v>6820</v>
      </c>
      <c r="L25" s="174"/>
      <c r="M25" s="174"/>
      <c r="N25" s="174"/>
      <c r="O25" s="174"/>
      <c r="P25" s="174"/>
      <c r="Q25" s="174"/>
      <c r="R25" s="17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 t="s">
        <v>62</v>
      </c>
      <c r="AL25" s="25">
        <f>AL21</f>
        <v>2.5600000000000005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</row>
    <row r="26" spans="1:62" ht="16.5" customHeight="1">
      <c r="A26" s="3"/>
      <c r="B26" s="174"/>
      <c r="C26" s="174"/>
      <c r="D26" s="174"/>
      <c r="E26" s="174"/>
      <c r="F26" s="240"/>
      <c r="G26" s="241" t="str">
        <f>'Materials Price List'!A9</f>
        <v>Sand</v>
      </c>
      <c r="H26" s="242">
        <f t="shared" si="50"/>
        <v>1.2800000000000002</v>
      </c>
      <c r="I26" s="241" t="s">
        <v>63</v>
      </c>
      <c r="J26" s="243">
        <f>IF(H26="","",VLOOKUP(G26,'Materials Price List'!$A$8:$B$100,2,FALSE))</f>
        <v>875</v>
      </c>
      <c r="K26" s="243">
        <f t="shared" si="51"/>
        <v>1120.0000000000002</v>
      </c>
      <c r="L26" s="174"/>
      <c r="M26" s="174"/>
      <c r="N26" s="174"/>
      <c r="O26" s="174"/>
      <c r="P26" s="174"/>
      <c r="Q26" s="174"/>
      <c r="R26" s="17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</row>
    <row r="27" spans="1:62" ht="16.5" customHeight="1">
      <c r="A27" s="3"/>
      <c r="B27" s="174"/>
      <c r="C27" s="174"/>
      <c r="D27" s="174"/>
      <c r="E27" s="174"/>
      <c r="F27" s="240"/>
      <c r="G27" s="241" t="str">
        <f>'Materials Price List'!A10</f>
        <v>Gravel</v>
      </c>
      <c r="H27" s="242">
        <f t="shared" si="50"/>
        <v>2.5600000000000005</v>
      </c>
      <c r="I27" s="241" t="s">
        <v>63</v>
      </c>
      <c r="J27" s="243">
        <f>IF(H27="","",VLOOKUP(G27,'Materials Price List'!$A$8:$B$100,2,FALSE))</f>
        <v>1875</v>
      </c>
      <c r="K27" s="243">
        <f t="shared" si="51"/>
        <v>4800.0000000000009</v>
      </c>
      <c r="L27" s="174"/>
      <c r="M27" s="174"/>
      <c r="N27" s="174"/>
      <c r="O27" s="174"/>
      <c r="P27" s="174"/>
      <c r="Q27" s="174"/>
      <c r="R27" s="17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</row>
    <row r="28" spans="1:62" ht="16.5" customHeight="1">
      <c r="A28" s="3"/>
      <c r="B28" s="174"/>
      <c r="C28" s="174"/>
      <c r="D28" s="174"/>
      <c r="E28" s="174"/>
      <c r="F28" s="240"/>
      <c r="G28" s="241" t="str">
        <f>'Materials Price List'!A11</f>
        <v>Tie Wire</v>
      </c>
      <c r="H28" s="242">
        <f>Y23</f>
        <v>7</v>
      </c>
      <c r="I28" s="241" t="s">
        <v>64</v>
      </c>
      <c r="J28" s="243">
        <f>IF(H28="","",VLOOKUP(G28,'Materials Price List'!$A$8:$B$100,2,FALSE))</f>
        <v>95</v>
      </c>
      <c r="K28" s="243">
        <f t="shared" si="51"/>
        <v>665</v>
      </c>
      <c r="L28" s="174"/>
      <c r="M28" s="174"/>
      <c r="N28" s="174"/>
      <c r="O28" s="174"/>
      <c r="P28" s="174"/>
      <c r="Q28" s="174"/>
      <c r="R28" s="17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</row>
    <row r="29" spans="1:62" ht="16.5" customHeight="1">
      <c r="A29" s="3"/>
      <c r="B29" s="174"/>
      <c r="C29" s="174"/>
      <c r="D29" s="174"/>
      <c r="E29" s="174"/>
      <c r="F29" s="240"/>
      <c r="G29" s="241" t="str">
        <f>'Materials Price List'!A51</f>
        <v>2x3x8 Good Lumber</v>
      </c>
      <c r="H29" s="242">
        <f>BH21</f>
        <v>46</v>
      </c>
      <c r="I29" s="241" t="s">
        <v>120</v>
      </c>
      <c r="J29" s="243">
        <f>IF(H29="","",VLOOKUP(G29,'Materials Price List'!$A$8:$B$100,2,FALSE))</f>
        <v>275</v>
      </c>
      <c r="K29" s="243">
        <f t="shared" si="51"/>
        <v>12650</v>
      </c>
      <c r="L29" s="174"/>
      <c r="M29" s="174"/>
      <c r="N29" s="174"/>
      <c r="O29" s="174"/>
      <c r="P29" s="174"/>
      <c r="Q29" s="174"/>
      <c r="R29" s="17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</row>
    <row r="30" spans="1:62" ht="16.5" customHeight="1">
      <c r="A30" s="3"/>
      <c r="B30" s="174"/>
      <c r="C30" s="174"/>
      <c r="D30" s="174"/>
      <c r="E30" s="174"/>
      <c r="F30" s="240"/>
      <c r="G30" s="241" t="str">
        <f>'Materials Price List'!A52</f>
        <v>2x2x8 Good Lumber</v>
      </c>
      <c r="H30" s="242">
        <f>BG21</f>
        <v>46</v>
      </c>
      <c r="I30" s="241" t="s">
        <v>120</v>
      </c>
      <c r="J30" s="243">
        <f>IF(H30="","",VLOOKUP(G30,'Materials Price List'!$A$8:$B$100,2,FALSE))</f>
        <v>210</v>
      </c>
      <c r="K30" s="243">
        <f t="shared" si="51"/>
        <v>9660</v>
      </c>
      <c r="L30" s="174"/>
      <c r="M30" s="174"/>
      <c r="N30" s="174"/>
      <c r="O30" s="174"/>
      <c r="P30" s="174"/>
      <c r="Q30" s="174"/>
      <c r="R30" s="17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</row>
    <row r="31" spans="1:62" ht="16.5" customHeight="1">
      <c r="A31" s="3"/>
      <c r="B31" s="174"/>
      <c r="C31" s="174"/>
      <c r="D31" s="174"/>
      <c r="E31" s="174"/>
      <c r="F31" s="240"/>
      <c r="G31" s="241" t="str">
        <f>'Materials Price List'!A54</f>
        <v>3/4" Phenolic Board</v>
      </c>
      <c r="H31" s="242">
        <f>BF21</f>
        <v>9</v>
      </c>
      <c r="I31" s="241" t="s">
        <v>120</v>
      </c>
      <c r="J31" s="243">
        <f>IF(H31="","",VLOOKUP(G31,'Materials Price List'!$A$8:$B$100,2,FALSE))</f>
        <v>1200</v>
      </c>
      <c r="K31" s="243">
        <f t="shared" si="51"/>
        <v>10800</v>
      </c>
      <c r="L31" s="174"/>
      <c r="M31" s="174"/>
      <c r="N31" s="174"/>
      <c r="O31" s="174"/>
      <c r="P31" s="174"/>
      <c r="Q31" s="174"/>
      <c r="R31" s="17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</row>
    <row r="32" spans="1:62" ht="16.5" customHeight="1">
      <c r="A32" s="3"/>
      <c r="B32" s="174"/>
      <c r="C32" s="174"/>
      <c r="D32" s="174"/>
      <c r="E32" s="174"/>
      <c r="F32" s="240"/>
      <c r="G32" s="241" t="str">
        <f>'Materials Price List'!A55</f>
        <v>Common Nail 2"</v>
      </c>
      <c r="H32" s="242">
        <f>BI21</f>
        <v>6</v>
      </c>
      <c r="I32" s="241" t="s">
        <v>64</v>
      </c>
      <c r="J32" s="243">
        <f>IF(H32="","",VLOOKUP(G32,'Materials Price List'!$A$8:$B$100,2,FALSE))</f>
        <v>90</v>
      </c>
      <c r="K32" s="243">
        <f t="shared" si="51"/>
        <v>540</v>
      </c>
      <c r="L32" s="174"/>
      <c r="M32" s="174"/>
      <c r="N32" s="174"/>
      <c r="O32" s="174"/>
      <c r="P32" s="174"/>
      <c r="Q32" s="174"/>
      <c r="R32" s="17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</row>
    <row r="33" spans="1:62" ht="16.5" customHeight="1">
      <c r="A33" s="3"/>
      <c r="B33" s="174"/>
      <c r="C33" s="174"/>
      <c r="D33" s="174"/>
      <c r="E33" s="174"/>
      <c r="F33" s="240"/>
      <c r="G33" s="241" t="str">
        <f>'Materials Price List'!A56</f>
        <v>Common Nail 3"</v>
      </c>
      <c r="H33" s="242">
        <f>BJ21</f>
        <v>6</v>
      </c>
      <c r="I33" s="241" t="s">
        <v>64</v>
      </c>
      <c r="J33" s="243">
        <f>IF(H33="","",VLOOKUP(G33,'Materials Price List'!$A$8:$B$100,2,FALSE))</f>
        <v>90</v>
      </c>
      <c r="K33" s="243">
        <f t="shared" si="51"/>
        <v>540</v>
      </c>
      <c r="L33" s="174"/>
      <c r="M33" s="174"/>
      <c r="N33" s="174"/>
      <c r="O33" s="174"/>
      <c r="P33" s="174"/>
      <c r="Q33" s="174"/>
      <c r="R33" s="174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</row>
    <row r="34" spans="1:62" ht="16.5" customHeight="1">
      <c r="A34" s="37"/>
      <c r="B34" s="244"/>
      <c r="C34" s="244"/>
      <c r="D34" s="244"/>
      <c r="E34" s="244"/>
      <c r="F34" s="245" t="str">
        <f>IF(C11&gt;0,B11,"")</f>
        <v>C-1</v>
      </c>
      <c r="G34" s="246" t="str">
        <f>IF(C11&gt;0,CONCATENATE(I11," X ",J11,"m"),"")</f>
        <v>16mm Ø X 6m</v>
      </c>
      <c r="H34" s="247">
        <f>Z11</f>
        <v>24</v>
      </c>
      <c r="I34" s="247" t="str">
        <f t="shared" ref="I34:I53" si="52">IF(H34="","","pcs")</f>
        <v>pcs</v>
      </c>
      <c r="J34" s="243">
        <f>IF(H34="","",VLOOKUP(G34,'Materials Price List'!$A$8:$B$100,2,FALSE))</f>
        <v>419.47183098591552</v>
      </c>
      <c r="K34" s="243">
        <f t="shared" si="51"/>
        <v>10067.323943661973</v>
      </c>
      <c r="L34" s="244"/>
      <c r="M34" s="244"/>
      <c r="N34" s="244"/>
      <c r="O34" s="244"/>
      <c r="P34" s="244"/>
      <c r="Q34" s="244"/>
      <c r="R34" s="244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</row>
    <row r="35" spans="1:62" ht="17.25" customHeight="1">
      <c r="A35" s="37"/>
      <c r="B35" s="244"/>
      <c r="C35" s="244"/>
      <c r="D35" s="244"/>
      <c r="E35" s="244"/>
      <c r="F35" s="249" t="str">
        <f>F34</f>
        <v>C-1</v>
      </c>
      <c r="G35" s="246" t="str">
        <f>IF(C11&gt;0,CONCATENATE(N11," X ",O11,"m"),"")</f>
        <v>10mm Ø X 12m</v>
      </c>
      <c r="H35" s="247">
        <f>AA11</f>
        <v>15</v>
      </c>
      <c r="I35" s="247" t="str">
        <f t="shared" si="52"/>
        <v>pcs</v>
      </c>
      <c r="J35" s="243">
        <f>IF(H35="","",VLOOKUP(G35,'Materials Price List'!$A$8:$B$100,2,FALSE))</f>
        <v>328.83802816901408</v>
      </c>
      <c r="K35" s="243">
        <f t="shared" si="51"/>
        <v>4932.570422535211</v>
      </c>
      <c r="L35" s="244"/>
      <c r="M35" s="244"/>
      <c r="N35" s="244"/>
      <c r="O35" s="244"/>
      <c r="P35" s="244"/>
      <c r="Q35" s="244"/>
      <c r="R35" s="244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</row>
    <row r="36" spans="1:62" ht="16.5" customHeight="1">
      <c r="A36" s="37"/>
      <c r="B36" s="244"/>
      <c r="C36" s="244"/>
      <c r="D36" s="244"/>
      <c r="E36" s="244"/>
      <c r="F36" s="245" t="str">
        <f>IF(C12&gt;0,B12,"")</f>
        <v/>
      </c>
      <c r="G36" s="246" t="str">
        <f>IF(C12&gt;0,CONCATENATE(I12," X ",J12,"m"),"")</f>
        <v/>
      </c>
      <c r="H36" s="247" t="str">
        <f>Z12</f>
        <v/>
      </c>
      <c r="I36" s="247" t="str">
        <f t="shared" si="52"/>
        <v/>
      </c>
      <c r="J36" s="248" t="str">
        <f>IF(H36="","",VLOOKUP(G36,'Materials Price List'!$A$12:$B$46,2))</f>
        <v/>
      </c>
      <c r="K36" s="248" t="str">
        <f t="shared" si="51"/>
        <v/>
      </c>
      <c r="L36" s="244"/>
      <c r="M36" s="244"/>
      <c r="N36" s="244"/>
      <c r="O36" s="244"/>
      <c r="P36" s="244"/>
      <c r="Q36" s="244"/>
      <c r="R36" s="244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</row>
    <row r="37" spans="1:62" ht="16.5" customHeight="1">
      <c r="A37" s="37"/>
      <c r="B37" s="244"/>
      <c r="C37" s="244"/>
      <c r="D37" s="244"/>
      <c r="E37" s="244"/>
      <c r="F37" s="249" t="str">
        <f>F36</f>
        <v/>
      </c>
      <c r="G37" s="246" t="str">
        <f>IF(C12&gt;0,CONCATENATE(N12," X ",O12,"m"),"")</f>
        <v/>
      </c>
      <c r="H37" s="247" t="str">
        <f>AA12</f>
        <v/>
      </c>
      <c r="I37" s="247" t="str">
        <f t="shared" si="52"/>
        <v/>
      </c>
      <c r="J37" s="248" t="str">
        <f>IF(H37="","",VLOOKUP(G37,'Materials Price List'!$A$12:$B$46,2))</f>
        <v/>
      </c>
      <c r="K37" s="248" t="str">
        <f t="shared" si="51"/>
        <v/>
      </c>
      <c r="L37" s="244"/>
      <c r="M37" s="244"/>
      <c r="N37" s="244"/>
      <c r="O37" s="244"/>
      <c r="P37" s="244"/>
      <c r="Q37" s="244"/>
      <c r="R37" s="244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</row>
    <row r="38" spans="1:62" ht="16.5" customHeight="1">
      <c r="A38" s="37"/>
      <c r="B38" s="244"/>
      <c r="C38" s="244"/>
      <c r="D38" s="244"/>
      <c r="E38" s="244"/>
      <c r="F38" s="245" t="str">
        <f>IF(C13&gt;0,B13,"")</f>
        <v/>
      </c>
      <c r="G38" s="246" t="str">
        <f>IF(C13&gt;0,CONCATENATE(I13," X ",J13,"m"),"")</f>
        <v/>
      </c>
      <c r="H38" s="247" t="str">
        <f>Z13</f>
        <v/>
      </c>
      <c r="I38" s="247" t="str">
        <f t="shared" si="52"/>
        <v/>
      </c>
      <c r="J38" s="248" t="str">
        <f>IF(H38="","",VLOOKUP(G38,'Materials Price List'!$A$12:$B$46,2))</f>
        <v/>
      </c>
      <c r="K38" s="248" t="str">
        <f t="shared" si="51"/>
        <v/>
      </c>
      <c r="L38" s="244"/>
      <c r="M38" s="244"/>
      <c r="N38" s="244"/>
      <c r="O38" s="244"/>
      <c r="P38" s="244"/>
      <c r="Q38" s="244"/>
      <c r="R38" s="244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</row>
    <row r="39" spans="1:62" ht="16.5" customHeight="1">
      <c r="A39" s="37"/>
      <c r="B39" s="244"/>
      <c r="C39" s="244"/>
      <c r="D39" s="244"/>
      <c r="E39" s="244"/>
      <c r="F39" s="249" t="str">
        <f>F38</f>
        <v/>
      </c>
      <c r="G39" s="246" t="str">
        <f>IF(C13&gt;0,CONCATENATE(N13," X ",O13,"m"),"")</f>
        <v/>
      </c>
      <c r="H39" s="247" t="str">
        <f>AA13</f>
        <v/>
      </c>
      <c r="I39" s="247" t="str">
        <f t="shared" si="52"/>
        <v/>
      </c>
      <c r="J39" s="248" t="str">
        <f>IF(H39="","",VLOOKUP(G39,'Materials Price List'!$A$12:$B$46,2))</f>
        <v/>
      </c>
      <c r="K39" s="248" t="str">
        <f t="shared" si="51"/>
        <v/>
      </c>
      <c r="L39" s="244"/>
      <c r="M39" s="244"/>
      <c r="N39" s="244"/>
      <c r="O39" s="244"/>
      <c r="P39" s="244"/>
      <c r="Q39" s="244"/>
      <c r="R39" s="244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</row>
    <row r="40" spans="1:62" ht="16.5" customHeight="1">
      <c r="A40" s="37"/>
      <c r="B40" s="244"/>
      <c r="C40" s="244"/>
      <c r="D40" s="244"/>
      <c r="E40" s="244"/>
      <c r="F40" s="245" t="str">
        <f>IF(C14&gt;0,B14,"")</f>
        <v/>
      </c>
      <c r="G40" s="246" t="str">
        <f>IF(C14&gt;0,CONCATENATE(I14," X ",J14,"m"),"")</f>
        <v/>
      </c>
      <c r="H40" s="247" t="str">
        <f>Z14</f>
        <v/>
      </c>
      <c r="I40" s="247" t="str">
        <f t="shared" si="52"/>
        <v/>
      </c>
      <c r="J40" s="248" t="str">
        <f>IF(H40="","",VLOOKUP(G40,'Materials Price List'!$A$12:$B$46,2))</f>
        <v/>
      </c>
      <c r="K40" s="248" t="str">
        <f t="shared" si="51"/>
        <v/>
      </c>
      <c r="L40" s="244"/>
      <c r="M40" s="244"/>
      <c r="N40" s="244"/>
      <c r="O40" s="244"/>
      <c r="P40" s="244"/>
      <c r="Q40" s="244"/>
      <c r="R40" s="244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</row>
    <row r="41" spans="1:62" ht="16.5" customHeight="1">
      <c r="A41" s="37"/>
      <c r="B41" s="244"/>
      <c r="C41" s="244"/>
      <c r="D41" s="244"/>
      <c r="E41" s="244"/>
      <c r="F41" s="249" t="str">
        <f>F40</f>
        <v/>
      </c>
      <c r="G41" s="246" t="str">
        <f>IF(C14&gt;0,CONCATENATE(N14," X ",O14,"m"),"")</f>
        <v/>
      </c>
      <c r="H41" s="247" t="str">
        <f>AA14</f>
        <v/>
      </c>
      <c r="I41" s="247" t="str">
        <f t="shared" si="52"/>
        <v/>
      </c>
      <c r="J41" s="248" t="str">
        <f>IF(H41="","",VLOOKUP(G41,'Materials Price List'!$A$12:$B$46,2))</f>
        <v/>
      </c>
      <c r="K41" s="248" t="str">
        <f t="shared" si="51"/>
        <v/>
      </c>
      <c r="L41" s="244"/>
      <c r="M41" s="244"/>
      <c r="N41" s="244"/>
      <c r="O41" s="244"/>
      <c r="P41" s="244"/>
      <c r="Q41" s="244"/>
      <c r="R41" s="244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</row>
    <row r="42" spans="1:62" ht="16.5" customHeight="1">
      <c r="A42" s="37"/>
      <c r="B42" s="244"/>
      <c r="C42" s="244"/>
      <c r="D42" s="244"/>
      <c r="E42" s="244"/>
      <c r="F42" s="245" t="str">
        <f>IF(C15&gt;0,B15,"")</f>
        <v/>
      </c>
      <c r="G42" s="246" t="str">
        <f>IF(C15&gt;0,CONCATENATE(I15," X ",J15,"m"),"")</f>
        <v/>
      </c>
      <c r="H42" s="247" t="str">
        <f>Z15</f>
        <v/>
      </c>
      <c r="I42" s="247" t="str">
        <f t="shared" si="52"/>
        <v/>
      </c>
      <c r="J42" s="248" t="str">
        <f>IF(H42="","",VLOOKUP(G42,'Materials Price List'!$A$12:$B$46,2))</f>
        <v/>
      </c>
      <c r="K42" s="248" t="str">
        <f t="shared" si="51"/>
        <v/>
      </c>
      <c r="L42" s="244"/>
      <c r="M42" s="244"/>
      <c r="N42" s="244"/>
      <c r="O42" s="244"/>
      <c r="P42" s="244"/>
      <c r="Q42" s="244"/>
      <c r="R42" s="244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</row>
    <row r="43" spans="1:62" ht="16.5" customHeight="1">
      <c r="A43" s="37"/>
      <c r="B43" s="244"/>
      <c r="C43" s="244"/>
      <c r="D43" s="244"/>
      <c r="E43" s="244"/>
      <c r="F43" s="249" t="str">
        <f>F42</f>
        <v/>
      </c>
      <c r="G43" s="246" t="str">
        <f>IF(C15&gt;0,CONCATENATE(N15," X ",O15,"m"),"")</f>
        <v/>
      </c>
      <c r="H43" s="247" t="str">
        <f>AA15</f>
        <v/>
      </c>
      <c r="I43" s="247" t="str">
        <f t="shared" si="52"/>
        <v/>
      </c>
      <c r="J43" s="248" t="str">
        <f>IF(H43="","",VLOOKUP(G43,'Materials Price List'!$A$12:$B$46,2))</f>
        <v/>
      </c>
      <c r="K43" s="248" t="str">
        <f t="shared" si="51"/>
        <v/>
      </c>
      <c r="L43" s="244"/>
      <c r="M43" s="244"/>
      <c r="N43" s="244"/>
      <c r="O43" s="244"/>
      <c r="P43" s="244"/>
      <c r="Q43" s="244"/>
      <c r="R43" s="244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</row>
    <row r="44" spans="1:62" ht="16.5" customHeight="1">
      <c r="A44" s="37"/>
      <c r="B44" s="244"/>
      <c r="C44" s="244"/>
      <c r="D44" s="244"/>
      <c r="E44" s="244"/>
      <c r="F44" s="245" t="str">
        <f>IF(C16&gt;0,B16,"")</f>
        <v/>
      </c>
      <c r="G44" s="246" t="str">
        <f>IF(C16&gt;0,CONCATENATE(I16," X ",J16,"m"),"")</f>
        <v/>
      </c>
      <c r="H44" s="247" t="str">
        <f>Z16</f>
        <v/>
      </c>
      <c r="I44" s="247" t="str">
        <f t="shared" si="52"/>
        <v/>
      </c>
      <c r="J44" s="248" t="str">
        <f>IF(H44="","",VLOOKUP(G44,'Materials Price List'!$A$12:$B$46,2))</f>
        <v/>
      </c>
      <c r="K44" s="248" t="str">
        <f t="shared" si="51"/>
        <v/>
      </c>
      <c r="L44" s="244"/>
      <c r="M44" s="244"/>
      <c r="N44" s="244"/>
      <c r="O44" s="244"/>
      <c r="P44" s="244"/>
      <c r="Q44" s="244"/>
      <c r="R44" s="244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</row>
    <row r="45" spans="1:62" ht="16.5" customHeight="1">
      <c r="A45" s="37"/>
      <c r="B45" s="244"/>
      <c r="C45" s="244"/>
      <c r="D45" s="244"/>
      <c r="E45" s="244"/>
      <c r="F45" s="249" t="str">
        <f>F44</f>
        <v/>
      </c>
      <c r="G45" s="246" t="str">
        <f>IF(C16&gt;0,CONCATENATE(N16," X ",O16,"m"),"")</f>
        <v/>
      </c>
      <c r="H45" s="247" t="str">
        <f>AA16</f>
        <v/>
      </c>
      <c r="I45" s="247" t="str">
        <f t="shared" si="52"/>
        <v/>
      </c>
      <c r="J45" s="248" t="str">
        <f>IF(H45="","",VLOOKUP(G45,'Materials Price List'!$A$12:$B$46,2))</f>
        <v/>
      </c>
      <c r="K45" s="248" t="str">
        <f t="shared" si="51"/>
        <v/>
      </c>
      <c r="L45" s="244"/>
      <c r="M45" s="244"/>
      <c r="N45" s="244"/>
      <c r="O45" s="244"/>
      <c r="P45" s="244"/>
      <c r="Q45" s="244"/>
      <c r="R45" s="244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</row>
    <row r="46" spans="1:62" ht="16.5" customHeight="1">
      <c r="A46" s="37"/>
      <c r="B46" s="244"/>
      <c r="C46" s="244"/>
      <c r="D46" s="244"/>
      <c r="E46" s="244"/>
      <c r="F46" s="245" t="str">
        <f>IF(C17&gt;0,B17,"")</f>
        <v/>
      </c>
      <c r="G46" s="246" t="str">
        <f>IF(C17&gt;0,CONCATENATE(I17," X ",J17,"m"),"")</f>
        <v/>
      </c>
      <c r="H46" s="247" t="str">
        <f>Z17</f>
        <v/>
      </c>
      <c r="I46" s="247" t="str">
        <f t="shared" si="52"/>
        <v/>
      </c>
      <c r="J46" s="248" t="str">
        <f>IF(H46="","",VLOOKUP(G46,'Materials Price List'!$A$12:$B$46,2))</f>
        <v/>
      </c>
      <c r="K46" s="248" t="str">
        <f t="shared" si="51"/>
        <v/>
      </c>
      <c r="L46" s="244"/>
      <c r="M46" s="244"/>
      <c r="N46" s="244"/>
      <c r="O46" s="244"/>
      <c r="P46" s="244"/>
      <c r="Q46" s="244"/>
      <c r="R46" s="244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</row>
    <row r="47" spans="1:62" ht="16.5" customHeight="1">
      <c r="A47" s="37"/>
      <c r="B47" s="244"/>
      <c r="C47" s="244"/>
      <c r="D47" s="244"/>
      <c r="E47" s="244"/>
      <c r="F47" s="249" t="str">
        <f>F46</f>
        <v/>
      </c>
      <c r="G47" s="246" t="str">
        <f>IF(C17&gt;0,CONCATENATE(N17," X ",O17,"m"),"")</f>
        <v/>
      </c>
      <c r="H47" s="247" t="str">
        <f>AA17</f>
        <v/>
      </c>
      <c r="I47" s="247" t="str">
        <f t="shared" si="52"/>
        <v/>
      </c>
      <c r="J47" s="248" t="str">
        <f>IF(H47="","",VLOOKUP(G47,'Materials Price List'!$A$12:$B$46,2))</f>
        <v/>
      </c>
      <c r="K47" s="248" t="str">
        <f t="shared" si="51"/>
        <v/>
      </c>
      <c r="L47" s="244"/>
      <c r="M47" s="244"/>
      <c r="N47" s="244"/>
      <c r="O47" s="244"/>
      <c r="P47" s="244"/>
      <c r="Q47" s="244"/>
      <c r="R47" s="244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</row>
    <row r="48" spans="1:62" ht="16.5" customHeight="1">
      <c r="A48" s="37"/>
      <c r="B48" s="244"/>
      <c r="C48" s="244"/>
      <c r="D48" s="244"/>
      <c r="E48" s="244"/>
      <c r="F48" s="245" t="str">
        <f>IF(C18&gt;0,B18,"")</f>
        <v/>
      </c>
      <c r="G48" s="246" t="str">
        <f>IF(C18&gt;0,CONCATENATE(I18," X ",J18,"m"),"")</f>
        <v/>
      </c>
      <c r="H48" s="247" t="str">
        <f>Z18</f>
        <v/>
      </c>
      <c r="I48" s="247" t="str">
        <f t="shared" si="52"/>
        <v/>
      </c>
      <c r="J48" s="248" t="str">
        <f>IF(H48="","",VLOOKUP(G48,'Materials Price List'!$A$12:$B$46,2))</f>
        <v/>
      </c>
      <c r="K48" s="248" t="str">
        <f t="shared" si="51"/>
        <v/>
      </c>
      <c r="L48" s="244"/>
      <c r="M48" s="244"/>
      <c r="N48" s="244"/>
      <c r="O48" s="244"/>
      <c r="P48" s="244"/>
      <c r="Q48" s="244"/>
      <c r="R48" s="244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</row>
    <row r="49" spans="1:62" ht="16.5" customHeight="1">
      <c r="A49" s="37"/>
      <c r="B49" s="244"/>
      <c r="C49" s="244"/>
      <c r="D49" s="244"/>
      <c r="E49" s="244"/>
      <c r="F49" s="249" t="str">
        <f>F48</f>
        <v/>
      </c>
      <c r="G49" s="246" t="str">
        <f>IF(C18&gt;0,CONCATENATE(N18," X ",O18,"m"),"")</f>
        <v/>
      </c>
      <c r="H49" s="247" t="str">
        <f>AA18</f>
        <v/>
      </c>
      <c r="I49" s="247" t="str">
        <f t="shared" si="52"/>
        <v/>
      </c>
      <c r="J49" s="248" t="str">
        <f>IF(H49="","",VLOOKUP(G49,'Materials Price List'!$A$12:$B$46,2))</f>
        <v/>
      </c>
      <c r="K49" s="248" t="str">
        <f t="shared" si="51"/>
        <v/>
      </c>
      <c r="L49" s="244"/>
      <c r="M49" s="244"/>
      <c r="N49" s="244"/>
      <c r="O49" s="244"/>
      <c r="P49" s="244"/>
      <c r="Q49" s="244"/>
      <c r="R49" s="244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</row>
    <row r="50" spans="1:62" ht="16.5" customHeight="1">
      <c r="A50" s="37"/>
      <c r="B50" s="244"/>
      <c r="C50" s="244"/>
      <c r="D50" s="244"/>
      <c r="E50" s="244"/>
      <c r="F50" s="245" t="str">
        <f>IF(C19&gt;0,B19,"")</f>
        <v/>
      </c>
      <c r="G50" s="246" t="str">
        <f>IF(C19&gt;0,CONCATENATE(I19," X ",J19,"m"),"")</f>
        <v/>
      </c>
      <c r="H50" s="247" t="str">
        <f>Z19</f>
        <v/>
      </c>
      <c r="I50" s="247" t="str">
        <f t="shared" si="52"/>
        <v/>
      </c>
      <c r="J50" s="248" t="str">
        <f>IF(H50="","",VLOOKUP(G50,'Materials Price List'!$A$12:$B$46,2))</f>
        <v/>
      </c>
      <c r="K50" s="248" t="str">
        <f t="shared" si="51"/>
        <v/>
      </c>
      <c r="L50" s="244"/>
      <c r="M50" s="244"/>
      <c r="N50" s="244"/>
      <c r="O50" s="244"/>
      <c r="P50" s="244"/>
      <c r="Q50" s="244"/>
      <c r="R50" s="244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</row>
    <row r="51" spans="1:62" ht="16.5" customHeight="1">
      <c r="A51" s="37"/>
      <c r="B51" s="244"/>
      <c r="C51" s="244"/>
      <c r="D51" s="244"/>
      <c r="E51" s="244"/>
      <c r="F51" s="249" t="str">
        <f>F50</f>
        <v/>
      </c>
      <c r="G51" s="246" t="str">
        <f>IF(C19&gt;0,CONCATENATE(N19," X ",O19,"m"),"")</f>
        <v/>
      </c>
      <c r="H51" s="247" t="str">
        <f>AA19</f>
        <v/>
      </c>
      <c r="I51" s="247" t="str">
        <f t="shared" si="52"/>
        <v/>
      </c>
      <c r="J51" s="248" t="str">
        <f>IF(H51="","",VLOOKUP(G51,'Materials Price List'!$A$12:$B$46,2))</f>
        <v/>
      </c>
      <c r="K51" s="248" t="str">
        <f t="shared" si="51"/>
        <v/>
      </c>
      <c r="L51" s="244"/>
      <c r="M51" s="244"/>
      <c r="N51" s="244"/>
      <c r="O51" s="244"/>
      <c r="P51" s="244"/>
      <c r="Q51" s="244"/>
      <c r="R51" s="244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</row>
    <row r="52" spans="1:62" ht="16.5" customHeight="1">
      <c r="A52" s="37"/>
      <c r="B52" s="244"/>
      <c r="C52" s="244"/>
      <c r="D52" s="244"/>
      <c r="E52" s="244"/>
      <c r="F52" s="245" t="str">
        <f>IF(C20&gt;0,B20,"")</f>
        <v/>
      </c>
      <c r="G52" s="246" t="str">
        <f>IF(C20&gt;0,CONCATENATE(I20," X ",J20,"m"),"")</f>
        <v/>
      </c>
      <c r="H52" s="247" t="str">
        <f>Z20</f>
        <v/>
      </c>
      <c r="I52" s="247" t="str">
        <f t="shared" si="52"/>
        <v/>
      </c>
      <c r="J52" s="248" t="str">
        <f>IF(H52="","",VLOOKUP(G52,'Materials Price List'!$A$12:$B$46,2))</f>
        <v/>
      </c>
      <c r="K52" s="248" t="str">
        <f t="shared" si="51"/>
        <v/>
      </c>
      <c r="L52" s="244"/>
      <c r="M52" s="244"/>
      <c r="N52" s="244"/>
      <c r="O52" s="244"/>
      <c r="P52" s="244"/>
      <c r="Q52" s="244"/>
      <c r="R52" s="244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62" ht="16.5" customHeight="1">
      <c r="A53" s="37"/>
      <c r="B53" s="244"/>
      <c r="C53" s="244"/>
      <c r="D53" s="244"/>
      <c r="E53" s="244"/>
      <c r="F53" s="249" t="str">
        <f>F52</f>
        <v/>
      </c>
      <c r="G53" s="246" t="str">
        <f>IF(C20&gt;0,CONCATENATE(N20," X ",O20,"m"),"")</f>
        <v/>
      </c>
      <c r="H53" s="247" t="str">
        <f>AA20</f>
        <v/>
      </c>
      <c r="I53" s="247" t="str">
        <f t="shared" si="52"/>
        <v/>
      </c>
      <c r="J53" s="248" t="str">
        <f>IF(H53="","",VLOOKUP(G53,'Materials Price List'!$A$12:$B$46,2))</f>
        <v/>
      </c>
      <c r="K53" s="248" t="str">
        <f t="shared" si="51"/>
        <v/>
      </c>
      <c r="L53" s="244"/>
      <c r="M53" s="244"/>
      <c r="N53" s="244"/>
      <c r="O53" s="244"/>
      <c r="P53" s="244"/>
      <c r="Q53" s="244"/>
      <c r="R53" s="244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</row>
    <row r="54" spans="1:62" ht="16.5" customHeight="1">
      <c r="A54" s="3"/>
      <c r="B54" s="174"/>
      <c r="C54" s="174"/>
      <c r="D54" s="174"/>
      <c r="E54" s="174"/>
      <c r="F54" s="250" t="s">
        <v>65</v>
      </c>
      <c r="G54" s="251"/>
      <c r="H54" s="251"/>
      <c r="I54" s="251"/>
      <c r="J54" s="252"/>
      <c r="K54" s="253">
        <f>SUM(K25:K53)</f>
        <v>62594.894366197186</v>
      </c>
      <c r="L54" s="174"/>
      <c r="M54" s="174"/>
      <c r="N54" s="174"/>
      <c r="O54" s="174"/>
      <c r="P54" s="174"/>
      <c r="Q54" s="174"/>
      <c r="R54" s="17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</row>
    <row r="55" spans="1:62" ht="16.5" customHeight="1">
      <c r="A55" s="3"/>
      <c r="B55" s="174"/>
      <c r="C55" s="174"/>
      <c r="D55" s="174"/>
      <c r="E55" s="174"/>
      <c r="F55" s="254" t="s">
        <v>66</v>
      </c>
      <c r="G55" s="183"/>
      <c r="H55" s="183"/>
      <c r="I55" s="184"/>
      <c r="J55" s="255">
        <v>0.35</v>
      </c>
      <c r="K55" s="256">
        <f>J55*K54</f>
        <v>21908.213028169015</v>
      </c>
      <c r="L55" s="174"/>
      <c r="M55" s="174"/>
      <c r="N55" s="174"/>
      <c r="O55" s="174"/>
      <c r="P55" s="174"/>
      <c r="Q55" s="174"/>
      <c r="R55" s="17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</row>
    <row r="56" spans="1:62" ht="16.5" customHeight="1">
      <c r="A56" s="3"/>
      <c r="B56" s="174"/>
      <c r="C56" s="174"/>
      <c r="D56" s="174"/>
      <c r="E56" s="174"/>
      <c r="F56" s="257"/>
      <c r="G56" s="257"/>
      <c r="H56" s="257"/>
      <c r="I56" s="257"/>
      <c r="J56" s="258"/>
      <c r="K56" s="259"/>
      <c r="L56" s="174"/>
      <c r="M56" s="174"/>
      <c r="N56" s="174"/>
      <c r="O56" s="174"/>
      <c r="P56" s="174"/>
      <c r="Q56" s="174"/>
      <c r="R56" s="17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</row>
    <row r="57" spans="1:62" ht="16.5" customHeight="1">
      <c r="A57" s="3"/>
      <c r="B57" s="174"/>
      <c r="C57" s="174"/>
      <c r="D57" s="174"/>
      <c r="E57" s="174"/>
      <c r="F57" s="260" t="s">
        <v>72</v>
      </c>
      <c r="G57" s="176"/>
      <c r="H57" s="176"/>
      <c r="I57" s="176"/>
      <c r="J57" s="408">
        <v>8</v>
      </c>
      <c r="K57" s="269" t="s">
        <v>73</v>
      </c>
      <c r="L57" s="174"/>
      <c r="M57" s="174"/>
      <c r="N57" s="174"/>
      <c r="O57" s="174"/>
      <c r="P57" s="174"/>
      <c r="Q57" s="174"/>
      <c r="R57" s="17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</row>
    <row r="58" spans="1:62" ht="16.5" customHeight="1">
      <c r="A58" s="3"/>
      <c r="B58" s="174"/>
      <c r="C58" s="174"/>
      <c r="D58" s="174"/>
      <c r="E58" s="174"/>
      <c r="F58" s="260" t="s">
        <v>74</v>
      </c>
      <c r="G58" s="176"/>
      <c r="H58" s="176"/>
      <c r="I58" s="176"/>
      <c r="J58" s="409">
        <f>CEILING(SUM(AL11:AL20)/J57,1)</f>
        <v>1</v>
      </c>
      <c r="K58" s="269" t="s">
        <v>75</v>
      </c>
      <c r="L58" s="174"/>
      <c r="M58" s="174"/>
      <c r="N58" s="174"/>
      <c r="O58" s="174"/>
      <c r="P58" s="174"/>
      <c r="Q58" s="174"/>
      <c r="R58" s="17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</row>
    <row r="59" spans="1:62" ht="16.5" customHeight="1">
      <c r="A59" s="3"/>
      <c r="B59" s="174"/>
      <c r="C59" s="174"/>
      <c r="D59" s="174"/>
      <c r="E59" s="174"/>
      <c r="F59" s="260" t="s">
        <v>76</v>
      </c>
      <c r="G59" s="176"/>
      <c r="H59" s="176"/>
      <c r="I59" s="176"/>
      <c r="J59" s="271">
        <f>'Materials Price List'!B47</f>
        <v>1200</v>
      </c>
      <c r="K59" s="272" t="s">
        <v>77</v>
      </c>
      <c r="L59" s="174"/>
      <c r="M59" s="174"/>
      <c r="N59" s="174"/>
      <c r="O59" s="174"/>
      <c r="P59" s="174"/>
      <c r="Q59" s="174"/>
      <c r="R59" s="17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</row>
    <row r="60" spans="1:62" ht="16.5" customHeight="1">
      <c r="A60" s="3"/>
      <c r="B60" s="174"/>
      <c r="C60" s="174"/>
      <c r="D60" s="174"/>
      <c r="E60" s="174"/>
      <c r="F60" s="273" t="s">
        <v>78</v>
      </c>
      <c r="G60" s="183"/>
      <c r="H60" s="183"/>
      <c r="I60" s="183"/>
      <c r="J60" s="184"/>
      <c r="K60" s="274">
        <f>J59*J58</f>
        <v>1200</v>
      </c>
      <c r="L60" s="174"/>
      <c r="M60" s="174"/>
      <c r="N60" s="174"/>
      <c r="O60" s="174"/>
      <c r="P60" s="174"/>
      <c r="Q60" s="174"/>
      <c r="R60" s="17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</row>
    <row r="61" spans="1:62" ht="16.5" customHeight="1">
      <c r="A61" s="3"/>
      <c r="B61" s="174"/>
      <c r="C61" s="174"/>
      <c r="D61" s="174"/>
      <c r="E61" s="174"/>
      <c r="F61" s="174"/>
      <c r="G61" s="174"/>
      <c r="H61" s="174"/>
      <c r="I61" s="174"/>
      <c r="J61" s="174"/>
      <c r="K61" s="275"/>
      <c r="L61" s="174"/>
      <c r="M61" s="174"/>
      <c r="N61" s="174"/>
      <c r="O61" s="174"/>
      <c r="P61" s="174"/>
      <c r="Q61" s="174"/>
      <c r="R61" s="17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</row>
    <row r="62" spans="1:62" ht="16.5" customHeight="1">
      <c r="A62" s="3"/>
      <c r="B62" s="174"/>
      <c r="C62" s="174"/>
      <c r="D62" s="174"/>
      <c r="E62" s="174"/>
      <c r="F62" s="174"/>
      <c r="G62" s="174"/>
      <c r="H62" s="260" t="s">
        <v>79</v>
      </c>
      <c r="I62" s="176"/>
      <c r="J62" s="176"/>
      <c r="K62" s="276">
        <f>K54+K55+K60</f>
        <v>85703.107394366205</v>
      </c>
      <c r="L62" s="174"/>
      <c r="M62" s="174"/>
      <c r="N62" s="174"/>
      <c r="O62" s="174"/>
      <c r="P62" s="174"/>
      <c r="Q62" s="174"/>
      <c r="R62" s="17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</row>
    <row r="63" spans="1:62" ht="16.5" customHeight="1">
      <c r="A63" s="3"/>
      <c r="B63" s="174"/>
      <c r="C63" s="174"/>
      <c r="D63" s="174"/>
      <c r="E63" s="174"/>
      <c r="F63" s="174"/>
      <c r="G63" s="275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</row>
    <row r="64" spans="1:62" ht="16.5" hidden="1" customHeight="1">
      <c r="A64" s="3"/>
      <c r="B64" s="3"/>
      <c r="C64" s="3"/>
      <c r="D64" s="3"/>
      <c r="E64" s="3"/>
      <c r="F64" s="3"/>
      <c r="G64" s="52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</row>
    <row r="65" spans="1:62" ht="16.5" hidden="1" customHeight="1">
      <c r="A65" s="3"/>
      <c r="B65" s="3"/>
      <c r="C65" s="3"/>
      <c r="D65" s="3"/>
      <c r="E65" s="3"/>
      <c r="F65" s="3"/>
      <c r="G65" s="52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</row>
    <row r="66" spans="1:62" ht="16.5" hidden="1" customHeight="1">
      <c r="A66" s="3"/>
      <c r="B66" s="3"/>
      <c r="C66" s="3"/>
      <c r="D66" s="3"/>
      <c r="E66" s="3"/>
      <c r="F66" s="3"/>
      <c r="G66" s="52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</row>
    <row r="67" spans="1:62" ht="16.5" hidden="1" customHeight="1">
      <c r="A67" s="3"/>
      <c r="B67" s="3"/>
      <c r="C67" s="3"/>
      <c r="D67" s="3"/>
      <c r="E67" s="3"/>
      <c r="F67" s="3"/>
      <c r="G67" s="52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</row>
    <row r="68" spans="1:62" ht="16.5" hidden="1" customHeight="1">
      <c r="A68" s="3"/>
      <c r="B68" s="3"/>
      <c r="C68" s="3"/>
      <c r="D68" s="3"/>
      <c r="E68" s="3"/>
      <c r="F68" s="3"/>
      <c r="G68" s="52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</row>
    <row r="69" spans="1:62" ht="16.5" hidden="1" customHeight="1">
      <c r="A69" s="3"/>
      <c r="B69" s="3"/>
      <c r="C69" s="3"/>
      <c r="D69" s="3"/>
      <c r="E69" s="3"/>
      <c r="F69" s="3"/>
      <c r="G69" s="52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</row>
    <row r="70" spans="1:62" ht="16.5" hidden="1" customHeight="1">
      <c r="A70" s="3"/>
      <c r="B70" s="3"/>
      <c r="C70" s="3"/>
      <c r="D70" s="3"/>
      <c r="E70" s="3"/>
      <c r="F70" s="3"/>
      <c r="G70" s="52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</row>
    <row r="71" spans="1:62" ht="16.5" hidden="1" customHeight="1">
      <c r="A71" s="3"/>
      <c r="B71" s="3"/>
      <c r="C71" s="3"/>
      <c r="D71" s="3"/>
      <c r="E71" s="3"/>
      <c r="F71" s="3"/>
      <c r="G71" s="52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</row>
    <row r="72" spans="1:62" ht="16.5" hidden="1" customHeight="1">
      <c r="A72" s="3"/>
      <c r="B72" s="3"/>
      <c r="C72" s="3"/>
      <c r="D72" s="3"/>
      <c r="E72" s="3"/>
      <c r="F72" s="3"/>
      <c r="G72" s="5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</row>
    <row r="73" spans="1:62" ht="16.5" hidden="1" customHeight="1">
      <c r="A73" s="3"/>
      <c r="B73" s="3"/>
      <c r="C73" s="3"/>
      <c r="D73" s="3"/>
      <c r="E73" s="3"/>
      <c r="F73" s="3"/>
      <c r="G73" s="5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</row>
    <row r="74" spans="1:62" ht="16.5" hidden="1" customHeight="1">
      <c r="A74" s="3"/>
      <c r="B74" s="3"/>
      <c r="C74" s="3"/>
      <c r="D74" s="3"/>
      <c r="E74" s="3"/>
      <c r="F74" s="3"/>
      <c r="G74" s="5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</row>
    <row r="75" spans="1:62" ht="16.5" hidden="1" customHeight="1">
      <c r="A75" s="3"/>
      <c r="B75" s="3"/>
      <c r="C75" s="3"/>
      <c r="D75" s="3"/>
      <c r="E75" s="3"/>
      <c r="F75" s="3"/>
      <c r="G75" s="5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</row>
    <row r="76" spans="1:62" ht="16.5" hidden="1" customHeight="1">
      <c r="A76" s="3"/>
      <c r="B76" s="3"/>
      <c r="C76" s="3"/>
      <c r="D76" s="3"/>
      <c r="E76" s="3"/>
      <c r="F76" s="3"/>
      <c r="G76" s="5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</row>
    <row r="77" spans="1:62" ht="16.5" hidden="1" customHeight="1">
      <c r="A77" s="3"/>
      <c r="B77" s="3"/>
      <c r="C77" s="3"/>
      <c r="D77" s="3"/>
      <c r="E77" s="3"/>
      <c r="F77" s="3"/>
      <c r="G77" s="5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</row>
    <row r="78" spans="1:62" ht="16.5" hidden="1" customHeight="1">
      <c r="A78" s="3"/>
      <c r="B78" s="3"/>
      <c r="C78" s="3"/>
      <c r="D78" s="3"/>
      <c r="E78" s="3"/>
      <c r="F78" s="3"/>
      <c r="G78" s="5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</row>
    <row r="79" spans="1:62" ht="16.5" hidden="1" customHeight="1">
      <c r="A79" s="3"/>
      <c r="B79" s="3"/>
      <c r="C79" s="3"/>
      <c r="D79" s="3"/>
      <c r="E79" s="3"/>
      <c r="F79" s="3"/>
      <c r="G79" s="5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</row>
    <row r="80" spans="1:62" ht="16.5" hidden="1" customHeight="1">
      <c r="A80" s="3"/>
      <c r="B80" s="3"/>
      <c r="C80" s="3"/>
      <c r="D80" s="3"/>
      <c r="E80" s="3"/>
      <c r="F80" s="3"/>
      <c r="G80" s="5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</row>
    <row r="81" spans="1:62" ht="16.5" hidden="1" customHeight="1">
      <c r="A81" s="3"/>
      <c r="B81" s="3"/>
      <c r="C81" s="3"/>
      <c r="D81" s="3"/>
      <c r="E81" s="3"/>
      <c r="F81" s="3"/>
      <c r="G81" s="5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</row>
    <row r="82" spans="1:62" ht="16.5" hidden="1" customHeight="1">
      <c r="A82" s="3"/>
      <c r="B82" s="3"/>
      <c r="C82" s="3"/>
      <c r="D82" s="3"/>
      <c r="E82" s="3"/>
      <c r="F82" s="3"/>
      <c r="G82" s="5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</row>
    <row r="83" spans="1:62" ht="16.5" hidden="1" customHeight="1">
      <c r="A83" s="3"/>
      <c r="B83" s="3"/>
      <c r="C83" s="3"/>
      <c r="D83" s="3"/>
      <c r="E83" s="3"/>
      <c r="F83" s="3"/>
      <c r="G83" s="5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</row>
    <row r="84" spans="1:62" ht="16.5" hidden="1" customHeight="1">
      <c r="A84" s="3"/>
      <c r="B84" s="3"/>
      <c r="C84" s="3"/>
      <c r="D84" s="3"/>
      <c r="E84" s="3"/>
      <c r="F84" s="3"/>
      <c r="G84" s="5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</row>
    <row r="85" spans="1:62" ht="16.5" hidden="1" customHeight="1">
      <c r="A85" s="3"/>
      <c r="B85" s="3"/>
      <c r="C85" s="3"/>
      <c r="D85" s="3"/>
      <c r="E85" s="3"/>
      <c r="F85" s="3"/>
      <c r="G85" s="5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</row>
    <row r="86" spans="1:62" ht="16.5" hidden="1" customHeight="1">
      <c r="A86" s="3"/>
      <c r="B86" s="3"/>
      <c r="C86" s="3"/>
      <c r="D86" s="3"/>
      <c r="E86" s="3"/>
      <c r="F86" s="3"/>
      <c r="G86" s="5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</row>
    <row r="87" spans="1:62" ht="16.5" hidden="1" customHeight="1">
      <c r="A87" s="3"/>
      <c r="B87" s="3"/>
      <c r="C87" s="3"/>
      <c r="D87" s="3"/>
      <c r="E87" s="3"/>
      <c r="F87" s="3"/>
      <c r="G87" s="5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</row>
    <row r="88" spans="1:62" ht="16.5" hidden="1" customHeight="1">
      <c r="A88" s="3"/>
      <c r="B88" s="3"/>
      <c r="C88" s="3"/>
      <c r="D88" s="3"/>
      <c r="E88" s="3"/>
      <c r="F88" s="3"/>
      <c r="G88" s="5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</row>
    <row r="89" spans="1:62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</row>
    <row r="90" spans="1:62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</row>
    <row r="91" spans="1:62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</row>
    <row r="92" spans="1:6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</row>
    <row r="93" spans="1:62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</row>
    <row r="94" spans="1:62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</row>
    <row r="95" spans="1:62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</row>
    <row r="96" spans="1:62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</row>
    <row r="97" spans="1:62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</row>
    <row r="98" spans="1:62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</row>
    <row r="99" spans="1:62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</row>
    <row r="100" spans="1:62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</row>
    <row r="101" spans="1:62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</row>
    <row r="102" spans="1:6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</row>
    <row r="103" spans="1:62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</row>
    <row r="104" spans="1:62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</row>
    <row r="105" spans="1:62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</row>
    <row r="106" spans="1:62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</row>
    <row r="107" spans="1:62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</row>
    <row r="108" spans="1:62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</row>
    <row r="109" spans="1:62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</row>
    <row r="110" spans="1:62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</row>
    <row r="111" spans="1:62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</row>
    <row r="112" spans="1:6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</row>
    <row r="113" spans="1:62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</row>
    <row r="114" spans="1:62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</row>
    <row r="115" spans="1:62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</row>
    <row r="116" spans="1:62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</row>
    <row r="117" spans="1:62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</row>
    <row r="118" spans="1:62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</row>
    <row r="119" spans="1:62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</row>
    <row r="120" spans="1:62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</row>
    <row r="121" spans="1:62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</row>
    <row r="122" spans="1:6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</row>
    <row r="123" spans="1:62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</row>
    <row r="124" spans="1:62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</row>
    <row r="125" spans="1:62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</row>
    <row r="126" spans="1:62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</row>
    <row r="127" spans="1:62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</row>
    <row r="128" spans="1:62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</row>
    <row r="129" spans="1:62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</row>
    <row r="130" spans="1:62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</row>
    <row r="131" spans="1:62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</row>
    <row r="132" spans="1:6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</row>
    <row r="133" spans="1:62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</row>
    <row r="134" spans="1:62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</row>
    <row r="135" spans="1:62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</row>
    <row r="136" spans="1:62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</row>
    <row r="137" spans="1:62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</row>
    <row r="138" spans="1:62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</row>
    <row r="139" spans="1:62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</row>
    <row r="140" spans="1:62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</row>
    <row r="141" spans="1:62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</row>
    <row r="142" spans="1:6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</row>
    <row r="143" spans="1:62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</row>
    <row r="144" spans="1:62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</row>
    <row r="145" spans="1:62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</row>
    <row r="146" spans="1:62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</row>
    <row r="147" spans="1:62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</row>
    <row r="148" spans="1:62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</row>
    <row r="149" spans="1:62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</row>
    <row r="150" spans="1:62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</row>
    <row r="151" spans="1:62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</row>
    <row r="152" spans="1:6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</row>
    <row r="153" spans="1:62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</row>
    <row r="154" spans="1:62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</row>
    <row r="155" spans="1:62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</row>
    <row r="156" spans="1:62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</row>
    <row r="157" spans="1:62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</row>
    <row r="158" spans="1:62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</row>
    <row r="159" spans="1:62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</row>
    <row r="160" spans="1:62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</row>
    <row r="161" spans="1:62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</row>
    <row r="162" spans="1: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</row>
    <row r="163" spans="1:62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</row>
    <row r="164" spans="1:62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</row>
    <row r="165" spans="1:62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</row>
    <row r="166" spans="1:62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</row>
    <row r="167" spans="1:62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</row>
    <row r="168" spans="1:62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</row>
    <row r="169" spans="1:62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</row>
    <row r="170" spans="1:62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</row>
    <row r="171" spans="1:62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</row>
    <row r="172" spans="1:6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</row>
    <row r="173" spans="1:62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</row>
    <row r="174" spans="1:62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</row>
    <row r="175" spans="1:62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</row>
    <row r="176" spans="1:62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</row>
    <row r="177" spans="1:62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</row>
    <row r="178" spans="1:62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</row>
    <row r="179" spans="1:62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</row>
    <row r="180" spans="1:62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</row>
    <row r="181" spans="1:62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</row>
    <row r="182" spans="1:6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</row>
    <row r="183" spans="1:62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</row>
    <row r="184" spans="1:62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</row>
    <row r="185" spans="1:62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</row>
    <row r="186" spans="1:62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</row>
    <row r="187" spans="1:62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</row>
    <row r="188" spans="1:62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</row>
    <row r="189" spans="1:62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</row>
    <row r="190" spans="1:62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</row>
    <row r="191" spans="1:62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</row>
    <row r="192" spans="1:6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</row>
    <row r="193" spans="1:62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</row>
    <row r="194" spans="1:62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</row>
    <row r="195" spans="1:62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</row>
    <row r="196" spans="1:62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</row>
    <row r="197" spans="1:62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</row>
    <row r="198" spans="1:62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</row>
    <row r="199" spans="1:62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</row>
    <row r="200" spans="1:62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</row>
    <row r="201" spans="1:62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</row>
    <row r="202" spans="1:6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</row>
    <row r="203" spans="1:62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</row>
    <row r="204" spans="1:62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</row>
    <row r="205" spans="1:62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</row>
    <row r="206" spans="1:62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</row>
    <row r="207" spans="1:62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</row>
    <row r="208" spans="1:62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</row>
    <row r="209" spans="1:62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</row>
    <row r="210" spans="1:62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</row>
    <row r="211" spans="1:62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</row>
    <row r="212" spans="1:6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</row>
    <row r="213" spans="1:62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</row>
    <row r="214" spans="1:62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</row>
    <row r="215" spans="1:62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</row>
    <row r="216" spans="1:62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</row>
    <row r="217" spans="1:62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</row>
    <row r="218" spans="1:62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</row>
    <row r="219" spans="1:62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</row>
    <row r="220" spans="1:62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</row>
    <row r="221" spans="1:62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</row>
    <row r="222" spans="1:6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</row>
    <row r="223" spans="1:62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</row>
    <row r="224" spans="1:62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</row>
    <row r="225" spans="1:62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</row>
    <row r="226" spans="1:62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</row>
    <row r="227" spans="1:62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</row>
    <row r="228" spans="1:62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</row>
    <row r="229" spans="1:62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</row>
    <row r="230" spans="1:62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</row>
    <row r="231" spans="1:62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</row>
    <row r="232" spans="1:6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</row>
    <row r="233" spans="1:62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</row>
    <row r="234" spans="1:62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</row>
    <row r="235" spans="1:62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</row>
    <row r="236" spans="1:62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</row>
    <row r="237" spans="1:62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</row>
    <row r="238" spans="1:62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</row>
    <row r="239" spans="1:62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</row>
    <row r="240" spans="1:62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</row>
    <row r="241" spans="1:62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</row>
    <row r="242" spans="1:6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</row>
    <row r="243" spans="1:62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</row>
    <row r="244" spans="1:62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</row>
    <row r="245" spans="1:62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</row>
    <row r="246" spans="1:62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</row>
    <row r="247" spans="1:62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</row>
    <row r="248" spans="1:62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</row>
    <row r="249" spans="1:62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</row>
    <row r="250" spans="1:62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</row>
    <row r="251" spans="1:62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</row>
    <row r="252" spans="1:6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</row>
    <row r="253" spans="1:62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</row>
    <row r="254" spans="1:62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</row>
    <row r="255" spans="1:62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</row>
    <row r="256" spans="1:62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</row>
    <row r="257" spans="1:62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</row>
    <row r="258" spans="1:62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</row>
    <row r="259" spans="1:62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</row>
    <row r="260" spans="1:62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</row>
    <row r="261" spans="1:62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</row>
    <row r="262" spans="1: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</row>
    <row r="263" spans="1:62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</row>
    <row r="264" spans="1:62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</row>
    <row r="265" spans="1:62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</row>
    <row r="266" spans="1:62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</row>
    <row r="267" spans="1:62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</row>
    <row r="268" spans="1:62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</row>
    <row r="269" spans="1:62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</row>
    <row r="270" spans="1:62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</row>
    <row r="271" spans="1:62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</row>
    <row r="272" spans="1:6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</row>
    <row r="273" spans="1:62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</row>
    <row r="274" spans="1:62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</row>
    <row r="275" spans="1:62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</row>
    <row r="276" spans="1:62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</row>
    <row r="277" spans="1:62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</row>
    <row r="278" spans="1:62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</row>
    <row r="279" spans="1:62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</row>
    <row r="280" spans="1:62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</row>
    <row r="281" spans="1:62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</row>
    <row r="282" spans="1:6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</row>
    <row r="283" spans="1:62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</row>
    <row r="284" spans="1:62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</row>
    <row r="285" spans="1:62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</row>
    <row r="286" spans="1:62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</row>
    <row r="287" spans="1:62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</row>
    <row r="288" spans="1:62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</row>
    <row r="289" spans="1:62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</row>
    <row r="290" spans="1:62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</row>
    <row r="291" spans="1:62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</row>
    <row r="292" spans="1:6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</row>
    <row r="293" spans="1:62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</row>
    <row r="294" spans="1:62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</row>
    <row r="295" spans="1:62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</row>
    <row r="296" spans="1:62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</row>
    <row r="297" spans="1:62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</row>
    <row r="298" spans="1:62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</row>
    <row r="299" spans="1:62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</row>
    <row r="300" spans="1:62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</row>
    <row r="301" spans="1:62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</row>
    <row r="302" spans="1:6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</row>
    <row r="303" spans="1:62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</row>
    <row r="304" spans="1:62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</row>
    <row r="305" spans="1:62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</row>
    <row r="306" spans="1:62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</row>
    <row r="307" spans="1:62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</row>
    <row r="308" spans="1:62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</row>
    <row r="309" spans="1:62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</row>
    <row r="310" spans="1:62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</row>
    <row r="311" spans="1:62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</row>
    <row r="312" spans="1:6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</row>
    <row r="313" spans="1:62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</row>
    <row r="314" spans="1:62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</row>
    <row r="315" spans="1:62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</row>
    <row r="316" spans="1:62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</row>
    <row r="317" spans="1:62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</row>
    <row r="318" spans="1:62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</row>
    <row r="319" spans="1:62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</row>
    <row r="320" spans="1:62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</row>
    <row r="321" spans="1:62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</row>
    <row r="322" spans="1:6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</row>
    <row r="323" spans="1:62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</row>
    <row r="324" spans="1:62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</row>
    <row r="325" spans="1:62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</row>
    <row r="326" spans="1:62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</row>
    <row r="327" spans="1:62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</row>
    <row r="328" spans="1:62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</row>
    <row r="329" spans="1:62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</row>
    <row r="330" spans="1:62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</row>
    <row r="331" spans="1:62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</row>
    <row r="332" spans="1:6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</row>
    <row r="333" spans="1:62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</row>
    <row r="334" spans="1:62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</row>
    <row r="335" spans="1:62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</row>
    <row r="336" spans="1:62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</row>
    <row r="337" spans="1:62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</row>
    <row r="338" spans="1:62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</row>
    <row r="339" spans="1:62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</row>
    <row r="340" spans="1:62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</row>
    <row r="341" spans="1:62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</row>
    <row r="342" spans="1:6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</row>
    <row r="343" spans="1:62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</row>
    <row r="344" spans="1:62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</row>
    <row r="345" spans="1:62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</row>
    <row r="346" spans="1:62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</row>
    <row r="347" spans="1:62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</row>
    <row r="348" spans="1:62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</row>
    <row r="349" spans="1:62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</row>
    <row r="350" spans="1:62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</row>
    <row r="351" spans="1:62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</row>
    <row r="352" spans="1:6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</row>
    <row r="353" spans="1:62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</row>
    <row r="354" spans="1:62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</row>
    <row r="355" spans="1:62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</row>
    <row r="356" spans="1:62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</row>
    <row r="357" spans="1:62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</row>
    <row r="358" spans="1:62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</row>
    <row r="359" spans="1:62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</row>
    <row r="360" spans="1:62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</row>
    <row r="361" spans="1:62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</row>
    <row r="362" spans="1: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</row>
    <row r="363" spans="1:62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</row>
    <row r="364" spans="1:62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</row>
    <row r="365" spans="1:62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</row>
    <row r="366" spans="1:62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</row>
    <row r="367" spans="1:62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</row>
    <row r="368" spans="1:62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</row>
    <row r="369" spans="1:62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</row>
    <row r="370" spans="1:62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</row>
    <row r="371" spans="1:62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</row>
    <row r="372" spans="1:6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</row>
    <row r="373" spans="1:62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</row>
    <row r="374" spans="1:62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</row>
    <row r="375" spans="1:62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</row>
    <row r="376" spans="1:62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</row>
    <row r="377" spans="1:62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</row>
    <row r="378" spans="1:62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</row>
    <row r="379" spans="1:62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</row>
    <row r="380" spans="1:62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</row>
    <row r="381" spans="1:62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</row>
    <row r="382" spans="1:6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</row>
    <row r="383" spans="1:62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</row>
    <row r="384" spans="1:62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</row>
    <row r="385" spans="1:62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</row>
    <row r="386" spans="1:62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</row>
    <row r="387" spans="1:62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</row>
    <row r="388" spans="1:62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</row>
    <row r="389" spans="1:62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</row>
    <row r="390" spans="1:62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</row>
    <row r="391" spans="1:62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</row>
    <row r="392" spans="1:6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</row>
    <row r="393" spans="1:62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</row>
    <row r="394" spans="1:62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</row>
    <row r="395" spans="1:62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</row>
    <row r="396" spans="1:62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</row>
    <row r="397" spans="1:62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</row>
    <row r="398" spans="1:62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</row>
    <row r="399" spans="1:62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</row>
    <row r="400" spans="1:62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</row>
    <row r="401" spans="1:62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</row>
    <row r="402" spans="1:6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</row>
    <row r="403" spans="1:62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</row>
    <row r="404" spans="1:62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</row>
    <row r="405" spans="1:62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</row>
    <row r="406" spans="1:62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</row>
    <row r="407" spans="1:62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</row>
    <row r="408" spans="1:62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</row>
    <row r="409" spans="1:62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</row>
    <row r="410" spans="1:62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</row>
    <row r="411" spans="1:62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</row>
    <row r="412" spans="1:6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</row>
    <row r="413" spans="1:62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</row>
    <row r="414" spans="1:62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</row>
    <row r="415" spans="1:62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</row>
    <row r="416" spans="1:62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</row>
    <row r="417" spans="1:62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</row>
    <row r="418" spans="1:62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</row>
    <row r="419" spans="1:62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</row>
    <row r="420" spans="1:62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</row>
    <row r="421" spans="1:62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</row>
    <row r="422" spans="1:6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</row>
    <row r="423" spans="1:62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</row>
    <row r="424" spans="1:62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</row>
    <row r="425" spans="1:62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</row>
    <row r="426" spans="1:62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</row>
    <row r="427" spans="1:62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</row>
    <row r="428" spans="1:62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</row>
    <row r="429" spans="1:62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</row>
    <row r="430" spans="1:62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</row>
    <row r="431" spans="1:62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</row>
    <row r="432" spans="1:6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</row>
    <row r="433" spans="1:62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</row>
    <row r="434" spans="1:62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</row>
    <row r="435" spans="1:62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</row>
    <row r="436" spans="1:62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</row>
    <row r="437" spans="1:62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</row>
    <row r="438" spans="1:62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</row>
    <row r="439" spans="1:62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</row>
    <row r="440" spans="1:62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</row>
    <row r="441" spans="1:62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</row>
    <row r="442" spans="1:6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</row>
    <row r="443" spans="1:62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</row>
    <row r="444" spans="1:62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</row>
    <row r="445" spans="1:62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</row>
    <row r="446" spans="1:62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</row>
    <row r="447" spans="1:62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</row>
    <row r="448" spans="1:62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</row>
    <row r="449" spans="1:62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</row>
    <row r="450" spans="1:62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</row>
    <row r="451" spans="1:62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</row>
    <row r="452" spans="1:6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</row>
    <row r="453" spans="1:62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</row>
    <row r="454" spans="1:62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</row>
    <row r="455" spans="1:62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</row>
    <row r="456" spans="1:62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</row>
    <row r="457" spans="1:62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</row>
    <row r="458" spans="1:62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</row>
    <row r="459" spans="1:62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</row>
    <row r="460" spans="1:62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</row>
    <row r="461" spans="1:62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</row>
    <row r="462" spans="1: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</row>
    <row r="463" spans="1:62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</row>
    <row r="464" spans="1:62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</row>
    <row r="465" spans="1:62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</row>
    <row r="466" spans="1:62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</row>
    <row r="467" spans="1:62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</row>
    <row r="468" spans="1:62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</row>
    <row r="469" spans="1:62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</row>
    <row r="470" spans="1:62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</row>
    <row r="471" spans="1:62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</row>
    <row r="472" spans="1:6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</row>
    <row r="473" spans="1:62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</row>
    <row r="474" spans="1:62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</row>
    <row r="475" spans="1:62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</row>
    <row r="476" spans="1:62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</row>
    <row r="477" spans="1:62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</row>
    <row r="478" spans="1:62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</row>
    <row r="479" spans="1:62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</row>
    <row r="480" spans="1:62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</row>
    <row r="481" spans="1:62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</row>
    <row r="482" spans="1:6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</row>
    <row r="483" spans="1:62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</row>
    <row r="484" spans="1:62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</row>
    <row r="485" spans="1:62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</row>
    <row r="486" spans="1:62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</row>
    <row r="487" spans="1:62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</row>
    <row r="488" spans="1:62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</row>
    <row r="489" spans="1:62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</row>
    <row r="490" spans="1:62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</row>
    <row r="491" spans="1:62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</row>
    <row r="492" spans="1:6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</row>
    <row r="493" spans="1:62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</row>
    <row r="494" spans="1:62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</row>
    <row r="495" spans="1:62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</row>
    <row r="496" spans="1:62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</row>
    <row r="497" spans="1:62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</row>
    <row r="498" spans="1:62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</row>
    <row r="499" spans="1:62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</row>
    <row r="500" spans="1:62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</row>
    <row r="501" spans="1:62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</row>
    <row r="502" spans="1:6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</row>
    <row r="503" spans="1:62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</row>
    <row r="504" spans="1:62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</row>
    <row r="505" spans="1:62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</row>
    <row r="506" spans="1:62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</row>
    <row r="507" spans="1:62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</row>
    <row r="508" spans="1:62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</row>
    <row r="509" spans="1:62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</row>
    <row r="510" spans="1:62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</row>
    <row r="511" spans="1:62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</row>
    <row r="512" spans="1:6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</row>
    <row r="513" spans="1:62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</row>
    <row r="514" spans="1:62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</row>
    <row r="515" spans="1:62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</row>
    <row r="516" spans="1:62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</row>
    <row r="517" spans="1:62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</row>
    <row r="518" spans="1:62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</row>
    <row r="519" spans="1:62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</row>
    <row r="520" spans="1:62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</row>
    <row r="521" spans="1:62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</row>
    <row r="522" spans="1:6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</row>
    <row r="523" spans="1:62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</row>
    <row r="524" spans="1:62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</row>
    <row r="525" spans="1:62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</row>
    <row r="526" spans="1:62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</row>
    <row r="527" spans="1:62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</row>
    <row r="528" spans="1:62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</row>
    <row r="529" spans="1:62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</row>
    <row r="530" spans="1:62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</row>
    <row r="531" spans="1:62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</row>
    <row r="532" spans="1:6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</row>
    <row r="533" spans="1:62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</row>
    <row r="534" spans="1:62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</row>
    <row r="535" spans="1:62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</row>
    <row r="536" spans="1:62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</row>
    <row r="537" spans="1:62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</row>
    <row r="538" spans="1:62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</row>
    <row r="539" spans="1:62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</row>
    <row r="540" spans="1:62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</row>
    <row r="541" spans="1:62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</row>
    <row r="542" spans="1:6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</row>
    <row r="543" spans="1:62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</row>
    <row r="544" spans="1:62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</row>
    <row r="545" spans="1:62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</row>
    <row r="546" spans="1:62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</row>
    <row r="547" spans="1:62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</row>
    <row r="548" spans="1:62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</row>
    <row r="549" spans="1:62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</row>
    <row r="550" spans="1:62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</row>
    <row r="551" spans="1:62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</row>
    <row r="552" spans="1:6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</row>
    <row r="553" spans="1:62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</row>
    <row r="554" spans="1:62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</row>
    <row r="555" spans="1:62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</row>
    <row r="556" spans="1:62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</row>
    <row r="557" spans="1:62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</row>
    <row r="558" spans="1:62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</row>
    <row r="559" spans="1:62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</row>
    <row r="560" spans="1:62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</row>
    <row r="561" spans="1:62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</row>
    <row r="562" spans="1: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</row>
    <row r="563" spans="1:62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</row>
    <row r="564" spans="1:62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</row>
    <row r="565" spans="1:62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</row>
    <row r="566" spans="1:62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</row>
    <row r="567" spans="1:62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</row>
    <row r="568" spans="1:62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</row>
    <row r="569" spans="1:62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</row>
    <row r="570" spans="1:62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</row>
    <row r="571" spans="1:62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</row>
    <row r="572" spans="1:6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</row>
    <row r="573" spans="1:62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</row>
    <row r="574" spans="1:62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</row>
    <row r="575" spans="1:62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</row>
    <row r="576" spans="1:62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</row>
    <row r="577" spans="1:62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</row>
    <row r="578" spans="1:62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</row>
    <row r="579" spans="1:62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</row>
    <row r="580" spans="1:62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</row>
    <row r="581" spans="1:62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</row>
    <row r="582" spans="1:6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</row>
    <row r="583" spans="1:62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</row>
    <row r="584" spans="1:62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</row>
    <row r="585" spans="1:62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</row>
    <row r="586" spans="1:62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</row>
    <row r="587" spans="1:62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</row>
    <row r="588" spans="1:62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</row>
    <row r="589" spans="1:62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</row>
    <row r="590" spans="1:62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</row>
    <row r="591" spans="1:62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</row>
    <row r="592" spans="1:6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</row>
    <row r="593" spans="1:62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</row>
    <row r="594" spans="1:62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</row>
    <row r="595" spans="1:62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</row>
    <row r="596" spans="1:62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</row>
    <row r="597" spans="1:62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</row>
    <row r="598" spans="1:62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</row>
    <row r="599" spans="1:62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</row>
    <row r="600" spans="1:62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</row>
    <row r="601" spans="1:62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</row>
    <row r="602" spans="1:6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</row>
    <row r="603" spans="1:62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</row>
    <row r="604" spans="1:62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</row>
    <row r="605" spans="1:62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</row>
    <row r="606" spans="1:62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</row>
    <row r="607" spans="1:62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</row>
    <row r="608" spans="1:62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</row>
    <row r="609" spans="1:62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</row>
    <row r="610" spans="1:62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</row>
    <row r="611" spans="1:62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</row>
    <row r="612" spans="1:6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</row>
    <row r="613" spans="1:62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</row>
    <row r="614" spans="1:62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</row>
    <row r="615" spans="1:62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</row>
    <row r="616" spans="1:62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</row>
    <row r="617" spans="1:62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</row>
    <row r="618" spans="1:62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</row>
    <row r="619" spans="1:62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</row>
    <row r="620" spans="1:62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</row>
    <row r="621" spans="1:62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</row>
    <row r="622" spans="1:6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</row>
    <row r="623" spans="1:62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</row>
    <row r="624" spans="1:62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</row>
    <row r="625" spans="1:62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</row>
    <row r="626" spans="1:62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</row>
    <row r="627" spans="1:62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</row>
    <row r="628" spans="1:62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</row>
    <row r="629" spans="1:62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</row>
    <row r="630" spans="1:62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</row>
    <row r="631" spans="1:62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</row>
    <row r="632" spans="1:6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</row>
    <row r="633" spans="1:62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</row>
    <row r="634" spans="1:62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</row>
    <row r="635" spans="1:62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</row>
    <row r="636" spans="1:62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</row>
    <row r="637" spans="1:62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</row>
    <row r="638" spans="1:62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</row>
    <row r="639" spans="1:62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</row>
    <row r="640" spans="1:62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</row>
    <row r="641" spans="1:62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</row>
    <row r="642" spans="1:6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</row>
    <row r="643" spans="1:62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</row>
    <row r="644" spans="1:62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</row>
    <row r="645" spans="1:62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</row>
    <row r="646" spans="1:62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</row>
    <row r="647" spans="1:62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</row>
    <row r="648" spans="1:62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</row>
    <row r="649" spans="1:62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</row>
    <row r="650" spans="1:62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</row>
    <row r="651" spans="1:62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</row>
    <row r="652" spans="1:6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</row>
    <row r="653" spans="1:62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</row>
    <row r="654" spans="1:62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</row>
    <row r="655" spans="1:62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</row>
    <row r="656" spans="1:62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</row>
    <row r="657" spans="1:62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</row>
    <row r="658" spans="1:62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</row>
    <row r="659" spans="1:62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</row>
    <row r="660" spans="1:62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</row>
    <row r="661" spans="1:62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</row>
    <row r="662" spans="1: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</row>
    <row r="663" spans="1:62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</row>
    <row r="664" spans="1:62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</row>
    <row r="665" spans="1:62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</row>
    <row r="666" spans="1:62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</row>
    <row r="667" spans="1:62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</row>
    <row r="668" spans="1:62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</row>
    <row r="669" spans="1:62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</row>
    <row r="670" spans="1:62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</row>
    <row r="671" spans="1:62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</row>
    <row r="672" spans="1:6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</row>
    <row r="673" spans="1:62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</row>
    <row r="674" spans="1:62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</row>
    <row r="675" spans="1:62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</row>
    <row r="676" spans="1:62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</row>
    <row r="677" spans="1:62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</row>
    <row r="678" spans="1:62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</row>
    <row r="679" spans="1:62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</row>
    <row r="680" spans="1:62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</row>
    <row r="681" spans="1:62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</row>
    <row r="682" spans="1:6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</row>
    <row r="683" spans="1:62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</row>
    <row r="684" spans="1:62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</row>
    <row r="685" spans="1:62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</row>
    <row r="686" spans="1:62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</row>
    <row r="687" spans="1:62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</row>
    <row r="688" spans="1:62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</row>
    <row r="689" spans="1:62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</row>
    <row r="690" spans="1:62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</row>
    <row r="691" spans="1:62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</row>
    <row r="692" spans="1:6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</row>
    <row r="693" spans="1:62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</row>
    <row r="694" spans="1:62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</row>
    <row r="695" spans="1:62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</row>
    <row r="696" spans="1:62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</row>
    <row r="697" spans="1:62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</row>
    <row r="698" spans="1:62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</row>
    <row r="699" spans="1:62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</row>
    <row r="700" spans="1:62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</row>
    <row r="701" spans="1:62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</row>
    <row r="702" spans="1:6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</row>
    <row r="703" spans="1:62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</row>
    <row r="704" spans="1:62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</row>
    <row r="705" spans="1:62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</row>
    <row r="706" spans="1:62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</row>
    <row r="707" spans="1:62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</row>
    <row r="708" spans="1:62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</row>
    <row r="709" spans="1:62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</row>
    <row r="710" spans="1:62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</row>
    <row r="711" spans="1:62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</row>
    <row r="712" spans="1:6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</row>
    <row r="713" spans="1:62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</row>
    <row r="714" spans="1:62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</row>
    <row r="715" spans="1:62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</row>
    <row r="716" spans="1:62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</row>
    <row r="717" spans="1:62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</row>
    <row r="718" spans="1:62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</row>
    <row r="719" spans="1:62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</row>
    <row r="720" spans="1:62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</row>
    <row r="721" spans="1:62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</row>
    <row r="722" spans="1:6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</row>
    <row r="723" spans="1:62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</row>
    <row r="724" spans="1:62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</row>
    <row r="725" spans="1:62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</row>
    <row r="726" spans="1:62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</row>
    <row r="727" spans="1:62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</row>
    <row r="728" spans="1:62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</row>
    <row r="729" spans="1:62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</row>
    <row r="730" spans="1:62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</row>
    <row r="731" spans="1:62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</row>
    <row r="732" spans="1:6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</row>
    <row r="733" spans="1:62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</row>
    <row r="734" spans="1:62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</row>
    <row r="735" spans="1:62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</row>
    <row r="736" spans="1:62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</row>
    <row r="737" spans="1:62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</row>
    <row r="738" spans="1:62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</row>
    <row r="739" spans="1:62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</row>
    <row r="740" spans="1:62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</row>
    <row r="741" spans="1:62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</row>
    <row r="742" spans="1:6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</row>
    <row r="743" spans="1:62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</row>
    <row r="744" spans="1:62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</row>
    <row r="745" spans="1:62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</row>
    <row r="746" spans="1:62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</row>
    <row r="747" spans="1:62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</row>
    <row r="748" spans="1:62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</row>
    <row r="749" spans="1:62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</row>
    <row r="750" spans="1:62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</row>
    <row r="751" spans="1:62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</row>
    <row r="752" spans="1:6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</row>
    <row r="753" spans="1:62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</row>
    <row r="754" spans="1:62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</row>
    <row r="755" spans="1:62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</row>
    <row r="756" spans="1:62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</row>
    <row r="757" spans="1:62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</row>
    <row r="758" spans="1:62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</row>
    <row r="759" spans="1:62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</row>
    <row r="760" spans="1:62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</row>
    <row r="761" spans="1:62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</row>
    <row r="762" spans="1: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</row>
    <row r="763" spans="1:62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</row>
    <row r="764" spans="1:62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</row>
    <row r="765" spans="1:62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</row>
    <row r="766" spans="1:62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</row>
    <row r="767" spans="1:62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</row>
    <row r="768" spans="1:62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</row>
    <row r="769" spans="1:62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</row>
    <row r="770" spans="1:62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</row>
    <row r="771" spans="1:62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</row>
    <row r="772" spans="1:6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</row>
    <row r="773" spans="1:62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</row>
    <row r="774" spans="1:62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</row>
    <row r="775" spans="1:62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</row>
    <row r="776" spans="1:62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</row>
    <row r="777" spans="1:62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</row>
    <row r="778" spans="1:62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</row>
    <row r="779" spans="1:62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</row>
    <row r="780" spans="1:62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</row>
    <row r="781" spans="1:62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</row>
    <row r="782" spans="1:6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</row>
    <row r="783" spans="1:62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</row>
    <row r="784" spans="1:62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</row>
    <row r="785" spans="1:62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</row>
    <row r="786" spans="1:62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</row>
    <row r="787" spans="1:62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</row>
    <row r="788" spans="1:62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</row>
    <row r="789" spans="1:62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</row>
    <row r="790" spans="1:62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</row>
    <row r="791" spans="1:62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</row>
    <row r="792" spans="1:6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</row>
    <row r="793" spans="1:62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</row>
    <row r="794" spans="1:62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</row>
    <row r="795" spans="1:62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</row>
    <row r="796" spans="1:62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</row>
    <row r="797" spans="1:62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</row>
    <row r="798" spans="1:62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</row>
    <row r="799" spans="1:62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</row>
    <row r="800" spans="1:62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</row>
    <row r="801" spans="1:62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</row>
    <row r="802" spans="1:6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</row>
    <row r="803" spans="1:62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</row>
    <row r="804" spans="1:62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</row>
    <row r="805" spans="1:62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</row>
    <row r="806" spans="1:62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</row>
    <row r="807" spans="1:62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</row>
    <row r="808" spans="1:62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</row>
    <row r="809" spans="1:62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</row>
    <row r="810" spans="1:62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</row>
    <row r="811" spans="1:62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</row>
    <row r="812" spans="1:6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</row>
    <row r="813" spans="1:62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</row>
    <row r="814" spans="1:62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</row>
    <row r="815" spans="1:62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</row>
    <row r="816" spans="1:62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</row>
    <row r="817" spans="1:62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</row>
    <row r="818" spans="1:62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</row>
    <row r="819" spans="1:62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</row>
    <row r="820" spans="1:62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</row>
    <row r="821" spans="1:62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</row>
    <row r="822" spans="1:6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</row>
    <row r="823" spans="1:62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</row>
    <row r="824" spans="1:62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</row>
    <row r="825" spans="1:62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</row>
    <row r="826" spans="1:62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</row>
    <row r="827" spans="1:62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</row>
    <row r="828" spans="1:62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</row>
    <row r="829" spans="1:62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</row>
    <row r="830" spans="1:62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</row>
    <row r="831" spans="1:62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</row>
    <row r="832" spans="1:6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</row>
    <row r="833" spans="1:62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</row>
    <row r="834" spans="1:62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</row>
    <row r="835" spans="1:62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</row>
    <row r="836" spans="1:62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</row>
    <row r="837" spans="1:62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</row>
    <row r="838" spans="1:62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</row>
    <row r="839" spans="1:62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</row>
    <row r="840" spans="1:62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</row>
    <row r="841" spans="1:62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</row>
    <row r="842" spans="1:6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</row>
    <row r="843" spans="1:62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</row>
    <row r="844" spans="1:62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</row>
    <row r="845" spans="1:62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</row>
    <row r="846" spans="1:62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</row>
    <row r="847" spans="1:62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</row>
    <row r="848" spans="1:62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</row>
    <row r="849" spans="1:62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</row>
    <row r="850" spans="1:62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</row>
    <row r="851" spans="1:62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</row>
    <row r="852" spans="1:6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</row>
    <row r="853" spans="1:62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</row>
    <row r="854" spans="1:62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</row>
    <row r="855" spans="1:62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</row>
    <row r="856" spans="1:62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</row>
    <row r="857" spans="1:62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</row>
    <row r="858" spans="1:62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</row>
    <row r="859" spans="1:62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</row>
    <row r="860" spans="1:62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</row>
    <row r="861" spans="1:62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</row>
    <row r="862" spans="1: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</row>
    <row r="863" spans="1:62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</row>
    <row r="864" spans="1:62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</row>
    <row r="865" spans="1:62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</row>
    <row r="866" spans="1:62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</row>
    <row r="867" spans="1:62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</row>
    <row r="868" spans="1:62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</row>
    <row r="869" spans="1:62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</row>
    <row r="870" spans="1:62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</row>
    <row r="871" spans="1:62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</row>
    <row r="872" spans="1:6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</row>
    <row r="873" spans="1:62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</row>
    <row r="874" spans="1:62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</row>
    <row r="875" spans="1:62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</row>
    <row r="876" spans="1:62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</row>
    <row r="877" spans="1:62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</row>
    <row r="878" spans="1:62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</row>
    <row r="879" spans="1:62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</row>
    <row r="880" spans="1:62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</row>
    <row r="881" spans="1:62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</row>
    <row r="882" spans="1:6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</row>
    <row r="883" spans="1:62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</row>
    <row r="884" spans="1:62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</row>
    <row r="885" spans="1:62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</row>
    <row r="886" spans="1:62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</row>
    <row r="887" spans="1:62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</row>
    <row r="888" spans="1:62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</row>
    <row r="889" spans="1:62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</row>
    <row r="890" spans="1:62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</row>
    <row r="891" spans="1:62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</row>
    <row r="892" spans="1:6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</row>
    <row r="893" spans="1:62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</row>
    <row r="894" spans="1:62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</row>
    <row r="895" spans="1:62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</row>
    <row r="896" spans="1:62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</row>
    <row r="897" spans="1:62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</row>
    <row r="898" spans="1:62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</row>
    <row r="899" spans="1:62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</row>
    <row r="900" spans="1:62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</row>
    <row r="901" spans="1:62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</row>
    <row r="902" spans="1:6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</row>
    <row r="903" spans="1:62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</row>
    <row r="904" spans="1:62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</row>
    <row r="905" spans="1:62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</row>
    <row r="906" spans="1:62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</row>
    <row r="907" spans="1:62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</row>
    <row r="908" spans="1:62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</row>
    <row r="909" spans="1:62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</row>
    <row r="910" spans="1:62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</row>
    <row r="911" spans="1:62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</row>
    <row r="912" spans="1:6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</row>
    <row r="913" spans="1:62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</row>
    <row r="914" spans="1:62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</row>
    <row r="915" spans="1:62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</row>
    <row r="916" spans="1:62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</row>
    <row r="917" spans="1:62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</row>
    <row r="918" spans="1:62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</row>
    <row r="919" spans="1:62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</row>
    <row r="920" spans="1:62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</row>
    <row r="921" spans="1:62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</row>
    <row r="922" spans="1:6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</row>
    <row r="923" spans="1:62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</row>
    <row r="924" spans="1:62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</row>
    <row r="925" spans="1:62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</row>
    <row r="926" spans="1:62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</row>
    <row r="927" spans="1:62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</row>
    <row r="928" spans="1:62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</row>
    <row r="929" spans="1:62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</row>
    <row r="930" spans="1:62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</row>
    <row r="931" spans="1:62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</row>
    <row r="932" spans="1:6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</row>
    <row r="933" spans="1:62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</row>
    <row r="934" spans="1:62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</row>
    <row r="935" spans="1:62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</row>
    <row r="936" spans="1:62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</row>
    <row r="937" spans="1:62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</row>
    <row r="938" spans="1:62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</row>
    <row r="939" spans="1:62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</row>
    <row r="940" spans="1:62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</row>
    <row r="941" spans="1:62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</row>
    <row r="942" spans="1:6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</row>
    <row r="943" spans="1:62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</row>
    <row r="944" spans="1:62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</row>
    <row r="945" spans="1:62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</row>
    <row r="946" spans="1:62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</row>
    <row r="947" spans="1:62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</row>
    <row r="948" spans="1:62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</row>
    <row r="949" spans="1:62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</row>
    <row r="950" spans="1:62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</row>
    <row r="951" spans="1:62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</row>
    <row r="952" spans="1:6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</row>
    <row r="953" spans="1:62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</row>
    <row r="954" spans="1:62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</row>
    <row r="955" spans="1:62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</row>
    <row r="956" spans="1:62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</row>
    <row r="957" spans="1:62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</row>
    <row r="958" spans="1:62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</row>
    <row r="959" spans="1:62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</row>
    <row r="960" spans="1:62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</row>
    <row r="961" spans="1:62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</row>
    <row r="962" spans="1: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</row>
    <row r="963" spans="1:62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</row>
    <row r="964" spans="1:62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</row>
    <row r="965" spans="1:62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</row>
    <row r="966" spans="1:62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</row>
    <row r="967" spans="1:62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</row>
    <row r="968" spans="1:62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</row>
    <row r="969" spans="1:62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</row>
    <row r="970" spans="1:62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</row>
    <row r="971" spans="1:62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</row>
    <row r="972" spans="1:6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</row>
    <row r="973" spans="1:62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</row>
    <row r="974" spans="1:62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</row>
    <row r="975" spans="1:62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</row>
    <row r="976" spans="1:62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</row>
    <row r="977" spans="1:62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</row>
    <row r="978" spans="1:62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</row>
    <row r="979" spans="1:62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</row>
    <row r="980" spans="1:62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</row>
    <row r="981" spans="1:62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</row>
    <row r="982" spans="1:6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</row>
    <row r="983" spans="1:62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</row>
    <row r="984" spans="1:62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</row>
    <row r="985" spans="1:62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</row>
    <row r="986" spans="1:62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</row>
    <row r="987" spans="1:62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</row>
    <row r="988" spans="1:62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</row>
    <row r="989" spans="1:62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</row>
    <row r="990" spans="1:62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</row>
    <row r="991" spans="1:62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</row>
    <row r="992" spans="1:6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</row>
    <row r="993" spans="1:62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</row>
    <row r="994" spans="1:62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</row>
    <row r="995" spans="1:62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</row>
    <row r="996" spans="1:62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</row>
    <row r="997" spans="1:62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</row>
    <row r="998" spans="1:62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</row>
    <row r="999" spans="1:62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</row>
    <row r="1000" spans="1:62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</row>
  </sheetData>
  <mergeCells count="27">
    <mergeCell ref="F59:I59"/>
    <mergeCell ref="F60:J60"/>
    <mergeCell ref="H62:J62"/>
    <mergeCell ref="G9:G10"/>
    <mergeCell ref="H9:H10"/>
    <mergeCell ref="F22:K23"/>
    <mergeCell ref="F54:J54"/>
    <mergeCell ref="F55:I55"/>
    <mergeCell ref="F57:I57"/>
    <mergeCell ref="F58:I58"/>
    <mergeCell ref="B1:R3"/>
    <mergeCell ref="B6:R6"/>
    <mergeCell ref="B7:B10"/>
    <mergeCell ref="D7:F8"/>
    <mergeCell ref="G7:H7"/>
    <mergeCell ref="I7:R8"/>
    <mergeCell ref="G8:H8"/>
    <mergeCell ref="N9:R9"/>
    <mergeCell ref="AL9:AL10"/>
    <mergeCell ref="AM9:AM10"/>
    <mergeCell ref="AN9:AN10"/>
    <mergeCell ref="AO9:AO10"/>
    <mergeCell ref="C7:C10"/>
    <mergeCell ref="D9:D10"/>
    <mergeCell ref="E9:E10"/>
    <mergeCell ref="F9:F10"/>
    <mergeCell ref="I9:M9"/>
  </mergeCells>
  <conditionalFormatting sqref="G34:I35 G36:K53">
    <cfRule type="containsBlanks" dxfId="8" priority="1">
      <formula>LEN(TRIM(G34))=0</formula>
    </cfRule>
  </conditionalFormatting>
  <conditionalFormatting sqref="F34:F53">
    <cfRule type="containsBlanks" dxfId="7" priority="2">
      <formula>LEN(TRIM(F34))=0</formula>
    </cfRule>
  </conditionalFormatting>
  <dataValidations count="2">
    <dataValidation type="list" allowBlank="1" showErrorMessage="1" sqref="I11:I20 N11:N20" xr:uid="{00000000-0002-0000-0300-000000000000}">
      <formula1>$V$11:$V$17</formula1>
    </dataValidation>
    <dataValidation type="list" allowBlank="1" showErrorMessage="1" sqref="G8" xr:uid="{00000000-0002-0000-0300-000001000000}">
      <formula1>$AJ$11:$AJ$14</formula1>
    </dataValidation>
  </dataValidations>
  <pageMargins left="0.7" right="0.7" top="0.75" bottom="0.75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D1000"/>
  <sheetViews>
    <sheetView showGridLines="0" workbookViewId="0"/>
  </sheetViews>
  <sheetFormatPr defaultColWidth="12.625" defaultRowHeight="15" customHeight="1"/>
  <cols>
    <col min="1" max="1" width="9" customWidth="1"/>
    <col min="2" max="2" width="9.625" customWidth="1"/>
    <col min="3" max="4" width="9" customWidth="1"/>
    <col min="5" max="5" width="7.875" customWidth="1"/>
    <col min="6" max="6" width="10.75" customWidth="1"/>
    <col min="7" max="7" width="14.875" customWidth="1"/>
    <col min="8" max="8" width="12.75" customWidth="1"/>
    <col min="9" max="9" width="9.5" customWidth="1"/>
    <col min="10" max="10" width="13" customWidth="1"/>
    <col min="11" max="11" width="14.5" customWidth="1"/>
    <col min="12" max="12" width="8" customWidth="1"/>
    <col min="13" max="16" width="10.875" customWidth="1"/>
    <col min="17" max="17" width="11.25" customWidth="1"/>
    <col min="18" max="18" width="8.875" hidden="1" customWidth="1"/>
    <col min="19" max="27" width="10.875" customWidth="1"/>
    <col min="28" max="51" width="9" customWidth="1"/>
    <col min="52" max="52" width="9.75" customWidth="1"/>
    <col min="53" max="53" width="11.375" customWidth="1"/>
    <col min="54" max="54" width="7.625" customWidth="1"/>
    <col min="55" max="55" width="10.625" customWidth="1"/>
    <col min="56" max="56" width="9" customWidth="1"/>
  </cols>
  <sheetData>
    <row r="1" spans="1:56" ht="16.5" customHeight="1">
      <c r="A1" s="3"/>
      <c r="B1" s="113" t="s">
        <v>95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100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</row>
    <row r="2" spans="1:56" ht="16.5" customHeight="1">
      <c r="A2" s="3"/>
      <c r="B2" s="101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</row>
    <row r="3" spans="1:56" ht="16.5" customHeight="1">
      <c r="A3" s="3"/>
      <c r="B3" s="114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  <c r="R3" s="116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</row>
    <row r="4" spans="1:56" ht="16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</row>
    <row r="5" spans="1:56" ht="16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</row>
    <row r="6" spans="1:56" ht="16.5" customHeight="1">
      <c r="A6" s="3"/>
      <c r="B6" s="148" t="s">
        <v>9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5"/>
      <c r="T6" s="5"/>
      <c r="U6" s="5"/>
      <c r="V6" s="5"/>
      <c r="W6" s="5"/>
      <c r="X6" s="5"/>
      <c r="Y6" s="5"/>
      <c r="Z6" s="5"/>
      <c r="AA6" s="5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</row>
    <row r="7" spans="1:56" ht="16.5" customHeight="1">
      <c r="A7" s="3"/>
      <c r="B7" s="119" t="s">
        <v>3</v>
      </c>
      <c r="C7" s="104" t="s">
        <v>10</v>
      </c>
      <c r="D7" s="122" t="s">
        <v>11</v>
      </c>
      <c r="E7" s="123"/>
      <c r="F7" s="124"/>
      <c r="G7" s="128" t="s">
        <v>12</v>
      </c>
      <c r="H7" s="129"/>
      <c r="I7" s="130" t="s">
        <v>121</v>
      </c>
      <c r="J7" s="123"/>
      <c r="K7" s="123"/>
      <c r="L7" s="123"/>
      <c r="M7" s="123"/>
      <c r="N7" s="123"/>
      <c r="O7" s="123"/>
      <c r="P7" s="123"/>
      <c r="Q7" s="123"/>
      <c r="R7" s="129"/>
      <c r="S7" s="6"/>
      <c r="T7" s="6"/>
      <c r="U7" s="6"/>
      <c r="V7" s="6"/>
      <c r="W7" s="6"/>
      <c r="X7" s="6"/>
      <c r="Y7" s="6"/>
      <c r="Z7" s="6"/>
      <c r="AA7" s="6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</row>
    <row r="8" spans="1:56" ht="16.5" customHeight="1">
      <c r="A8" s="3"/>
      <c r="B8" s="120"/>
      <c r="C8" s="105"/>
      <c r="D8" s="125"/>
      <c r="E8" s="126"/>
      <c r="F8" s="127"/>
      <c r="G8" s="134" t="s">
        <v>13</v>
      </c>
      <c r="H8" s="135"/>
      <c r="I8" s="131"/>
      <c r="J8" s="132"/>
      <c r="K8" s="132"/>
      <c r="L8" s="132"/>
      <c r="M8" s="132"/>
      <c r="N8" s="132"/>
      <c r="O8" s="132"/>
      <c r="P8" s="132"/>
      <c r="Q8" s="132"/>
      <c r="R8" s="133"/>
      <c r="S8" s="6"/>
      <c r="T8" s="6"/>
      <c r="U8" s="6"/>
      <c r="V8" s="6"/>
      <c r="W8" s="6"/>
      <c r="X8" s="6"/>
      <c r="Y8" s="6"/>
      <c r="Z8" s="6"/>
      <c r="AA8" s="6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</row>
    <row r="9" spans="1:56" ht="16.5" customHeight="1">
      <c r="A9" s="3"/>
      <c r="B9" s="120"/>
      <c r="C9" s="105"/>
      <c r="D9" s="107" t="s">
        <v>97</v>
      </c>
      <c r="E9" s="107" t="s">
        <v>98</v>
      </c>
      <c r="F9" s="107" t="s">
        <v>99</v>
      </c>
      <c r="G9" s="107" t="s">
        <v>17</v>
      </c>
      <c r="H9" s="140" t="s">
        <v>100</v>
      </c>
      <c r="I9" s="108" t="s">
        <v>101</v>
      </c>
      <c r="J9" s="109"/>
      <c r="K9" s="109"/>
      <c r="L9" s="109"/>
      <c r="M9" s="110"/>
      <c r="N9" s="108" t="s">
        <v>102</v>
      </c>
      <c r="O9" s="109"/>
      <c r="P9" s="109"/>
      <c r="Q9" s="109"/>
      <c r="R9" s="110"/>
      <c r="S9" s="6"/>
      <c r="T9" s="6"/>
      <c r="U9" s="6"/>
      <c r="V9" s="6"/>
      <c r="W9" s="6"/>
      <c r="X9" s="6"/>
      <c r="Y9" s="6"/>
      <c r="Z9" s="6"/>
      <c r="AA9" s="6"/>
      <c r="AB9" s="3"/>
      <c r="AC9" s="3"/>
      <c r="AD9" s="3"/>
      <c r="AE9" s="3"/>
      <c r="AF9" s="3"/>
      <c r="AG9" s="3"/>
      <c r="AH9" s="3"/>
      <c r="AI9" s="3"/>
      <c r="AJ9" s="3"/>
      <c r="AK9" s="3"/>
      <c r="AL9" s="111" t="s">
        <v>21</v>
      </c>
      <c r="AM9" s="112" t="s">
        <v>22</v>
      </c>
      <c r="AN9" s="112" t="s">
        <v>23</v>
      </c>
      <c r="AO9" s="112" t="s">
        <v>24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</row>
    <row r="10" spans="1:56" ht="16.5" customHeight="1">
      <c r="A10" s="9"/>
      <c r="B10" s="121"/>
      <c r="C10" s="106"/>
      <c r="D10" s="106"/>
      <c r="E10" s="106"/>
      <c r="F10" s="106"/>
      <c r="G10" s="106"/>
      <c r="H10" s="141"/>
      <c r="I10" s="10" t="s">
        <v>25</v>
      </c>
      <c r="J10" s="11" t="s">
        <v>26</v>
      </c>
      <c r="K10" s="12" t="s">
        <v>82</v>
      </c>
      <c r="L10" s="11" t="s">
        <v>28</v>
      </c>
      <c r="M10" s="13" t="s">
        <v>29</v>
      </c>
      <c r="N10" s="10" t="s">
        <v>25</v>
      </c>
      <c r="O10" s="11" t="s">
        <v>26</v>
      </c>
      <c r="P10" s="12" t="s">
        <v>27</v>
      </c>
      <c r="Q10" s="11" t="s">
        <v>104</v>
      </c>
      <c r="R10" s="13" t="s">
        <v>29</v>
      </c>
      <c r="S10" s="14"/>
      <c r="T10" s="14"/>
      <c r="U10" s="14"/>
      <c r="V10" s="14"/>
      <c r="W10" s="14"/>
      <c r="X10" s="14" t="s">
        <v>30</v>
      </c>
      <c r="Y10" s="14" t="s">
        <v>30</v>
      </c>
      <c r="Z10" s="14"/>
      <c r="AA10" s="14"/>
      <c r="AB10" s="9"/>
      <c r="AC10" s="9"/>
      <c r="AD10" s="9"/>
      <c r="AE10" s="9"/>
      <c r="AF10" s="9"/>
      <c r="AG10" s="9"/>
      <c r="AH10" s="9"/>
      <c r="AI10" s="15"/>
      <c r="AJ10" s="9"/>
      <c r="AK10" s="9"/>
      <c r="AL10" s="102"/>
      <c r="AM10" s="102"/>
      <c r="AN10" s="102"/>
      <c r="AO10" s="102"/>
      <c r="AP10" s="9"/>
      <c r="AQ10" s="9"/>
      <c r="AR10" s="9"/>
      <c r="AS10" s="9"/>
      <c r="AT10" s="9"/>
      <c r="AU10" s="9"/>
      <c r="AV10" s="9"/>
      <c r="AW10" s="9"/>
      <c r="AX10" s="9"/>
      <c r="AY10" s="9" t="s">
        <v>31</v>
      </c>
      <c r="AZ10" s="9" t="s">
        <v>32</v>
      </c>
      <c r="BA10" s="9" t="s">
        <v>19</v>
      </c>
      <c r="BB10" s="9" t="s">
        <v>10</v>
      </c>
      <c r="BC10" s="9" t="s">
        <v>20</v>
      </c>
      <c r="BD10" s="9" t="s">
        <v>10</v>
      </c>
    </row>
    <row r="11" spans="1:56" ht="16.5" customHeight="1">
      <c r="A11" s="3"/>
      <c r="B11" s="16" t="s">
        <v>110</v>
      </c>
      <c r="C11" s="17">
        <v>4</v>
      </c>
      <c r="D11" s="17">
        <v>0.4</v>
      </c>
      <c r="E11" s="17">
        <v>0.15</v>
      </c>
      <c r="F11" s="17">
        <v>4</v>
      </c>
      <c r="G11" s="18">
        <v>40</v>
      </c>
      <c r="H11" s="19">
        <v>1.5</v>
      </c>
      <c r="I11" s="20" t="s">
        <v>34</v>
      </c>
      <c r="J11" s="21">
        <f t="shared" ref="J11:J20" si="0">AI11</f>
        <v>6</v>
      </c>
      <c r="K11" s="22">
        <f t="shared" ref="K11:K20" si="1">F11+H11</f>
        <v>5.5</v>
      </c>
      <c r="L11" s="54"/>
      <c r="M11" s="55">
        <v>8</v>
      </c>
      <c r="N11" s="20" t="s">
        <v>36</v>
      </c>
      <c r="O11" s="21">
        <f t="shared" ref="O11:O20" si="2">AX11</f>
        <v>10.5</v>
      </c>
      <c r="P11" s="22">
        <f t="shared" ref="P11:P20" si="3">IF(C11&gt;0,0.05*2+2*(D11+E11)-4*(G11/1000),0)</f>
        <v>1.0400000000000003</v>
      </c>
      <c r="Q11" s="54">
        <v>150</v>
      </c>
      <c r="R11" s="58">
        <v>0</v>
      </c>
      <c r="S11" s="23"/>
      <c r="T11" s="23">
        <f>4*0.05+10*0.1</f>
        <v>1.2</v>
      </c>
      <c r="U11" s="24">
        <f>F11-T11</f>
        <v>2.8</v>
      </c>
      <c r="V11" s="3" t="s">
        <v>36</v>
      </c>
      <c r="W11" s="23">
        <v>0.61735017716184748</v>
      </c>
      <c r="X11" s="24">
        <f t="shared" ref="X11:X17" si="4">IF(C11&gt;0,Z11*J11*VLOOKUP(I11,V11:W17,2,FALSE),"")</f>
        <v>284.47496163617933</v>
      </c>
      <c r="Y11" s="25">
        <f t="shared" ref="Y11:Y17" si="5">IF(C11&gt;0,O11*AA11*VLOOKUP(I11,V11:W17,2,FALSE),"")</f>
        <v>232.32121866954645</v>
      </c>
      <c r="Z11" s="24">
        <f t="shared" ref="Z11:Z20" si="6">IF(C11&gt;0,CEILING(C11*K11*(L11+M11)/J11,1),"")</f>
        <v>30</v>
      </c>
      <c r="AA11" s="24">
        <f t="shared" ref="AA11:AA20" si="7">IF(C11&gt;0,CEILING(C11*P11*(14+U11*1000/Q11+R11+1)/O11,1),"")</f>
        <v>14</v>
      </c>
      <c r="AB11" s="25">
        <f t="shared" ref="AB11:AB20" si="8">K11</f>
        <v>5.5</v>
      </c>
      <c r="AC11" s="3">
        <f t="shared" ref="AC11:AG11" si="9">IF(C11&gt;0,AC$21-$AB11*FLOOR(AC$21/$AB11,1),"")</f>
        <v>0.5</v>
      </c>
      <c r="AD11" s="3">
        <f t="shared" si="9"/>
        <v>2</v>
      </c>
      <c r="AE11" s="3">
        <f t="shared" si="9"/>
        <v>3.5</v>
      </c>
      <c r="AF11" s="3">
        <f t="shared" si="9"/>
        <v>5</v>
      </c>
      <c r="AG11" s="3">
        <f t="shared" si="9"/>
        <v>1</v>
      </c>
      <c r="AH11" s="3">
        <f t="shared" ref="AH11:AH20" si="10">IF(AB11&gt;0,SMALL(AC11:AG11,1),"")</f>
        <v>0.5</v>
      </c>
      <c r="AI11" s="26">
        <f>IF(AB11&gt;0,HLOOKUP(AH11,AC11:AG21,11,FALSE),"")</f>
        <v>6</v>
      </c>
      <c r="AJ11" s="23" t="s">
        <v>13</v>
      </c>
      <c r="AK11" s="3">
        <v>12</v>
      </c>
      <c r="AL11" s="25">
        <f t="shared" ref="AL11:AL20" si="11">C11*D11*E11*F11</f>
        <v>0.96</v>
      </c>
      <c r="AM11" s="25">
        <f t="shared" ref="AM11:AM20" si="12">C11*D11*E11*H11*1.3</f>
        <v>0.46799999999999997</v>
      </c>
      <c r="AN11" s="25">
        <f t="shared" ref="AN11:AN20" si="13">AM11-(AL11*1.15)</f>
        <v>-0.6359999999999999</v>
      </c>
      <c r="AO11" s="25">
        <f t="shared" ref="AO11:AO20" si="14">D11*E11*C11</f>
        <v>0.24</v>
      </c>
      <c r="AP11" s="3"/>
      <c r="AQ11" s="25">
        <f t="shared" ref="AQ11:AQ20" si="15">P11</f>
        <v>1.0400000000000003</v>
      </c>
      <c r="AR11" s="3">
        <f t="shared" ref="AR11:AV11" si="16">IF(C11&gt;0,AR$21-$AQ11*FLOOR(AR$21/$AQ11,1),"")</f>
        <v>0.79999999999999893</v>
      </c>
      <c r="AS11" s="3">
        <f t="shared" si="16"/>
        <v>0.21999999999999797</v>
      </c>
      <c r="AT11" s="3">
        <f t="shared" si="16"/>
        <v>0.67999999999999794</v>
      </c>
      <c r="AU11" s="3">
        <f t="shared" si="16"/>
        <v>9.9999999999997868E-2</v>
      </c>
      <c r="AV11" s="3">
        <f t="shared" si="16"/>
        <v>0.55999999999999694</v>
      </c>
      <c r="AW11" s="3">
        <f t="shared" ref="AW11:AW20" si="17">IF(AQ11&gt;0,SMALL(AR11:AV11,1),"")</f>
        <v>9.9999999999997868E-2</v>
      </c>
      <c r="AX11" s="26">
        <f>IF(AQ11&gt;0,HLOOKUP(AW11,AR11:AV21,11,FALSE),"")</f>
        <v>10.5</v>
      </c>
      <c r="AY11" s="3"/>
      <c r="AZ11" s="3"/>
      <c r="BA11" s="3"/>
      <c r="BB11" s="3"/>
      <c r="BC11" s="3"/>
      <c r="BD11" s="3"/>
    </row>
    <row r="12" spans="1:56" ht="16.5" customHeight="1">
      <c r="A12" s="3"/>
      <c r="B12" s="16" t="s">
        <v>111</v>
      </c>
      <c r="C12" s="17"/>
      <c r="D12" s="17"/>
      <c r="E12" s="17"/>
      <c r="F12" s="17"/>
      <c r="G12" s="18"/>
      <c r="H12" s="19"/>
      <c r="I12" s="20"/>
      <c r="J12" s="21" t="str">
        <f t="shared" si="0"/>
        <v/>
      </c>
      <c r="K12" s="22">
        <f t="shared" si="1"/>
        <v>0</v>
      </c>
      <c r="L12" s="54"/>
      <c r="M12" s="55"/>
      <c r="N12" s="20"/>
      <c r="O12" s="21" t="str">
        <f t="shared" si="2"/>
        <v/>
      </c>
      <c r="P12" s="22">
        <f t="shared" si="3"/>
        <v>0</v>
      </c>
      <c r="Q12" s="54"/>
      <c r="R12" s="58">
        <v>0</v>
      </c>
      <c r="S12" s="23"/>
      <c r="T12" s="23"/>
      <c r="U12" s="23"/>
      <c r="V12" s="3" t="s">
        <v>35</v>
      </c>
      <c r="W12" s="23">
        <v>0.88898425511306034</v>
      </c>
      <c r="X12" s="24" t="str">
        <f t="shared" si="4"/>
        <v/>
      </c>
      <c r="Y12" s="25" t="str">
        <f t="shared" si="5"/>
        <v/>
      </c>
      <c r="Z12" s="24" t="str">
        <f t="shared" si="6"/>
        <v/>
      </c>
      <c r="AA12" s="24" t="str">
        <f t="shared" si="7"/>
        <v/>
      </c>
      <c r="AB12" s="25">
        <f t="shared" si="8"/>
        <v>0</v>
      </c>
      <c r="AC12" s="3" t="str">
        <f t="shared" ref="AC12:AG12" si="18">IF(C12&gt;0,AC$21-$AB12*FLOOR(AC$21/$AB12,1),"")</f>
        <v/>
      </c>
      <c r="AD12" s="3" t="str">
        <f t="shared" si="18"/>
        <v/>
      </c>
      <c r="AE12" s="3" t="str">
        <f t="shared" si="18"/>
        <v/>
      </c>
      <c r="AF12" s="3" t="str">
        <f t="shared" si="18"/>
        <v/>
      </c>
      <c r="AG12" s="3" t="str">
        <f t="shared" si="18"/>
        <v/>
      </c>
      <c r="AH12" s="3" t="str">
        <f t="shared" si="10"/>
        <v/>
      </c>
      <c r="AI12" s="26" t="str">
        <f>IF(AB12&gt;0,HLOOKUP(AH12,AC12:AG22,10,FALSE),"")</f>
        <v/>
      </c>
      <c r="AJ12" s="23" t="s">
        <v>38</v>
      </c>
      <c r="AK12" s="3">
        <v>10</v>
      </c>
      <c r="AL12" s="25">
        <f t="shared" si="11"/>
        <v>0</v>
      </c>
      <c r="AM12" s="25">
        <f t="shared" si="12"/>
        <v>0</v>
      </c>
      <c r="AN12" s="25">
        <f t="shared" si="13"/>
        <v>0</v>
      </c>
      <c r="AO12" s="25">
        <f t="shared" si="14"/>
        <v>0</v>
      </c>
      <c r="AP12" s="3"/>
      <c r="AQ12" s="25">
        <f t="shared" si="15"/>
        <v>0</v>
      </c>
      <c r="AR12" s="3" t="str">
        <f t="shared" ref="AR12:AV12" si="19">IF(C12&gt;0,AR$21-$AQ12*FLOOR(AR$21/$AQ12,1),"")</f>
        <v/>
      </c>
      <c r="AS12" s="3" t="str">
        <f t="shared" si="19"/>
        <v/>
      </c>
      <c r="AT12" s="3" t="str">
        <f t="shared" si="19"/>
        <v/>
      </c>
      <c r="AU12" s="3" t="str">
        <f t="shared" si="19"/>
        <v/>
      </c>
      <c r="AV12" s="3" t="str">
        <f t="shared" si="19"/>
        <v/>
      </c>
      <c r="AW12" s="3" t="str">
        <f t="shared" si="17"/>
        <v/>
      </c>
      <c r="AX12" s="26" t="str">
        <f>IF(AQ12&gt;0,HLOOKUP(AW12,AR12:AV22,10,FALSE),"")</f>
        <v/>
      </c>
      <c r="AY12" s="3"/>
      <c r="AZ12" s="3"/>
      <c r="BA12" s="3"/>
      <c r="BB12" s="3"/>
      <c r="BC12" s="3"/>
      <c r="BD12" s="3"/>
    </row>
    <row r="13" spans="1:56" ht="16.5" customHeight="1">
      <c r="A13" s="3"/>
      <c r="B13" s="16" t="s">
        <v>112</v>
      </c>
      <c r="C13" s="17"/>
      <c r="D13" s="17"/>
      <c r="E13" s="17"/>
      <c r="F13" s="17"/>
      <c r="G13" s="18"/>
      <c r="H13" s="19"/>
      <c r="I13" s="20"/>
      <c r="J13" s="21" t="str">
        <f t="shared" si="0"/>
        <v/>
      </c>
      <c r="K13" s="22">
        <f t="shared" si="1"/>
        <v>0</v>
      </c>
      <c r="L13" s="54"/>
      <c r="M13" s="55"/>
      <c r="N13" s="20"/>
      <c r="O13" s="21" t="str">
        <f t="shared" si="2"/>
        <v/>
      </c>
      <c r="P13" s="22">
        <f t="shared" si="3"/>
        <v>0</v>
      </c>
      <c r="Q13" s="54"/>
      <c r="R13" s="58">
        <v>0</v>
      </c>
      <c r="S13" s="23"/>
      <c r="T13" s="23"/>
      <c r="U13" s="23"/>
      <c r="V13" s="3" t="s">
        <v>34</v>
      </c>
      <c r="W13" s="23">
        <v>1.5804164535343297</v>
      </c>
      <c r="X13" s="24" t="str">
        <f t="shared" si="4"/>
        <v/>
      </c>
      <c r="Y13" s="25" t="str">
        <f t="shared" si="5"/>
        <v/>
      </c>
      <c r="Z13" s="24" t="str">
        <f t="shared" si="6"/>
        <v/>
      </c>
      <c r="AA13" s="24" t="str">
        <f t="shared" si="7"/>
        <v/>
      </c>
      <c r="AB13" s="25">
        <f t="shared" si="8"/>
        <v>0</v>
      </c>
      <c r="AC13" s="3" t="str">
        <f t="shared" ref="AC13:AG13" si="20">IF(C13&gt;0,AC$21-$AB13*FLOOR(AC$21/$AB13,1),"")</f>
        <v/>
      </c>
      <c r="AD13" s="3" t="str">
        <f t="shared" si="20"/>
        <v/>
      </c>
      <c r="AE13" s="3" t="str">
        <f t="shared" si="20"/>
        <v/>
      </c>
      <c r="AF13" s="3" t="str">
        <f t="shared" si="20"/>
        <v/>
      </c>
      <c r="AG13" s="3" t="str">
        <f t="shared" si="20"/>
        <v/>
      </c>
      <c r="AH13" s="3" t="str">
        <f t="shared" si="10"/>
        <v/>
      </c>
      <c r="AI13" s="26" t="str">
        <f>IF(AB13&gt;0,HLOOKUP(AH13,AC13:AG23,9,FALSE),"")</f>
        <v/>
      </c>
      <c r="AJ13" s="23" t="s">
        <v>40</v>
      </c>
      <c r="AK13" s="3">
        <v>8</v>
      </c>
      <c r="AL13" s="25">
        <f t="shared" si="11"/>
        <v>0</v>
      </c>
      <c r="AM13" s="25">
        <f t="shared" si="12"/>
        <v>0</v>
      </c>
      <c r="AN13" s="25">
        <f t="shared" si="13"/>
        <v>0</v>
      </c>
      <c r="AO13" s="25">
        <f t="shared" si="14"/>
        <v>0</v>
      </c>
      <c r="AP13" s="3"/>
      <c r="AQ13" s="25">
        <f t="shared" si="15"/>
        <v>0</v>
      </c>
      <c r="AR13" s="3" t="str">
        <f t="shared" ref="AR13:AV13" si="21">IF(C13&gt;0,AR$21-$AQ13*FLOOR(AR$21/$AQ13,1),"")</f>
        <v/>
      </c>
      <c r="AS13" s="3" t="str">
        <f t="shared" si="21"/>
        <v/>
      </c>
      <c r="AT13" s="3" t="str">
        <f t="shared" si="21"/>
        <v/>
      </c>
      <c r="AU13" s="3" t="str">
        <f t="shared" si="21"/>
        <v/>
      </c>
      <c r="AV13" s="3" t="str">
        <f t="shared" si="21"/>
        <v/>
      </c>
      <c r="AW13" s="3" t="str">
        <f t="shared" si="17"/>
        <v/>
      </c>
      <c r="AX13" s="26" t="str">
        <f>IF(AQ13&gt;0,HLOOKUP(AW13,AR13:AV23,9,FALSE),"")</f>
        <v/>
      </c>
      <c r="AY13" s="3"/>
      <c r="AZ13" s="3"/>
      <c r="BA13" s="3"/>
      <c r="BB13" s="3"/>
      <c r="BC13" s="3"/>
      <c r="BD13" s="3"/>
    </row>
    <row r="14" spans="1:56" ht="16.5" customHeight="1">
      <c r="A14" s="3"/>
      <c r="B14" s="16" t="s">
        <v>113</v>
      </c>
      <c r="C14" s="17"/>
      <c r="D14" s="17"/>
      <c r="E14" s="17"/>
      <c r="F14" s="17"/>
      <c r="G14" s="18"/>
      <c r="H14" s="19"/>
      <c r="I14" s="20"/>
      <c r="J14" s="21" t="str">
        <f t="shared" si="0"/>
        <v/>
      </c>
      <c r="K14" s="22">
        <f t="shared" si="1"/>
        <v>0</v>
      </c>
      <c r="L14" s="54"/>
      <c r="M14" s="55"/>
      <c r="N14" s="20"/>
      <c r="O14" s="21" t="str">
        <f t="shared" si="2"/>
        <v/>
      </c>
      <c r="P14" s="22">
        <f t="shared" si="3"/>
        <v>0</v>
      </c>
      <c r="Q14" s="54"/>
      <c r="R14" s="58">
        <v>0</v>
      </c>
      <c r="S14" s="23"/>
      <c r="T14" s="23"/>
      <c r="U14" s="23"/>
      <c r="V14" s="3" t="s">
        <v>42</v>
      </c>
      <c r="W14" s="23">
        <v>2.4694007086473899</v>
      </c>
      <c r="X14" s="24" t="str">
        <f t="shared" si="4"/>
        <v/>
      </c>
      <c r="Y14" s="25" t="str">
        <f t="shared" si="5"/>
        <v/>
      </c>
      <c r="Z14" s="24" t="str">
        <f t="shared" si="6"/>
        <v/>
      </c>
      <c r="AA14" s="24" t="str">
        <f t="shared" si="7"/>
        <v/>
      </c>
      <c r="AB14" s="25">
        <f t="shared" si="8"/>
        <v>0</v>
      </c>
      <c r="AC14" s="3" t="str">
        <f t="shared" ref="AC14:AG14" si="22">IF(C14&gt;0,AC$21-$AB14*FLOOR(AC$21/$AB14,1),"")</f>
        <v/>
      </c>
      <c r="AD14" s="3" t="str">
        <f t="shared" si="22"/>
        <v/>
      </c>
      <c r="AE14" s="3" t="str">
        <f t="shared" si="22"/>
        <v/>
      </c>
      <c r="AF14" s="3" t="str">
        <f t="shared" si="22"/>
        <v/>
      </c>
      <c r="AG14" s="3" t="str">
        <f t="shared" si="22"/>
        <v/>
      </c>
      <c r="AH14" s="3" t="str">
        <f t="shared" si="10"/>
        <v/>
      </c>
      <c r="AI14" s="26" t="str">
        <f>IF(AB14&gt;0,HLOOKUP(AH14,AC14:AG24,8,FALSE),"")</f>
        <v/>
      </c>
      <c r="AJ14" s="23" t="s">
        <v>43</v>
      </c>
      <c r="AK14" s="3">
        <v>6.5</v>
      </c>
      <c r="AL14" s="25">
        <f t="shared" si="11"/>
        <v>0</v>
      </c>
      <c r="AM14" s="25">
        <f t="shared" si="12"/>
        <v>0</v>
      </c>
      <c r="AN14" s="25">
        <f t="shared" si="13"/>
        <v>0</v>
      </c>
      <c r="AO14" s="25">
        <f t="shared" si="14"/>
        <v>0</v>
      </c>
      <c r="AP14" s="3"/>
      <c r="AQ14" s="25">
        <f t="shared" si="15"/>
        <v>0</v>
      </c>
      <c r="AR14" s="3" t="str">
        <f t="shared" ref="AR14:AV14" si="23">IF(C14&gt;0,AR$21-$AQ14*FLOOR(AR$21/$AQ14,1),"")</f>
        <v/>
      </c>
      <c r="AS14" s="3" t="str">
        <f t="shared" si="23"/>
        <v/>
      </c>
      <c r="AT14" s="3" t="str">
        <f t="shared" si="23"/>
        <v/>
      </c>
      <c r="AU14" s="3" t="str">
        <f t="shared" si="23"/>
        <v/>
      </c>
      <c r="AV14" s="3" t="str">
        <f t="shared" si="23"/>
        <v/>
      </c>
      <c r="AW14" s="3" t="str">
        <f t="shared" si="17"/>
        <v/>
      </c>
      <c r="AX14" s="26" t="str">
        <f>IF(AQ14&gt;0,HLOOKUP(AW14,AR14:AV24,8,FALSE),"")</f>
        <v/>
      </c>
      <c r="AY14" s="3" t="str">
        <f t="shared" ref="AY14:AY20" si="24">IF(AQ14&gt;0,SMALL(AR14:AV14,1),"")</f>
        <v/>
      </c>
      <c r="AZ14" s="3" t="str">
        <f>IF(AQ14&gt;0,HLOOKUP(AY14,AR14:AV24,8,FALSE),"")</f>
        <v/>
      </c>
      <c r="BA14" s="3"/>
      <c r="BB14" s="3"/>
      <c r="BC14" s="3"/>
      <c r="BD14" s="3"/>
    </row>
    <row r="15" spans="1:56" ht="16.5" customHeight="1">
      <c r="A15" s="3"/>
      <c r="B15" s="16" t="s">
        <v>114</v>
      </c>
      <c r="C15" s="17"/>
      <c r="D15" s="17"/>
      <c r="E15" s="17"/>
      <c r="F15" s="17"/>
      <c r="G15" s="18"/>
      <c r="H15" s="19"/>
      <c r="I15" s="20"/>
      <c r="J15" s="21" t="str">
        <f t="shared" si="0"/>
        <v/>
      </c>
      <c r="K15" s="22">
        <f t="shared" si="1"/>
        <v>0</v>
      </c>
      <c r="L15" s="54"/>
      <c r="M15" s="55"/>
      <c r="N15" s="20"/>
      <c r="O15" s="21" t="str">
        <f t="shared" si="2"/>
        <v/>
      </c>
      <c r="P15" s="22">
        <f t="shared" si="3"/>
        <v>0</v>
      </c>
      <c r="Q15" s="54"/>
      <c r="R15" s="58">
        <v>0</v>
      </c>
      <c r="S15" s="23"/>
      <c r="T15" s="23"/>
      <c r="U15" s="23"/>
      <c r="V15" s="3" t="s">
        <v>45</v>
      </c>
      <c r="W15" s="23">
        <v>3.8584386072615469</v>
      </c>
      <c r="X15" s="24" t="str">
        <f t="shared" si="4"/>
        <v/>
      </c>
      <c r="Y15" s="25" t="str">
        <f t="shared" si="5"/>
        <v/>
      </c>
      <c r="Z15" s="24" t="str">
        <f t="shared" si="6"/>
        <v/>
      </c>
      <c r="AA15" s="24" t="str">
        <f t="shared" si="7"/>
        <v/>
      </c>
      <c r="AB15" s="25">
        <f t="shared" si="8"/>
        <v>0</v>
      </c>
      <c r="AC15" s="3" t="str">
        <f t="shared" ref="AC15:AG15" si="25">IF(C15&gt;0,AC$21-$AB15*FLOOR(AC$21/$AB15,1),"")</f>
        <v/>
      </c>
      <c r="AD15" s="3" t="str">
        <f t="shared" si="25"/>
        <v/>
      </c>
      <c r="AE15" s="3" t="str">
        <f t="shared" si="25"/>
        <v/>
      </c>
      <c r="AF15" s="3" t="str">
        <f t="shared" si="25"/>
        <v/>
      </c>
      <c r="AG15" s="3" t="str">
        <f t="shared" si="25"/>
        <v/>
      </c>
      <c r="AH15" s="3" t="str">
        <f t="shared" si="10"/>
        <v/>
      </c>
      <c r="AI15" s="26" t="str">
        <f>IF(AB15&gt;0,HLOOKUP(AH15,AC15:AG29,7,FALSE),"")</f>
        <v/>
      </c>
      <c r="AJ15" s="3"/>
      <c r="AK15" s="3"/>
      <c r="AL15" s="25">
        <f t="shared" si="11"/>
        <v>0</v>
      </c>
      <c r="AM15" s="25">
        <f t="shared" si="12"/>
        <v>0</v>
      </c>
      <c r="AN15" s="25">
        <f t="shared" si="13"/>
        <v>0</v>
      </c>
      <c r="AO15" s="25">
        <f t="shared" si="14"/>
        <v>0</v>
      </c>
      <c r="AP15" s="3"/>
      <c r="AQ15" s="25">
        <f t="shared" si="15"/>
        <v>0</v>
      </c>
      <c r="AR15" s="3" t="str">
        <f t="shared" ref="AR15:AV15" si="26">IF(C15&gt;0,AR$21-$AQ15*FLOOR(AR$21/$AQ15,1),"")</f>
        <v/>
      </c>
      <c r="AS15" s="3" t="str">
        <f t="shared" si="26"/>
        <v/>
      </c>
      <c r="AT15" s="3" t="str">
        <f t="shared" si="26"/>
        <v/>
      </c>
      <c r="AU15" s="3" t="str">
        <f t="shared" si="26"/>
        <v/>
      </c>
      <c r="AV15" s="3" t="str">
        <f t="shared" si="26"/>
        <v/>
      </c>
      <c r="AW15" s="3" t="str">
        <f t="shared" si="17"/>
        <v/>
      </c>
      <c r="AX15" s="26" t="str">
        <f>IF(AQ15&gt;0,HLOOKUP(AW15,AR15:AV29,7,FALSE),"")</f>
        <v/>
      </c>
      <c r="AY15" s="3" t="str">
        <f t="shared" si="24"/>
        <v/>
      </c>
      <c r="AZ15" s="3" t="str">
        <f>IF(AQ15&gt;0,HLOOKUP(AY15,AR15:AV29,7,FALSE),"")</f>
        <v/>
      </c>
      <c r="BA15" s="3"/>
      <c r="BB15" s="3"/>
      <c r="BC15" s="3"/>
      <c r="BD15" s="3"/>
    </row>
    <row r="16" spans="1:56" ht="16.5" customHeight="1">
      <c r="A16" s="3"/>
      <c r="B16" s="16" t="s">
        <v>115</v>
      </c>
      <c r="C16" s="17"/>
      <c r="D16" s="17"/>
      <c r="E16" s="17"/>
      <c r="F16" s="17"/>
      <c r="G16" s="18"/>
      <c r="H16" s="19"/>
      <c r="I16" s="20"/>
      <c r="J16" s="21" t="str">
        <f t="shared" si="0"/>
        <v/>
      </c>
      <c r="K16" s="22">
        <f t="shared" si="1"/>
        <v>0</v>
      </c>
      <c r="L16" s="54"/>
      <c r="M16" s="55"/>
      <c r="N16" s="20"/>
      <c r="O16" s="21" t="str">
        <f t="shared" si="2"/>
        <v/>
      </c>
      <c r="P16" s="22">
        <f t="shared" si="3"/>
        <v>0</v>
      </c>
      <c r="Q16" s="54"/>
      <c r="R16" s="58">
        <v>0</v>
      </c>
      <c r="S16" s="23"/>
      <c r="T16" s="23"/>
      <c r="U16" s="23"/>
      <c r="V16" s="3" t="s">
        <v>47</v>
      </c>
      <c r="W16" s="23">
        <v>4.8400253889488836</v>
      </c>
      <c r="X16" s="24" t="str">
        <f t="shared" si="4"/>
        <v/>
      </c>
      <c r="Y16" s="25" t="str">
        <f t="shared" si="5"/>
        <v/>
      </c>
      <c r="Z16" s="24" t="str">
        <f t="shared" si="6"/>
        <v/>
      </c>
      <c r="AA16" s="24" t="str">
        <f t="shared" si="7"/>
        <v/>
      </c>
      <c r="AB16" s="25">
        <f t="shared" si="8"/>
        <v>0</v>
      </c>
      <c r="AC16" s="3" t="str">
        <f t="shared" ref="AC16:AG16" si="27">IF(C16&gt;0,AC$21-$AB16*FLOOR(AC$21/$AB16,1),"")</f>
        <v/>
      </c>
      <c r="AD16" s="3" t="str">
        <f t="shared" si="27"/>
        <v/>
      </c>
      <c r="AE16" s="3" t="str">
        <f t="shared" si="27"/>
        <v/>
      </c>
      <c r="AF16" s="3" t="str">
        <f t="shared" si="27"/>
        <v/>
      </c>
      <c r="AG16" s="3" t="str">
        <f t="shared" si="27"/>
        <v/>
      </c>
      <c r="AH16" s="3" t="str">
        <f t="shared" si="10"/>
        <v/>
      </c>
      <c r="AI16" s="26" t="str">
        <f>IF(AB16&gt;0,HLOOKUP(AH16,AC16:AG31,6,FALSE),"")</f>
        <v/>
      </c>
      <c r="AJ16" s="3"/>
      <c r="AK16" s="3"/>
      <c r="AL16" s="25">
        <f t="shared" si="11"/>
        <v>0</v>
      </c>
      <c r="AM16" s="25">
        <f t="shared" si="12"/>
        <v>0</v>
      </c>
      <c r="AN16" s="25">
        <f t="shared" si="13"/>
        <v>0</v>
      </c>
      <c r="AO16" s="25">
        <f t="shared" si="14"/>
        <v>0</v>
      </c>
      <c r="AP16" s="3"/>
      <c r="AQ16" s="25">
        <f t="shared" si="15"/>
        <v>0</v>
      </c>
      <c r="AR16" s="3" t="str">
        <f t="shared" ref="AR16:AV16" si="28">IF(C16&gt;0,AR$21-$AQ16*FLOOR(AR$21/$AQ16,1),"")</f>
        <v/>
      </c>
      <c r="AS16" s="3" t="str">
        <f t="shared" si="28"/>
        <v/>
      </c>
      <c r="AT16" s="3" t="str">
        <f t="shared" si="28"/>
        <v/>
      </c>
      <c r="AU16" s="3" t="str">
        <f t="shared" si="28"/>
        <v/>
      </c>
      <c r="AV16" s="3" t="str">
        <f t="shared" si="28"/>
        <v/>
      </c>
      <c r="AW16" s="3" t="str">
        <f t="shared" si="17"/>
        <v/>
      </c>
      <c r="AX16" s="26" t="str">
        <f>IF(AQ16&gt;0,HLOOKUP(AW16,AR16:AV31,6,FALSE),"")</f>
        <v/>
      </c>
      <c r="AY16" s="3" t="str">
        <f t="shared" si="24"/>
        <v/>
      </c>
      <c r="AZ16" s="3" t="str">
        <f>IF(AQ16&gt;0,HLOOKUP(AY16,AR16:AV31,6,FALSE),"")</f>
        <v/>
      </c>
      <c r="BA16" s="3"/>
      <c r="BB16" s="3"/>
      <c r="BC16" s="3"/>
      <c r="BD16" s="3"/>
    </row>
    <row r="17" spans="1:56" ht="16.5" customHeight="1">
      <c r="A17" s="3"/>
      <c r="B17" s="16" t="s">
        <v>116</v>
      </c>
      <c r="C17" s="17"/>
      <c r="D17" s="17"/>
      <c r="E17" s="17"/>
      <c r="F17" s="17"/>
      <c r="G17" s="18"/>
      <c r="H17" s="19"/>
      <c r="I17" s="20"/>
      <c r="J17" s="21" t="str">
        <f t="shared" si="0"/>
        <v/>
      </c>
      <c r="K17" s="22">
        <f t="shared" si="1"/>
        <v>0</v>
      </c>
      <c r="L17" s="54"/>
      <c r="M17" s="55"/>
      <c r="N17" s="20"/>
      <c r="O17" s="21" t="str">
        <f t="shared" si="2"/>
        <v/>
      </c>
      <c r="P17" s="22">
        <f t="shared" si="3"/>
        <v>0</v>
      </c>
      <c r="Q17" s="54"/>
      <c r="R17" s="58">
        <v>0</v>
      </c>
      <c r="S17" s="23"/>
      <c r="T17" s="23"/>
      <c r="U17" s="23"/>
      <c r="V17" s="3" t="s">
        <v>49</v>
      </c>
      <c r="W17" s="23">
        <v>6.3216658141373188</v>
      </c>
      <c r="X17" s="24" t="str">
        <f t="shared" si="4"/>
        <v/>
      </c>
      <c r="Y17" s="25" t="str">
        <f t="shared" si="5"/>
        <v/>
      </c>
      <c r="Z17" s="24" t="str">
        <f t="shared" si="6"/>
        <v/>
      </c>
      <c r="AA17" s="24" t="str">
        <f t="shared" si="7"/>
        <v/>
      </c>
      <c r="AB17" s="25">
        <f t="shared" si="8"/>
        <v>0</v>
      </c>
      <c r="AC17" s="3" t="str">
        <f t="shared" ref="AC17:AG17" si="29">IF(C17&gt;0,AC$21-$AB17*FLOOR(AC$21/$AB17,1),"")</f>
        <v/>
      </c>
      <c r="AD17" s="3" t="str">
        <f t="shared" si="29"/>
        <v/>
      </c>
      <c r="AE17" s="3" t="str">
        <f t="shared" si="29"/>
        <v/>
      </c>
      <c r="AF17" s="3" t="str">
        <f t="shared" si="29"/>
        <v/>
      </c>
      <c r="AG17" s="3" t="str">
        <f t="shared" si="29"/>
        <v/>
      </c>
      <c r="AH17" s="3" t="str">
        <f t="shared" si="10"/>
        <v/>
      </c>
      <c r="AI17" s="26" t="str">
        <f>IF(AB17&gt;0,HLOOKUP(AH17,AC17:AG33,5,FALSE),"")</f>
        <v/>
      </c>
      <c r="AJ17" s="3"/>
      <c r="AK17" s="3"/>
      <c r="AL17" s="25">
        <f t="shared" si="11"/>
        <v>0</v>
      </c>
      <c r="AM17" s="25">
        <f t="shared" si="12"/>
        <v>0</v>
      </c>
      <c r="AN17" s="25">
        <f t="shared" si="13"/>
        <v>0</v>
      </c>
      <c r="AO17" s="25">
        <f t="shared" si="14"/>
        <v>0</v>
      </c>
      <c r="AP17" s="3"/>
      <c r="AQ17" s="25">
        <f t="shared" si="15"/>
        <v>0</v>
      </c>
      <c r="AR17" s="3" t="str">
        <f t="shared" ref="AR17:AV17" si="30">IF(C17&gt;0,AR$21-$AQ17*FLOOR(AR$21/$AQ17,1),"")</f>
        <v/>
      </c>
      <c r="AS17" s="3" t="str">
        <f t="shared" si="30"/>
        <v/>
      </c>
      <c r="AT17" s="3" t="str">
        <f t="shared" si="30"/>
        <v/>
      </c>
      <c r="AU17" s="3" t="str">
        <f t="shared" si="30"/>
        <v/>
      </c>
      <c r="AV17" s="3" t="str">
        <f t="shared" si="30"/>
        <v/>
      </c>
      <c r="AW17" s="3" t="str">
        <f t="shared" si="17"/>
        <v/>
      </c>
      <c r="AX17" s="26" t="str">
        <f>IF(AQ17&gt;0,HLOOKUP(AW17,AR17:AV33,5,FALSE),"")</f>
        <v/>
      </c>
      <c r="AY17" s="3" t="str">
        <f t="shared" si="24"/>
        <v/>
      </c>
      <c r="AZ17" s="3" t="str">
        <f>IF(AQ17&gt;0,HLOOKUP(AY17,AR17:AV33,5,FALSE),"")</f>
        <v/>
      </c>
      <c r="BA17" s="3"/>
      <c r="BB17" s="3"/>
      <c r="BC17" s="3"/>
      <c r="BD17" s="3"/>
    </row>
    <row r="18" spans="1:56" ht="16.5" customHeight="1">
      <c r="A18" s="3"/>
      <c r="B18" s="16" t="s">
        <v>117</v>
      </c>
      <c r="C18" s="17"/>
      <c r="D18" s="17"/>
      <c r="E18" s="17"/>
      <c r="F18" s="17"/>
      <c r="G18" s="18"/>
      <c r="H18" s="19"/>
      <c r="I18" s="20"/>
      <c r="J18" s="21" t="str">
        <f t="shared" si="0"/>
        <v/>
      </c>
      <c r="K18" s="22">
        <f t="shared" si="1"/>
        <v>0</v>
      </c>
      <c r="L18" s="54"/>
      <c r="M18" s="55"/>
      <c r="N18" s="20"/>
      <c r="O18" s="21" t="str">
        <f t="shared" si="2"/>
        <v/>
      </c>
      <c r="P18" s="22">
        <f t="shared" si="3"/>
        <v>0</v>
      </c>
      <c r="Q18" s="54"/>
      <c r="R18" s="58">
        <v>0</v>
      </c>
      <c r="S18" s="23"/>
      <c r="T18" s="23"/>
      <c r="U18" s="23"/>
      <c r="V18" s="23"/>
      <c r="W18" s="23"/>
      <c r="X18" s="24">
        <f t="shared" ref="X18:Y18" si="31">SUM(X11:X17)</f>
        <v>284.47496163617933</v>
      </c>
      <c r="Y18" s="24">
        <f t="shared" si="31"/>
        <v>232.32121866954645</v>
      </c>
      <c r="Z18" s="24" t="str">
        <f t="shared" si="6"/>
        <v/>
      </c>
      <c r="AA18" s="24" t="str">
        <f t="shared" si="7"/>
        <v/>
      </c>
      <c r="AB18" s="25">
        <f t="shared" si="8"/>
        <v>0</v>
      </c>
      <c r="AC18" s="3" t="str">
        <f t="shared" ref="AC18:AG18" si="32">IF(C18&gt;0,AC$21-$AB18*FLOOR(AC$21/$AB18,1),"")</f>
        <v/>
      </c>
      <c r="AD18" s="3" t="str">
        <f t="shared" si="32"/>
        <v/>
      </c>
      <c r="AE18" s="3" t="str">
        <f t="shared" si="32"/>
        <v/>
      </c>
      <c r="AF18" s="3" t="str">
        <f t="shared" si="32"/>
        <v/>
      </c>
      <c r="AG18" s="3" t="str">
        <f t="shared" si="32"/>
        <v/>
      </c>
      <c r="AH18" s="3" t="str">
        <f t="shared" si="10"/>
        <v/>
      </c>
      <c r="AI18" s="26" t="str">
        <f>IF(AB18&gt;0,HLOOKUP(AH18,AC18:AG35,4,FALSE),"")</f>
        <v/>
      </c>
      <c r="AJ18" s="3"/>
      <c r="AK18" s="3"/>
      <c r="AL18" s="25">
        <f t="shared" si="11"/>
        <v>0</v>
      </c>
      <c r="AM18" s="25">
        <f t="shared" si="12"/>
        <v>0</v>
      </c>
      <c r="AN18" s="25">
        <f t="shared" si="13"/>
        <v>0</v>
      </c>
      <c r="AO18" s="25">
        <f t="shared" si="14"/>
        <v>0</v>
      </c>
      <c r="AP18" s="3"/>
      <c r="AQ18" s="25">
        <f t="shared" si="15"/>
        <v>0</v>
      </c>
      <c r="AR18" s="3" t="str">
        <f t="shared" ref="AR18:AV18" si="33">IF(C18&gt;0,AR$21-$AQ18*FLOOR(AR$21/$AQ18,1),"")</f>
        <v/>
      </c>
      <c r="AS18" s="3" t="str">
        <f t="shared" si="33"/>
        <v/>
      </c>
      <c r="AT18" s="3" t="str">
        <f t="shared" si="33"/>
        <v/>
      </c>
      <c r="AU18" s="3" t="str">
        <f t="shared" si="33"/>
        <v/>
      </c>
      <c r="AV18" s="3" t="str">
        <f t="shared" si="33"/>
        <v/>
      </c>
      <c r="AW18" s="3" t="str">
        <f t="shared" si="17"/>
        <v/>
      </c>
      <c r="AX18" s="26" t="str">
        <f>IF(AQ18&gt;0,HLOOKUP(AW18,AR18:AV35,4,FALSE),"")</f>
        <v/>
      </c>
      <c r="AY18" s="3" t="str">
        <f t="shared" si="24"/>
        <v/>
      </c>
      <c r="AZ18" s="3" t="str">
        <f>IF(AQ18&gt;0,HLOOKUP(AY18,AR18:AV35,4,FALSE),"")</f>
        <v/>
      </c>
      <c r="BA18" s="3"/>
      <c r="BB18" s="3"/>
      <c r="BC18" s="3"/>
      <c r="BD18" s="3"/>
    </row>
    <row r="19" spans="1:56" ht="16.5" customHeight="1">
      <c r="A19" s="3"/>
      <c r="B19" s="16" t="s">
        <v>118</v>
      </c>
      <c r="C19" s="17"/>
      <c r="D19" s="17"/>
      <c r="E19" s="17"/>
      <c r="F19" s="17"/>
      <c r="G19" s="18"/>
      <c r="H19" s="19"/>
      <c r="I19" s="20"/>
      <c r="J19" s="21" t="str">
        <f t="shared" si="0"/>
        <v/>
      </c>
      <c r="K19" s="22">
        <f t="shared" si="1"/>
        <v>0</v>
      </c>
      <c r="L19" s="54"/>
      <c r="M19" s="55"/>
      <c r="N19" s="20"/>
      <c r="O19" s="21" t="str">
        <f t="shared" si="2"/>
        <v/>
      </c>
      <c r="P19" s="22">
        <f t="shared" si="3"/>
        <v>0</v>
      </c>
      <c r="Q19" s="54"/>
      <c r="R19" s="58">
        <v>0</v>
      </c>
      <c r="S19" s="23"/>
      <c r="T19" s="23"/>
      <c r="U19" s="23"/>
      <c r="V19" s="23"/>
      <c r="W19" s="23"/>
      <c r="X19" s="24">
        <f>X18+Y18</f>
        <v>516.79618030572578</v>
      </c>
      <c r="Y19" s="23"/>
      <c r="Z19" s="24" t="str">
        <f t="shared" si="6"/>
        <v/>
      </c>
      <c r="AA19" s="24" t="str">
        <f t="shared" si="7"/>
        <v/>
      </c>
      <c r="AB19" s="25">
        <f t="shared" si="8"/>
        <v>0</v>
      </c>
      <c r="AC19" s="3" t="str">
        <f t="shared" ref="AC19:AG19" si="34">IF(C19&gt;0,AC$21-$AB19*FLOOR(AC$21/$AB19,1),"")</f>
        <v/>
      </c>
      <c r="AD19" s="3" t="str">
        <f t="shared" si="34"/>
        <v/>
      </c>
      <c r="AE19" s="3" t="str">
        <f t="shared" si="34"/>
        <v/>
      </c>
      <c r="AF19" s="3" t="str">
        <f t="shared" si="34"/>
        <v/>
      </c>
      <c r="AG19" s="3" t="str">
        <f t="shared" si="34"/>
        <v/>
      </c>
      <c r="AH19" s="3" t="str">
        <f t="shared" si="10"/>
        <v/>
      </c>
      <c r="AI19" s="26" t="str">
        <f>IF(AB19&gt;0,HLOOKUP(AH19,AC19:AG37,3,FALSE),"")</f>
        <v/>
      </c>
      <c r="AJ19" s="3"/>
      <c r="AK19" s="3"/>
      <c r="AL19" s="25">
        <f t="shared" si="11"/>
        <v>0</v>
      </c>
      <c r="AM19" s="25">
        <f t="shared" si="12"/>
        <v>0</v>
      </c>
      <c r="AN19" s="25">
        <f t="shared" si="13"/>
        <v>0</v>
      </c>
      <c r="AO19" s="25">
        <f t="shared" si="14"/>
        <v>0</v>
      </c>
      <c r="AP19" s="3"/>
      <c r="AQ19" s="25">
        <f t="shared" si="15"/>
        <v>0</v>
      </c>
      <c r="AR19" s="3" t="str">
        <f t="shared" ref="AR19:AV19" si="35">IF(C19&gt;0,AR$21-$AQ19*FLOOR(AR$21/$AQ19,1),"")</f>
        <v/>
      </c>
      <c r="AS19" s="3" t="str">
        <f t="shared" si="35"/>
        <v/>
      </c>
      <c r="AT19" s="3" t="str">
        <f t="shared" si="35"/>
        <v/>
      </c>
      <c r="AU19" s="3" t="str">
        <f t="shared" si="35"/>
        <v/>
      </c>
      <c r="AV19" s="3" t="str">
        <f t="shared" si="35"/>
        <v/>
      </c>
      <c r="AW19" s="3" t="str">
        <f t="shared" si="17"/>
        <v/>
      </c>
      <c r="AX19" s="26" t="str">
        <f>IF(AQ19&gt;0,HLOOKUP(AW19,AR19:AV37,3,FALSE),"")</f>
        <v/>
      </c>
      <c r="AY19" s="3" t="str">
        <f t="shared" si="24"/>
        <v/>
      </c>
      <c r="AZ19" s="3" t="str">
        <f>IF(AQ19&gt;0,HLOOKUP(AY19,AR19:AV37,3,FALSE),"")</f>
        <v/>
      </c>
      <c r="BA19" s="3"/>
      <c r="BB19" s="3"/>
      <c r="BC19" s="3"/>
      <c r="BD19" s="3"/>
    </row>
    <row r="20" spans="1:56" ht="16.5" customHeight="1">
      <c r="A20" s="3"/>
      <c r="B20" s="16" t="s">
        <v>119</v>
      </c>
      <c r="C20" s="27"/>
      <c r="D20" s="27"/>
      <c r="E20" s="27"/>
      <c r="F20" s="27"/>
      <c r="G20" s="28"/>
      <c r="H20" s="29"/>
      <c r="I20" s="30"/>
      <c r="J20" s="31" t="str">
        <f t="shared" si="0"/>
        <v/>
      </c>
      <c r="K20" s="22">
        <f t="shared" si="1"/>
        <v>0</v>
      </c>
      <c r="L20" s="56"/>
      <c r="M20" s="57"/>
      <c r="N20" s="30"/>
      <c r="O20" s="31" t="str">
        <f t="shared" si="2"/>
        <v/>
      </c>
      <c r="P20" s="22">
        <f t="shared" si="3"/>
        <v>0</v>
      </c>
      <c r="Q20" s="56"/>
      <c r="R20" s="59">
        <v>0</v>
      </c>
      <c r="S20" s="23"/>
      <c r="T20" s="23"/>
      <c r="U20" s="23"/>
      <c r="V20" s="23"/>
      <c r="W20" s="23"/>
      <c r="X20" s="23" t="s">
        <v>30</v>
      </c>
      <c r="Y20" s="24">
        <f>CEILING(0.013*X19,0.5)</f>
        <v>7</v>
      </c>
      <c r="Z20" s="24" t="str">
        <f t="shared" si="6"/>
        <v/>
      </c>
      <c r="AA20" s="24" t="str">
        <f t="shared" si="7"/>
        <v/>
      </c>
      <c r="AB20" s="25">
        <f t="shared" si="8"/>
        <v>0</v>
      </c>
      <c r="AC20" s="3" t="str">
        <f t="shared" ref="AC20:AG20" si="36">IF(C20&gt;0,AC$21-$AB20*FLOOR(AC$21/$AB20,1),"")</f>
        <v/>
      </c>
      <c r="AD20" s="3" t="str">
        <f t="shared" si="36"/>
        <v/>
      </c>
      <c r="AE20" s="3" t="str">
        <f t="shared" si="36"/>
        <v/>
      </c>
      <c r="AF20" s="3" t="str">
        <f t="shared" si="36"/>
        <v/>
      </c>
      <c r="AG20" s="3" t="str">
        <f t="shared" si="36"/>
        <v/>
      </c>
      <c r="AH20" s="3" t="str">
        <f t="shared" si="10"/>
        <v/>
      </c>
      <c r="AI20" s="26" t="str">
        <f>IF(AB20&gt;0,HLOOKUP(AH20,AC20:AG39,2,FALSE),"")</f>
        <v/>
      </c>
      <c r="AJ20" s="3"/>
      <c r="AK20" s="3"/>
      <c r="AL20" s="25">
        <f t="shared" si="11"/>
        <v>0</v>
      </c>
      <c r="AM20" s="25">
        <f t="shared" si="12"/>
        <v>0</v>
      </c>
      <c r="AN20" s="25">
        <f t="shared" si="13"/>
        <v>0</v>
      </c>
      <c r="AO20" s="25">
        <f t="shared" si="14"/>
        <v>0</v>
      </c>
      <c r="AP20" s="3"/>
      <c r="AQ20" s="25">
        <f t="shared" si="15"/>
        <v>0</v>
      </c>
      <c r="AR20" s="3" t="str">
        <f t="shared" ref="AR20:AV20" si="37">IF(C20&gt;0,AR$21-$AQ20*FLOOR(AR$21/$AQ20,1),"")</f>
        <v/>
      </c>
      <c r="AS20" s="3" t="str">
        <f t="shared" si="37"/>
        <v/>
      </c>
      <c r="AT20" s="3" t="str">
        <f t="shared" si="37"/>
        <v/>
      </c>
      <c r="AU20" s="3" t="str">
        <f t="shared" si="37"/>
        <v/>
      </c>
      <c r="AV20" s="3" t="str">
        <f t="shared" si="37"/>
        <v/>
      </c>
      <c r="AW20" s="3" t="str">
        <f t="shared" si="17"/>
        <v/>
      </c>
      <c r="AX20" s="26" t="str">
        <f>IF(AQ20&gt;0,HLOOKUP(AW20,AR20:AV39,2,FALSE),"")</f>
        <v/>
      </c>
      <c r="AY20" s="3" t="str">
        <f t="shared" si="24"/>
        <v/>
      </c>
      <c r="AZ20" s="3" t="str">
        <f>IF(AQ20&gt;0,HLOOKUP(AY20,AR20:AV39,2,FALSE),"")</f>
        <v/>
      </c>
      <c r="BA20" s="3"/>
      <c r="BB20" s="3"/>
      <c r="BC20" s="3"/>
      <c r="BD20" s="3"/>
    </row>
    <row r="21" spans="1:56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6</v>
      </c>
      <c r="AD21" s="3">
        <f t="shared" ref="AD21:AG21" si="38">AC21+1.5</f>
        <v>7.5</v>
      </c>
      <c r="AE21" s="3">
        <f t="shared" si="38"/>
        <v>9</v>
      </c>
      <c r="AF21" s="3">
        <f t="shared" si="38"/>
        <v>10.5</v>
      </c>
      <c r="AG21" s="3">
        <f t="shared" si="38"/>
        <v>12</v>
      </c>
      <c r="AH21" s="3"/>
      <c r="AI21" s="26"/>
      <c r="AJ21" s="3"/>
      <c r="AK21" s="3"/>
      <c r="AL21" s="25">
        <f t="shared" ref="AL21:AN21" si="39">SUM(AL11:AL20)</f>
        <v>0.96</v>
      </c>
      <c r="AM21" s="25">
        <f t="shared" si="39"/>
        <v>0.46799999999999997</v>
      </c>
      <c r="AN21" s="25">
        <f t="shared" si="39"/>
        <v>-0.6359999999999999</v>
      </c>
      <c r="AO21" s="25"/>
      <c r="AP21" s="3"/>
      <c r="AQ21" s="3"/>
      <c r="AR21" s="3">
        <v>6</v>
      </c>
      <c r="AS21" s="3">
        <f t="shared" ref="AS21:AV21" si="40">AR21+1.5</f>
        <v>7.5</v>
      </c>
      <c r="AT21" s="3">
        <f t="shared" si="40"/>
        <v>9</v>
      </c>
      <c r="AU21" s="3">
        <f t="shared" si="40"/>
        <v>10.5</v>
      </c>
      <c r="AV21" s="3">
        <f t="shared" si="40"/>
        <v>12</v>
      </c>
      <c r="AW21" s="3"/>
      <c r="AX21" s="3"/>
      <c r="AY21" s="3"/>
      <c r="AZ21" s="3"/>
      <c r="BA21" s="3"/>
      <c r="BB21" s="3"/>
      <c r="BC21" s="3"/>
      <c r="BD21" s="3"/>
    </row>
    <row r="22" spans="1:56" ht="16.5" customHeight="1">
      <c r="A22" s="3"/>
      <c r="B22" s="3"/>
      <c r="C22" s="3"/>
      <c r="D22" s="3"/>
      <c r="E22" s="3"/>
      <c r="F22" s="142" t="s">
        <v>53</v>
      </c>
      <c r="G22" s="99"/>
      <c r="H22" s="99"/>
      <c r="I22" s="99"/>
      <c r="J22" s="99"/>
      <c r="K22" s="100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25">
        <f>VLOOKUP(G8,AJ11:AK14,2,FALSE)</f>
        <v>12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</row>
    <row r="23" spans="1:56" ht="16.5" customHeight="1">
      <c r="A23" s="3"/>
      <c r="B23" s="3"/>
      <c r="C23" s="3"/>
      <c r="D23" s="3"/>
      <c r="E23" s="3"/>
      <c r="F23" s="143"/>
      <c r="G23" s="144"/>
      <c r="H23" s="144"/>
      <c r="I23" s="144"/>
      <c r="J23" s="144"/>
      <c r="K23" s="14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54</v>
      </c>
      <c r="AL23" s="3">
        <f>CEILING(AL22*AL21,1)</f>
        <v>12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</row>
    <row r="24" spans="1:56" ht="16.5" customHeight="1">
      <c r="A24" s="3"/>
      <c r="B24" s="3"/>
      <c r="C24" s="3"/>
      <c r="D24" s="3"/>
      <c r="E24" s="3"/>
      <c r="F24" s="32" t="s">
        <v>3</v>
      </c>
      <c r="G24" s="32" t="s">
        <v>55</v>
      </c>
      <c r="H24" s="32" t="s">
        <v>56</v>
      </c>
      <c r="I24" s="32" t="s">
        <v>57</v>
      </c>
      <c r="J24" s="32" t="s">
        <v>58</v>
      </c>
      <c r="K24" s="32" t="s">
        <v>59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60</v>
      </c>
      <c r="AL24" s="25">
        <f>AL21/2</f>
        <v>0.48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</row>
    <row r="25" spans="1:56" ht="16.5" customHeight="1">
      <c r="A25" s="3"/>
      <c r="B25" s="3"/>
      <c r="C25" s="3"/>
      <c r="D25" s="3"/>
      <c r="E25" s="3"/>
      <c r="F25" s="33"/>
      <c r="G25" s="34" t="str">
        <f>'Materials Price List'!A8</f>
        <v>Cement</v>
      </c>
      <c r="H25" s="34">
        <f t="shared" ref="H25:H27" si="41">AL23</f>
        <v>12</v>
      </c>
      <c r="I25" s="35" t="s">
        <v>61</v>
      </c>
      <c r="J25" s="36">
        <f>IF(H25="","",VLOOKUP(G25,'Materials Price List'!$A$8:$B$46,2,FALSE))</f>
        <v>220</v>
      </c>
      <c r="K25" s="36">
        <f t="shared" ref="K25:K48" si="42">IF(H25="","",H25*J25)</f>
        <v>2640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 t="s">
        <v>62</v>
      </c>
      <c r="AL25" s="25">
        <f>AL21</f>
        <v>0.96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</row>
    <row r="26" spans="1:56" ht="16.5" customHeight="1">
      <c r="A26" s="3"/>
      <c r="B26" s="3"/>
      <c r="C26" s="3"/>
      <c r="D26" s="3"/>
      <c r="E26" s="3"/>
      <c r="F26" s="33"/>
      <c r="G26" s="34" t="str">
        <f>'Materials Price List'!A9</f>
        <v>Sand</v>
      </c>
      <c r="H26" s="35">
        <f t="shared" si="41"/>
        <v>0.48</v>
      </c>
      <c r="I26" s="34" t="s">
        <v>63</v>
      </c>
      <c r="J26" s="36">
        <f>IF(H26="","",VLOOKUP(G26,'Materials Price List'!$A$8:$B$46,2,FALSE))</f>
        <v>875</v>
      </c>
      <c r="K26" s="36">
        <f t="shared" si="42"/>
        <v>420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</row>
    <row r="27" spans="1:56" ht="16.5" customHeight="1">
      <c r="A27" s="3"/>
      <c r="B27" s="3"/>
      <c r="C27" s="3"/>
      <c r="D27" s="3"/>
      <c r="E27" s="3"/>
      <c r="F27" s="33"/>
      <c r="G27" s="34" t="str">
        <f>'Materials Price List'!A10</f>
        <v>Gravel</v>
      </c>
      <c r="H27" s="35">
        <f t="shared" si="41"/>
        <v>0.96</v>
      </c>
      <c r="I27" s="34" t="s">
        <v>63</v>
      </c>
      <c r="J27" s="36">
        <f>IF(H27="","",VLOOKUP(G27,'Materials Price List'!$A$8:$B$46,2,FALSE))</f>
        <v>1875</v>
      </c>
      <c r="K27" s="36">
        <f t="shared" si="42"/>
        <v>1800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</row>
    <row r="28" spans="1:56" ht="16.5" customHeight="1">
      <c r="A28" s="3"/>
      <c r="B28" s="3"/>
      <c r="C28" s="3"/>
      <c r="D28" s="3"/>
      <c r="E28" s="3"/>
      <c r="F28" s="33"/>
      <c r="G28" s="34" t="s">
        <v>30</v>
      </c>
      <c r="H28" s="35">
        <f>Y20</f>
        <v>7</v>
      </c>
      <c r="I28" s="34" t="s">
        <v>64</v>
      </c>
      <c r="J28" s="36">
        <f>IF(H28="","",VLOOKUP(G28,'Materials Price List'!$A$8:$B$46,2,FALSE))</f>
        <v>95</v>
      </c>
      <c r="K28" s="36">
        <f t="shared" si="42"/>
        <v>665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</row>
    <row r="29" spans="1:56" ht="16.5" customHeight="1">
      <c r="A29" s="37"/>
      <c r="B29" s="37"/>
      <c r="C29" s="37"/>
      <c r="D29" s="37"/>
      <c r="E29" s="37"/>
      <c r="F29" s="38" t="str">
        <f>IF(C11&gt;0,B11,"")</f>
        <v>C-1</v>
      </c>
      <c r="G29" s="39" t="str">
        <f>IF(C11&gt;0,CONCATENATE(I11," X ",J11,"m"),"")</f>
        <v>16mm Ø X 6m</v>
      </c>
      <c r="H29" s="40">
        <f>Z11</f>
        <v>30</v>
      </c>
      <c r="I29" s="40" t="str">
        <f t="shared" ref="I29:I48" si="43">IF(H29="","","pcs")</f>
        <v>pcs</v>
      </c>
      <c r="J29" s="41">
        <f>IF(H29="","",VLOOKUP(G29,'Materials Price List'!$A$12:$B$46,2))</f>
        <v>419.47183098591552</v>
      </c>
      <c r="K29" s="41">
        <f t="shared" si="42"/>
        <v>12584.154929577466</v>
      </c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</row>
    <row r="30" spans="1:56" ht="16.5" customHeight="1">
      <c r="A30" s="37"/>
      <c r="B30" s="37"/>
      <c r="C30" s="37"/>
      <c r="D30" s="37"/>
      <c r="E30" s="37"/>
      <c r="F30" s="42" t="str">
        <f>F29</f>
        <v>C-1</v>
      </c>
      <c r="G30" s="39" t="str">
        <f>IF(C11&gt;0,CONCATENATE(N11," X ",O11,"m"),"")</f>
        <v>10mm Ø X 10.5m</v>
      </c>
      <c r="H30" s="40">
        <f>AA11</f>
        <v>14</v>
      </c>
      <c r="I30" s="40" t="str">
        <f t="shared" si="43"/>
        <v>pcs</v>
      </c>
      <c r="J30" s="41">
        <f>IF(H30="","",VLOOKUP(G30,'Materials Price List'!$A$12:$B$46,2))</f>
        <v>288.16901408450707</v>
      </c>
      <c r="K30" s="41">
        <f t="shared" si="42"/>
        <v>4034.3661971830988</v>
      </c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</row>
    <row r="31" spans="1:56" ht="16.5" customHeight="1">
      <c r="A31" s="37"/>
      <c r="B31" s="37"/>
      <c r="C31" s="37"/>
      <c r="D31" s="37"/>
      <c r="E31" s="37"/>
      <c r="F31" s="38" t="str">
        <f>IF(C12&gt;0,B12,"")</f>
        <v/>
      </c>
      <c r="G31" s="39" t="str">
        <f>IF(C12&gt;0,CONCATENATE(I12," X ",J12,"m"),"")</f>
        <v/>
      </c>
      <c r="H31" s="40" t="str">
        <f>Z12</f>
        <v/>
      </c>
      <c r="I31" s="40" t="str">
        <f t="shared" si="43"/>
        <v/>
      </c>
      <c r="J31" s="41" t="str">
        <f>IF(H31="","",VLOOKUP(G31,'Materials Price List'!$A$12:$B$46,2))</f>
        <v/>
      </c>
      <c r="K31" s="41" t="str">
        <f t="shared" si="42"/>
        <v/>
      </c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</row>
    <row r="32" spans="1:56" ht="16.5" customHeight="1">
      <c r="A32" s="37"/>
      <c r="B32" s="37"/>
      <c r="C32" s="37"/>
      <c r="D32" s="37"/>
      <c r="E32" s="37"/>
      <c r="F32" s="42" t="str">
        <f>F31</f>
        <v/>
      </c>
      <c r="G32" s="39" t="str">
        <f>IF(C12&gt;0,CONCATENATE(N12," X ",O12,"m"),"")</f>
        <v/>
      </c>
      <c r="H32" s="40" t="str">
        <f>AA12</f>
        <v/>
      </c>
      <c r="I32" s="40" t="str">
        <f t="shared" si="43"/>
        <v/>
      </c>
      <c r="J32" s="41" t="str">
        <f>IF(H32="","",VLOOKUP(G32,'Materials Price List'!$A$12:$B$46,2))</f>
        <v/>
      </c>
      <c r="K32" s="41" t="str">
        <f t="shared" si="42"/>
        <v/>
      </c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</row>
    <row r="33" spans="1:56" ht="16.5" customHeight="1">
      <c r="A33" s="37"/>
      <c r="B33" s="37"/>
      <c r="C33" s="37"/>
      <c r="D33" s="37"/>
      <c r="E33" s="37"/>
      <c r="F33" s="38" t="str">
        <f>IF(C13&gt;0,B13,"")</f>
        <v/>
      </c>
      <c r="G33" s="39" t="str">
        <f>IF(C13&gt;0,CONCATENATE(I13," X ",J13,"m"),"")</f>
        <v/>
      </c>
      <c r="H33" s="40" t="str">
        <f>Z13</f>
        <v/>
      </c>
      <c r="I33" s="40" t="str">
        <f t="shared" si="43"/>
        <v/>
      </c>
      <c r="J33" s="41" t="str">
        <f>IF(H33="","",VLOOKUP(G33,'Materials Price List'!$A$12:$B$46,2))</f>
        <v/>
      </c>
      <c r="K33" s="41" t="str">
        <f t="shared" si="42"/>
        <v/>
      </c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</row>
    <row r="34" spans="1:56" ht="16.5" customHeight="1">
      <c r="A34" s="37"/>
      <c r="B34" s="37"/>
      <c r="C34" s="37"/>
      <c r="D34" s="37"/>
      <c r="E34" s="37"/>
      <c r="F34" s="42" t="str">
        <f>F33</f>
        <v/>
      </c>
      <c r="G34" s="39" t="str">
        <f>IF(C13&gt;0,CONCATENATE(N13," X ",O13,"m"),"")</f>
        <v/>
      </c>
      <c r="H34" s="40" t="str">
        <f>AA13</f>
        <v/>
      </c>
      <c r="I34" s="40" t="str">
        <f t="shared" si="43"/>
        <v/>
      </c>
      <c r="J34" s="41" t="str">
        <f>IF(H34="","",VLOOKUP(G34,'Materials Price List'!$A$12:$B$46,2))</f>
        <v/>
      </c>
      <c r="K34" s="41" t="str">
        <f t="shared" si="42"/>
        <v/>
      </c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</row>
    <row r="35" spans="1:56" ht="16.5" customHeight="1">
      <c r="A35" s="37"/>
      <c r="B35" s="37"/>
      <c r="C35" s="37"/>
      <c r="D35" s="37"/>
      <c r="E35" s="37"/>
      <c r="F35" s="38" t="str">
        <f>IF(C14&gt;0,B14,"")</f>
        <v/>
      </c>
      <c r="G35" s="39" t="str">
        <f>IF(C14&gt;0,CONCATENATE(I14," X ",J14,"m"),"")</f>
        <v/>
      </c>
      <c r="H35" s="40" t="str">
        <f>Z14</f>
        <v/>
      </c>
      <c r="I35" s="40" t="str">
        <f t="shared" si="43"/>
        <v/>
      </c>
      <c r="J35" s="41" t="str">
        <f>IF(H35="","",VLOOKUP(G35,'Materials Price List'!$A$12:$B$46,2))</f>
        <v/>
      </c>
      <c r="K35" s="41" t="str">
        <f t="shared" si="42"/>
        <v/>
      </c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</row>
    <row r="36" spans="1:56" ht="16.5" customHeight="1">
      <c r="A36" s="37"/>
      <c r="B36" s="37"/>
      <c r="C36" s="37"/>
      <c r="D36" s="37"/>
      <c r="E36" s="37"/>
      <c r="F36" s="42" t="str">
        <f>F35</f>
        <v/>
      </c>
      <c r="G36" s="39" t="str">
        <f>IF(C14&gt;0,CONCATENATE(N14," X ",O14,"m"),"")</f>
        <v/>
      </c>
      <c r="H36" s="40" t="str">
        <f>AA14</f>
        <v/>
      </c>
      <c r="I36" s="40" t="str">
        <f t="shared" si="43"/>
        <v/>
      </c>
      <c r="J36" s="41" t="str">
        <f>IF(H36="","",VLOOKUP(G36,'Materials Price List'!$A$12:$B$46,2))</f>
        <v/>
      </c>
      <c r="K36" s="41" t="str">
        <f t="shared" si="42"/>
        <v/>
      </c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</row>
    <row r="37" spans="1:56" ht="16.5" customHeight="1">
      <c r="A37" s="37"/>
      <c r="B37" s="37"/>
      <c r="C37" s="37"/>
      <c r="D37" s="37"/>
      <c r="E37" s="37"/>
      <c r="F37" s="38" t="str">
        <f>IF(C15&gt;0,B15,"")</f>
        <v/>
      </c>
      <c r="G37" s="39" t="str">
        <f>IF(C15&gt;0,CONCATENATE(I15," X ",J15,"m"),"")</f>
        <v/>
      </c>
      <c r="H37" s="40" t="str">
        <f>Z15</f>
        <v/>
      </c>
      <c r="I37" s="40" t="str">
        <f t="shared" si="43"/>
        <v/>
      </c>
      <c r="J37" s="41" t="str">
        <f>IF(H37="","",VLOOKUP(G37,'Materials Price List'!$A$12:$B$46,2))</f>
        <v/>
      </c>
      <c r="K37" s="41" t="str">
        <f t="shared" si="42"/>
        <v/>
      </c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</row>
    <row r="38" spans="1:56" ht="16.5" customHeight="1">
      <c r="A38" s="37"/>
      <c r="B38" s="37"/>
      <c r="C38" s="37"/>
      <c r="D38" s="37"/>
      <c r="E38" s="37"/>
      <c r="F38" s="42" t="str">
        <f>F37</f>
        <v/>
      </c>
      <c r="G38" s="39" t="str">
        <f>IF(C15&gt;0,CONCATENATE(N15," X ",O15,"m"),"")</f>
        <v/>
      </c>
      <c r="H38" s="40" t="str">
        <f>AA15</f>
        <v/>
      </c>
      <c r="I38" s="40" t="str">
        <f t="shared" si="43"/>
        <v/>
      </c>
      <c r="J38" s="41" t="str">
        <f>IF(H38="","",VLOOKUP(G38,'Materials Price List'!$A$12:$B$46,2))</f>
        <v/>
      </c>
      <c r="K38" s="41" t="str">
        <f t="shared" si="42"/>
        <v/>
      </c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</row>
    <row r="39" spans="1:56" ht="16.5" customHeight="1">
      <c r="A39" s="37"/>
      <c r="B39" s="37"/>
      <c r="C39" s="37"/>
      <c r="D39" s="37"/>
      <c r="E39" s="37"/>
      <c r="F39" s="38" t="str">
        <f>IF(C16&gt;0,B16,"")</f>
        <v/>
      </c>
      <c r="G39" s="39" t="str">
        <f>IF(C16&gt;0,CONCATENATE(I16," X ",J16,"m"),"")</f>
        <v/>
      </c>
      <c r="H39" s="40" t="str">
        <f>Z16</f>
        <v/>
      </c>
      <c r="I39" s="40" t="str">
        <f t="shared" si="43"/>
        <v/>
      </c>
      <c r="J39" s="41" t="str">
        <f>IF(H39="","",VLOOKUP(G39,'Materials Price List'!$A$12:$B$46,2))</f>
        <v/>
      </c>
      <c r="K39" s="41" t="str">
        <f t="shared" si="42"/>
        <v/>
      </c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</row>
    <row r="40" spans="1:56" ht="16.5" customHeight="1">
      <c r="A40" s="37"/>
      <c r="B40" s="37"/>
      <c r="C40" s="37"/>
      <c r="D40" s="37"/>
      <c r="E40" s="37"/>
      <c r="F40" s="42" t="str">
        <f>F39</f>
        <v/>
      </c>
      <c r="G40" s="39" t="str">
        <f>IF(C16&gt;0,CONCATENATE(N16," X ",O16,"m"),"")</f>
        <v/>
      </c>
      <c r="H40" s="40" t="str">
        <f>AA16</f>
        <v/>
      </c>
      <c r="I40" s="40" t="str">
        <f t="shared" si="43"/>
        <v/>
      </c>
      <c r="J40" s="41" t="str">
        <f>IF(H40="","",VLOOKUP(G40,'Materials Price List'!$A$12:$B$46,2))</f>
        <v/>
      </c>
      <c r="K40" s="41" t="str">
        <f t="shared" si="42"/>
        <v/>
      </c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</row>
    <row r="41" spans="1:56" ht="16.5" customHeight="1">
      <c r="A41" s="37"/>
      <c r="B41" s="37"/>
      <c r="C41" s="37"/>
      <c r="D41" s="37"/>
      <c r="E41" s="37"/>
      <c r="F41" s="38" t="str">
        <f>IF(C17&gt;0,B17,"")</f>
        <v/>
      </c>
      <c r="G41" s="39" t="str">
        <f>IF(C17&gt;0,CONCATENATE(I17," X ",J17,"m"),"")</f>
        <v/>
      </c>
      <c r="H41" s="40" t="str">
        <f>Z17</f>
        <v/>
      </c>
      <c r="I41" s="40" t="str">
        <f t="shared" si="43"/>
        <v/>
      </c>
      <c r="J41" s="41" t="str">
        <f>IF(H41="","",VLOOKUP(G41,'Materials Price List'!$A$12:$B$46,2))</f>
        <v/>
      </c>
      <c r="K41" s="41" t="str">
        <f t="shared" si="42"/>
        <v/>
      </c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</row>
    <row r="42" spans="1:56" ht="16.5" customHeight="1">
      <c r="A42" s="37"/>
      <c r="B42" s="37"/>
      <c r="C42" s="37"/>
      <c r="D42" s="37"/>
      <c r="E42" s="37"/>
      <c r="F42" s="42" t="str">
        <f>F41</f>
        <v/>
      </c>
      <c r="G42" s="39" t="str">
        <f>IF(C17&gt;0,CONCATENATE(N17," X ",O17,"m"),"")</f>
        <v/>
      </c>
      <c r="H42" s="40" t="str">
        <f>AA17</f>
        <v/>
      </c>
      <c r="I42" s="40" t="str">
        <f t="shared" si="43"/>
        <v/>
      </c>
      <c r="J42" s="41" t="str">
        <f>IF(H42="","",VLOOKUP(G42,'Materials Price List'!$A$12:$B$46,2))</f>
        <v/>
      </c>
      <c r="K42" s="41" t="str">
        <f t="shared" si="42"/>
        <v/>
      </c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</row>
    <row r="43" spans="1:56" ht="16.5" customHeight="1">
      <c r="A43" s="37"/>
      <c r="B43" s="37"/>
      <c r="C43" s="37"/>
      <c r="D43" s="37"/>
      <c r="E43" s="37"/>
      <c r="F43" s="38" t="str">
        <f>IF(C18&gt;0,B18,"")</f>
        <v/>
      </c>
      <c r="G43" s="39" t="str">
        <f>IF(C18&gt;0,CONCATENATE(I18," X ",J18,"m"),"")</f>
        <v/>
      </c>
      <c r="H43" s="40" t="str">
        <f>Z18</f>
        <v/>
      </c>
      <c r="I43" s="40" t="str">
        <f t="shared" si="43"/>
        <v/>
      </c>
      <c r="J43" s="41" t="str">
        <f>IF(H43="","",VLOOKUP(G43,'Materials Price List'!$A$12:$B$46,2))</f>
        <v/>
      </c>
      <c r="K43" s="41" t="str">
        <f t="shared" si="42"/>
        <v/>
      </c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</row>
    <row r="44" spans="1:56" ht="16.5" customHeight="1">
      <c r="A44" s="37"/>
      <c r="B44" s="37"/>
      <c r="C44" s="37"/>
      <c r="D44" s="37"/>
      <c r="E44" s="37"/>
      <c r="F44" s="42" t="str">
        <f>F43</f>
        <v/>
      </c>
      <c r="G44" s="39" t="str">
        <f>IF(C18&gt;0,CONCATENATE(N18," X ",O18,"m"),"")</f>
        <v/>
      </c>
      <c r="H44" s="40" t="str">
        <f>AA18</f>
        <v/>
      </c>
      <c r="I44" s="40" t="str">
        <f t="shared" si="43"/>
        <v/>
      </c>
      <c r="J44" s="41" t="str">
        <f>IF(H44="","",VLOOKUP(G44,'Materials Price List'!$A$12:$B$46,2))</f>
        <v/>
      </c>
      <c r="K44" s="41" t="str">
        <f t="shared" si="42"/>
        <v/>
      </c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</row>
    <row r="45" spans="1:56" ht="16.5" customHeight="1">
      <c r="A45" s="37"/>
      <c r="B45" s="37"/>
      <c r="C45" s="37"/>
      <c r="D45" s="37"/>
      <c r="E45" s="37"/>
      <c r="F45" s="38" t="str">
        <f>IF(C19&gt;0,B19,"")</f>
        <v/>
      </c>
      <c r="G45" s="39" t="str">
        <f>IF(C19&gt;0,CONCATENATE(I19," X ",J19,"m"),"")</f>
        <v/>
      </c>
      <c r="H45" s="40" t="str">
        <f>Z19</f>
        <v/>
      </c>
      <c r="I45" s="40" t="str">
        <f t="shared" si="43"/>
        <v/>
      </c>
      <c r="J45" s="41" t="str">
        <f>IF(H45="","",VLOOKUP(G45,'Materials Price List'!$A$12:$B$46,2))</f>
        <v/>
      </c>
      <c r="K45" s="41" t="str">
        <f t="shared" si="42"/>
        <v/>
      </c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</row>
    <row r="46" spans="1:56" ht="16.5" customHeight="1">
      <c r="A46" s="37"/>
      <c r="B46" s="37"/>
      <c r="C46" s="37"/>
      <c r="D46" s="37"/>
      <c r="E46" s="37"/>
      <c r="F46" s="42" t="str">
        <f>F45</f>
        <v/>
      </c>
      <c r="G46" s="39" t="str">
        <f>IF(C19&gt;0,CONCATENATE(N19," X ",O19,"m"),"")</f>
        <v/>
      </c>
      <c r="H46" s="40" t="str">
        <f>AA19</f>
        <v/>
      </c>
      <c r="I46" s="40" t="str">
        <f t="shared" si="43"/>
        <v/>
      </c>
      <c r="J46" s="41" t="str">
        <f>IF(H46="","",VLOOKUP(G46,'Materials Price List'!$A$12:$B$46,2))</f>
        <v/>
      </c>
      <c r="K46" s="41" t="str">
        <f t="shared" si="42"/>
        <v/>
      </c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</row>
    <row r="47" spans="1:56" ht="16.5" customHeight="1">
      <c r="A47" s="37"/>
      <c r="B47" s="37"/>
      <c r="C47" s="37"/>
      <c r="D47" s="37"/>
      <c r="E47" s="37"/>
      <c r="F47" s="38" t="str">
        <f>IF(C20&gt;0,B20,"")</f>
        <v/>
      </c>
      <c r="G47" s="39" t="str">
        <f>IF(C20&gt;0,CONCATENATE(I20," X ",J20,"m"),"")</f>
        <v/>
      </c>
      <c r="H47" s="40" t="str">
        <f>Z20</f>
        <v/>
      </c>
      <c r="I47" s="40" t="str">
        <f t="shared" si="43"/>
        <v/>
      </c>
      <c r="J47" s="41" t="str">
        <f>IF(H47="","",VLOOKUP(G47,'Materials Price List'!$A$12:$B$46,2))</f>
        <v/>
      </c>
      <c r="K47" s="41" t="str">
        <f t="shared" si="42"/>
        <v/>
      </c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</row>
    <row r="48" spans="1:56" ht="16.5" customHeight="1">
      <c r="A48" s="37"/>
      <c r="B48" s="37"/>
      <c r="C48" s="37"/>
      <c r="D48" s="37"/>
      <c r="E48" s="37"/>
      <c r="F48" s="42" t="str">
        <f>F47</f>
        <v/>
      </c>
      <c r="G48" s="39" t="str">
        <f>IF(C20&gt;0,CONCATENATE(N20," X ",O20,"m"),"")</f>
        <v/>
      </c>
      <c r="H48" s="40" t="str">
        <f>AA20</f>
        <v/>
      </c>
      <c r="I48" s="40" t="str">
        <f t="shared" si="43"/>
        <v/>
      </c>
      <c r="J48" s="41" t="str">
        <f>IF(H48="","",VLOOKUP(G48,'Materials Price List'!$A$12:$B$46,2))</f>
        <v/>
      </c>
      <c r="K48" s="41" t="str">
        <f t="shared" si="42"/>
        <v/>
      </c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</row>
    <row r="49" spans="1:56" ht="16.5" customHeight="1">
      <c r="A49" s="3"/>
      <c r="B49" s="3"/>
      <c r="C49" s="3"/>
      <c r="D49" s="3"/>
      <c r="E49" s="3"/>
      <c r="F49" s="146" t="s">
        <v>65</v>
      </c>
      <c r="G49" s="136"/>
      <c r="H49" s="136"/>
      <c r="I49" s="136"/>
      <c r="J49" s="137"/>
      <c r="K49" s="43">
        <f>SUM(K25:K48)</f>
        <v>22143.521126760566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</row>
    <row r="50" spans="1:56" ht="16.5" customHeight="1">
      <c r="A50" s="3"/>
      <c r="B50" s="3"/>
      <c r="C50" s="3"/>
      <c r="D50" s="3"/>
      <c r="E50" s="3"/>
      <c r="F50" s="147" t="s">
        <v>66</v>
      </c>
      <c r="G50" s="117"/>
      <c r="H50" s="117"/>
      <c r="I50" s="118"/>
      <c r="J50" s="62">
        <v>0.35</v>
      </c>
      <c r="K50" s="44">
        <f>J50*K49</f>
        <v>7750.2323943661977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</row>
    <row r="51" spans="1:56" ht="16.5" customHeight="1">
      <c r="A51" s="3"/>
      <c r="B51" s="3"/>
      <c r="C51" s="3"/>
      <c r="D51" s="3"/>
      <c r="E51" s="3"/>
      <c r="F51" s="45"/>
      <c r="G51" s="45"/>
      <c r="H51" s="45"/>
      <c r="I51" s="45"/>
      <c r="J51" s="46"/>
      <c r="K51" s="47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</row>
    <row r="52" spans="1:56" ht="16.5" customHeight="1">
      <c r="A52" s="3"/>
      <c r="B52" s="3"/>
      <c r="C52" s="3"/>
      <c r="D52" s="3"/>
      <c r="E52" s="3"/>
      <c r="F52" s="138" t="s">
        <v>72</v>
      </c>
      <c r="G52" s="102"/>
      <c r="H52" s="102"/>
      <c r="I52" s="102"/>
      <c r="J52" s="60">
        <v>8</v>
      </c>
      <c r="K52" s="48" t="s">
        <v>73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</row>
    <row r="53" spans="1:56" ht="16.5" customHeight="1">
      <c r="A53" s="3"/>
      <c r="B53" s="3"/>
      <c r="C53" s="3"/>
      <c r="D53" s="3"/>
      <c r="E53" s="3"/>
      <c r="F53" s="138" t="s">
        <v>74</v>
      </c>
      <c r="G53" s="102"/>
      <c r="H53" s="102"/>
      <c r="I53" s="102"/>
      <c r="J53" s="61">
        <f>CEILING(SUM(AL11:AL20)/J52,1)</f>
        <v>1</v>
      </c>
      <c r="K53" s="48" t="s">
        <v>75</v>
      </c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</row>
    <row r="54" spans="1:56" ht="16.5" customHeight="1">
      <c r="A54" s="3"/>
      <c r="B54" s="3"/>
      <c r="C54" s="3"/>
      <c r="D54" s="3"/>
      <c r="E54" s="3"/>
      <c r="F54" s="138" t="s">
        <v>76</v>
      </c>
      <c r="G54" s="102"/>
      <c r="H54" s="102"/>
      <c r="I54" s="102"/>
      <c r="J54" s="49">
        <f>'Materials Price List'!B47</f>
        <v>1200</v>
      </c>
      <c r="K54" s="50" t="s">
        <v>77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</row>
    <row r="55" spans="1:56" ht="16.5" customHeight="1">
      <c r="A55" s="3"/>
      <c r="B55" s="3"/>
      <c r="C55" s="3"/>
      <c r="D55" s="3"/>
      <c r="E55" s="3"/>
      <c r="F55" s="139" t="s">
        <v>78</v>
      </c>
      <c r="G55" s="117"/>
      <c r="H55" s="117"/>
      <c r="I55" s="117"/>
      <c r="J55" s="118"/>
      <c r="K55" s="51">
        <f>J54*J53</f>
        <v>1200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</row>
    <row r="56" spans="1: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52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</row>
    <row r="57" spans="1:56" ht="16.5" customHeight="1">
      <c r="A57" s="3"/>
      <c r="B57" s="3"/>
      <c r="C57" s="3"/>
      <c r="D57" s="3"/>
      <c r="E57" s="3"/>
      <c r="F57" s="3"/>
      <c r="G57" s="3"/>
      <c r="H57" s="138" t="s">
        <v>79</v>
      </c>
      <c r="I57" s="102"/>
      <c r="J57" s="102"/>
      <c r="K57" s="53">
        <f>K49+K50+K55</f>
        <v>31093.753521126764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</row>
    <row r="58" spans="1:56" ht="16.5" customHeight="1">
      <c r="A58" s="3"/>
      <c r="B58" s="3"/>
      <c r="C58" s="3"/>
      <c r="D58" s="3"/>
      <c r="E58" s="3"/>
      <c r="F58" s="3"/>
      <c r="G58" s="52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</row>
    <row r="59" spans="1:56" ht="16.5" customHeight="1">
      <c r="A59" s="3"/>
      <c r="B59" s="3"/>
      <c r="C59" s="3"/>
      <c r="D59" s="3"/>
      <c r="E59" s="3"/>
      <c r="F59" s="152" t="s">
        <v>122</v>
      </c>
      <c r="G59" s="153"/>
      <c r="H59" s="153"/>
      <c r="I59" s="153"/>
      <c r="J59" s="153"/>
      <c r="K59" s="154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</row>
    <row r="60" spans="1:56" ht="16.5" customHeight="1">
      <c r="A60" s="3"/>
      <c r="B60" s="3"/>
      <c r="C60" s="3"/>
      <c r="D60" s="3"/>
      <c r="E60" s="3"/>
      <c r="F60" s="63"/>
      <c r="K60" s="64"/>
      <c r="L60" s="3"/>
      <c r="M60" s="3"/>
      <c r="N60" s="3"/>
      <c r="O60" s="155" t="s">
        <v>123</v>
      </c>
      <c r="P60" s="157" t="s">
        <v>124</v>
      </c>
      <c r="Q60" s="158"/>
      <c r="R60" s="158"/>
      <c r="S60" s="158"/>
      <c r="T60" s="158"/>
      <c r="U60" s="159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</row>
    <row r="61" spans="1:56" ht="16.5" customHeight="1">
      <c r="A61" s="3"/>
      <c r="B61" s="3"/>
      <c r="C61" s="3"/>
      <c r="D61" s="3"/>
      <c r="E61" s="3"/>
      <c r="F61" s="160" t="s">
        <v>125</v>
      </c>
      <c r="G61" s="161"/>
      <c r="H61" s="161"/>
      <c r="I61" s="161"/>
      <c r="J61" s="161"/>
      <c r="K61" s="65">
        <v>4500</v>
      </c>
      <c r="L61" s="3"/>
      <c r="M61" s="3"/>
      <c r="N61" s="3"/>
      <c r="O61" s="156"/>
      <c r="P61" s="66">
        <v>3000</v>
      </c>
      <c r="Q61" s="66">
        <v>3500</v>
      </c>
      <c r="R61" s="66"/>
      <c r="S61" s="66">
        <v>4000</v>
      </c>
      <c r="T61" s="66">
        <v>4500</v>
      </c>
      <c r="U61" s="66">
        <v>5000</v>
      </c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</row>
    <row r="62" spans="1:56" ht="16.5" customHeight="1">
      <c r="A62" s="3"/>
      <c r="B62" s="3"/>
      <c r="C62" s="3"/>
      <c r="D62" s="3"/>
      <c r="E62" s="3"/>
      <c r="F62" s="149" t="s">
        <v>126</v>
      </c>
      <c r="G62" s="136"/>
      <c r="H62" s="136"/>
      <c r="I62" s="136"/>
      <c r="J62" s="137"/>
      <c r="K62" s="67">
        <f>K61*AL21</f>
        <v>4320</v>
      </c>
      <c r="L62" s="3"/>
      <c r="M62" s="3"/>
      <c r="N62" s="3"/>
      <c r="O62" s="68">
        <v>28</v>
      </c>
      <c r="P62" s="69">
        <v>4500</v>
      </c>
      <c r="Q62" s="69">
        <v>4700</v>
      </c>
      <c r="R62" s="69"/>
      <c r="S62" s="69">
        <v>5000</v>
      </c>
      <c r="T62" s="69">
        <v>5100</v>
      </c>
      <c r="U62" s="69">
        <v>5300</v>
      </c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</row>
    <row r="63" spans="1:56" ht="16.5" customHeight="1">
      <c r="A63" s="3"/>
      <c r="B63" s="3"/>
      <c r="C63" s="3"/>
      <c r="D63" s="3"/>
      <c r="E63" s="3"/>
      <c r="F63" s="70"/>
      <c r="G63" s="71"/>
      <c r="H63" s="71"/>
      <c r="I63" s="71"/>
      <c r="J63" s="71"/>
      <c r="K63" s="72"/>
      <c r="L63" s="3"/>
      <c r="M63" s="3"/>
      <c r="N63" s="3"/>
      <c r="O63" s="68">
        <v>14</v>
      </c>
      <c r="P63" s="69">
        <v>4800</v>
      </c>
      <c r="Q63" s="69">
        <v>5100</v>
      </c>
      <c r="R63" s="69"/>
      <c r="S63" s="69">
        <v>5300</v>
      </c>
      <c r="T63" s="69"/>
      <c r="U63" s="69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</row>
    <row r="64" spans="1:56" ht="16.5" customHeight="1">
      <c r="A64" s="3"/>
      <c r="B64" s="3"/>
      <c r="C64" s="3"/>
      <c r="D64" s="3"/>
      <c r="E64" s="3"/>
      <c r="F64" s="150" t="s">
        <v>127</v>
      </c>
      <c r="G64" s="117"/>
      <c r="H64" s="117"/>
      <c r="I64" s="117"/>
      <c r="J64" s="118"/>
      <c r="K64" s="73">
        <f>(4*650+500*7)*CEILING(AL21/30,1)</f>
        <v>6100</v>
      </c>
      <c r="L64" s="3"/>
      <c r="M64" s="3"/>
      <c r="N64" s="3"/>
      <c r="O64" s="68">
        <v>7</v>
      </c>
      <c r="P64" s="69">
        <v>5100</v>
      </c>
      <c r="Q64" s="69">
        <v>5400</v>
      </c>
      <c r="R64" s="69"/>
      <c r="S64" s="69"/>
      <c r="T64" s="69"/>
      <c r="U64" s="69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</row>
    <row r="65" spans="1:56" ht="16.5" customHeight="1">
      <c r="A65" s="3"/>
      <c r="B65" s="3"/>
      <c r="C65" s="3"/>
      <c r="D65" s="3"/>
      <c r="E65" s="3"/>
      <c r="F65" s="74"/>
      <c r="G65" s="52"/>
      <c r="H65" s="3"/>
      <c r="I65" s="3"/>
      <c r="J65" s="3"/>
      <c r="K65" s="26"/>
      <c r="L65" s="3"/>
      <c r="M65" s="3"/>
      <c r="N65" s="3"/>
      <c r="O65" s="68">
        <v>3</v>
      </c>
      <c r="P65" s="69">
        <v>5700</v>
      </c>
      <c r="Q65" s="69">
        <v>5700</v>
      </c>
      <c r="R65" s="69"/>
      <c r="S65" s="69"/>
      <c r="T65" s="69"/>
      <c r="U65" s="69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</row>
    <row r="66" spans="1:56" ht="16.5" customHeight="1">
      <c r="A66" s="3"/>
      <c r="B66" s="3"/>
      <c r="C66" s="3"/>
      <c r="D66" s="3"/>
      <c r="E66" s="3"/>
      <c r="F66" s="151" t="s">
        <v>128</v>
      </c>
      <c r="G66" s="117"/>
      <c r="H66" s="117"/>
      <c r="I66" s="117"/>
      <c r="J66" s="118"/>
      <c r="K66" s="75">
        <v>30000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</row>
    <row r="67" spans="1:56" ht="16.5" customHeight="1">
      <c r="A67" s="3"/>
      <c r="B67" s="3"/>
      <c r="C67" s="3"/>
      <c r="D67" s="3"/>
      <c r="E67" s="3"/>
      <c r="F67" s="74"/>
      <c r="G67" s="52"/>
      <c r="H67" s="3"/>
      <c r="I67" s="3"/>
      <c r="J67" s="3"/>
      <c r="K67" s="2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</row>
    <row r="68" spans="1:56" ht="16.5" customHeight="1">
      <c r="A68" s="3"/>
      <c r="B68" s="3"/>
      <c r="C68" s="3"/>
      <c r="D68" s="3"/>
      <c r="E68" s="3"/>
      <c r="F68" s="151" t="s">
        <v>129</v>
      </c>
      <c r="G68" s="117"/>
      <c r="H68" s="117"/>
      <c r="I68" s="117"/>
      <c r="J68" s="118"/>
      <c r="K68" s="75">
        <v>35000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</row>
    <row r="69" spans="1:56" ht="16.5" customHeight="1">
      <c r="A69" s="3"/>
      <c r="B69" s="3"/>
      <c r="C69" s="3"/>
      <c r="D69" s="3"/>
      <c r="E69" s="3"/>
      <c r="F69" s="74"/>
      <c r="G69" s="52"/>
      <c r="H69" s="3"/>
      <c r="I69" s="3"/>
      <c r="J69" s="3"/>
      <c r="K69" s="2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</row>
    <row r="70" spans="1:56" ht="16.5" customHeight="1">
      <c r="A70" s="3"/>
      <c r="B70" s="3"/>
      <c r="C70" s="3"/>
      <c r="D70" s="3"/>
      <c r="E70" s="3"/>
      <c r="F70" s="74"/>
      <c r="G70" s="52"/>
      <c r="H70" s="138" t="s">
        <v>79</v>
      </c>
      <c r="I70" s="102"/>
      <c r="J70" s="102"/>
      <c r="K70" s="76">
        <f>K62+K64+K66+K68+SUM(K29:K48)</f>
        <v>92038.521126760563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</row>
    <row r="71" spans="1:56" ht="16.5" customHeight="1">
      <c r="A71" s="3"/>
      <c r="B71" s="3"/>
      <c r="C71" s="3"/>
      <c r="D71" s="3"/>
      <c r="E71" s="3"/>
      <c r="F71" s="77"/>
      <c r="G71" s="78"/>
      <c r="H71" s="79"/>
      <c r="I71" s="79"/>
      <c r="J71" s="79"/>
      <c r="K71" s="80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</row>
    <row r="72" spans="1:56" ht="16.5" customHeight="1">
      <c r="A72" s="3"/>
      <c r="B72" s="3"/>
      <c r="C72" s="3"/>
      <c r="D72" s="3"/>
      <c r="E72" s="3"/>
      <c r="F72" s="3"/>
      <c r="G72" s="52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</row>
    <row r="73" spans="1:56" ht="16.5" customHeight="1">
      <c r="A73" s="3"/>
      <c r="B73" s="3"/>
      <c r="C73" s="3"/>
      <c r="D73" s="3"/>
      <c r="E73" s="3"/>
      <c r="F73" s="3"/>
      <c r="G73" s="52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</row>
    <row r="74" spans="1:56" ht="16.5" customHeight="1">
      <c r="A74" s="3"/>
      <c r="B74" s="3"/>
      <c r="C74" s="3"/>
      <c r="D74" s="3"/>
      <c r="E74" s="3"/>
      <c r="F74" s="3"/>
      <c r="G74" s="5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</row>
    <row r="75" spans="1:56" ht="16.5" customHeight="1">
      <c r="A75" s="3"/>
      <c r="B75" s="3"/>
      <c r="C75" s="3"/>
      <c r="D75" s="3"/>
      <c r="E75" s="3"/>
      <c r="F75" s="3"/>
      <c r="G75" s="5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</row>
    <row r="76" spans="1:56" ht="16.5" customHeight="1">
      <c r="A76" s="3"/>
      <c r="B76" s="3"/>
      <c r="C76" s="3"/>
      <c r="D76" s="3"/>
      <c r="E76" s="3"/>
      <c r="F76" s="3"/>
      <c r="G76" s="5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</row>
    <row r="77" spans="1:56" ht="16.5" customHeight="1">
      <c r="A77" s="3"/>
      <c r="B77" s="3"/>
      <c r="C77" s="3"/>
      <c r="D77" s="3"/>
      <c r="E77" s="3"/>
      <c r="F77" s="3"/>
      <c r="G77" s="5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</row>
    <row r="78" spans="1:56" ht="16.5" customHeight="1">
      <c r="A78" s="3"/>
      <c r="B78" s="3"/>
      <c r="C78" s="3"/>
      <c r="D78" s="3"/>
      <c r="E78" s="3"/>
      <c r="F78" s="3"/>
      <c r="G78" s="5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</row>
    <row r="79" spans="1:56" ht="16.5" customHeight="1">
      <c r="A79" s="3"/>
      <c r="B79" s="3"/>
      <c r="C79" s="3"/>
      <c r="D79" s="3"/>
      <c r="E79" s="3"/>
      <c r="F79" s="3"/>
      <c r="G79" s="5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</row>
    <row r="80" spans="1:56" ht="16.5" customHeight="1">
      <c r="A80" s="3"/>
      <c r="B80" s="3"/>
      <c r="C80" s="3"/>
      <c r="D80" s="3"/>
      <c r="E80" s="3"/>
      <c r="F80" s="3"/>
      <c r="G80" s="5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</row>
    <row r="81" spans="1:56" ht="16.5" customHeight="1">
      <c r="A81" s="3"/>
      <c r="B81" s="3"/>
      <c r="C81" s="3"/>
      <c r="D81" s="3"/>
      <c r="E81" s="3"/>
      <c r="F81" s="3"/>
      <c r="G81" s="52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</row>
    <row r="82" spans="1:56" ht="16.5" customHeight="1">
      <c r="A82" s="3"/>
      <c r="B82" s="3"/>
      <c r="C82" s="3"/>
      <c r="D82" s="3"/>
      <c r="E82" s="3"/>
      <c r="F82" s="3"/>
      <c r="G82" s="5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</row>
    <row r="83" spans="1:56" ht="16.5" customHeight="1">
      <c r="A83" s="3"/>
      <c r="B83" s="3"/>
      <c r="C83" s="3"/>
      <c r="D83" s="3"/>
      <c r="E83" s="3"/>
      <c r="F83" s="3"/>
      <c r="G83" s="5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</row>
    <row r="84" spans="1:56" ht="16.5" customHeight="1">
      <c r="A84" s="3"/>
      <c r="B84" s="3"/>
      <c r="C84" s="3"/>
      <c r="D84" s="3"/>
      <c r="E84" s="3"/>
      <c r="F84" s="3"/>
      <c r="G84" s="5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</row>
    <row r="85" spans="1:56" ht="16.5" customHeight="1">
      <c r="A85" s="3"/>
      <c r="B85" s="3"/>
      <c r="C85" s="3"/>
      <c r="D85" s="3"/>
      <c r="E85" s="3"/>
      <c r="F85" s="3"/>
      <c r="G85" s="5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</row>
    <row r="86" spans="1:56" ht="16.5" customHeight="1">
      <c r="A86" s="3"/>
      <c r="B86" s="3"/>
      <c r="C86" s="3"/>
      <c r="D86" s="3"/>
      <c r="E86" s="3"/>
      <c r="F86" s="3"/>
      <c r="G86" s="5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</row>
    <row r="87" spans="1:56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</row>
    <row r="88" spans="1:56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</row>
    <row r="89" spans="1:56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</row>
    <row r="90" spans="1:56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</row>
    <row r="91" spans="1:56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</row>
    <row r="92" spans="1:56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</row>
    <row r="93" spans="1:56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</row>
    <row r="94" spans="1:56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</row>
    <row r="95" spans="1:56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</row>
    <row r="96" spans="1:5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</row>
    <row r="97" spans="1:56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</row>
    <row r="98" spans="1:56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</row>
    <row r="99" spans="1:56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</row>
    <row r="100" spans="1:56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</row>
    <row r="101" spans="1:56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</row>
    <row r="102" spans="1:56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</row>
    <row r="103" spans="1:56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</row>
    <row r="104" spans="1:56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</row>
    <row r="105" spans="1:56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</row>
    <row r="106" spans="1:5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</row>
    <row r="107" spans="1:56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</row>
    <row r="108" spans="1:56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</row>
    <row r="109" spans="1:56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</row>
    <row r="110" spans="1:56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</row>
    <row r="111" spans="1:56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</row>
    <row r="112" spans="1:56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</row>
    <row r="113" spans="1:56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</row>
    <row r="114" spans="1:56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</row>
    <row r="115" spans="1:56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</row>
    <row r="116" spans="1:5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</row>
    <row r="117" spans="1:56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</row>
    <row r="118" spans="1:56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</row>
    <row r="119" spans="1:56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</row>
    <row r="120" spans="1:56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</row>
    <row r="121" spans="1:56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</row>
    <row r="122" spans="1:56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</row>
    <row r="123" spans="1:56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</row>
    <row r="124" spans="1:56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</row>
    <row r="125" spans="1:56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</row>
    <row r="126" spans="1:5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</row>
    <row r="127" spans="1:56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</row>
    <row r="128" spans="1:56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</row>
    <row r="129" spans="1:56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</row>
    <row r="130" spans="1:56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</row>
    <row r="131" spans="1:56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</row>
    <row r="132" spans="1:56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</row>
    <row r="133" spans="1:56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</row>
    <row r="134" spans="1:56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</row>
    <row r="135" spans="1:56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</row>
    <row r="136" spans="1:5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</row>
    <row r="137" spans="1:56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</row>
    <row r="138" spans="1:56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</row>
    <row r="139" spans="1:56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</row>
    <row r="140" spans="1:56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</row>
    <row r="141" spans="1:56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</row>
    <row r="142" spans="1:56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</row>
    <row r="143" spans="1:56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</row>
    <row r="144" spans="1:56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</row>
    <row r="145" spans="1:56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</row>
    <row r="146" spans="1:5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</row>
    <row r="147" spans="1:56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</row>
    <row r="148" spans="1:56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</row>
    <row r="149" spans="1:56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</row>
    <row r="150" spans="1:56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</row>
    <row r="151" spans="1:56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</row>
    <row r="152" spans="1:56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</row>
    <row r="153" spans="1:56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</row>
    <row r="154" spans="1:56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</row>
    <row r="155" spans="1:56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</row>
    <row r="156" spans="1: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</row>
    <row r="157" spans="1:56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</row>
    <row r="158" spans="1:56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</row>
    <row r="159" spans="1:56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</row>
    <row r="160" spans="1:56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</row>
    <row r="161" spans="1:56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</row>
    <row r="162" spans="1:56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</row>
    <row r="163" spans="1:56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</row>
    <row r="164" spans="1:56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</row>
    <row r="165" spans="1:56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</row>
    <row r="166" spans="1:5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</row>
    <row r="167" spans="1:56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</row>
    <row r="168" spans="1:56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</row>
    <row r="169" spans="1:56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</row>
    <row r="170" spans="1:56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</row>
    <row r="171" spans="1:56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</row>
    <row r="172" spans="1:56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</row>
    <row r="173" spans="1:56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</row>
    <row r="174" spans="1:56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</row>
    <row r="175" spans="1:56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</row>
    <row r="176" spans="1:5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</row>
    <row r="177" spans="1:56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</row>
    <row r="178" spans="1:56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</row>
    <row r="179" spans="1:56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</row>
    <row r="180" spans="1:56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</row>
    <row r="181" spans="1:56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</row>
    <row r="182" spans="1:56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</row>
    <row r="183" spans="1:56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</row>
    <row r="184" spans="1:56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</row>
    <row r="185" spans="1:56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</row>
    <row r="186" spans="1:5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</row>
    <row r="187" spans="1:56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</row>
    <row r="188" spans="1:56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</row>
    <row r="189" spans="1:56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</row>
    <row r="190" spans="1:56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</row>
    <row r="191" spans="1:56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</row>
    <row r="192" spans="1:56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</row>
    <row r="193" spans="1:56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</row>
    <row r="194" spans="1:56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</row>
    <row r="195" spans="1:56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</row>
    <row r="196" spans="1:5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</row>
    <row r="197" spans="1:56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</row>
    <row r="198" spans="1:56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</row>
    <row r="199" spans="1:56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</row>
    <row r="200" spans="1:56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</row>
    <row r="201" spans="1:56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</row>
    <row r="202" spans="1:56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</row>
    <row r="203" spans="1:56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</row>
    <row r="204" spans="1:56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</row>
    <row r="205" spans="1:56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</row>
    <row r="206" spans="1:5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</row>
    <row r="207" spans="1:56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</row>
    <row r="208" spans="1:56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</row>
    <row r="209" spans="1:56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</row>
    <row r="210" spans="1:56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</row>
    <row r="211" spans="1:56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</row>
    <row r="212" spans="1:56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</row>
    <row r="213" spans="1:56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</row>
    <row r="214" spans="1:56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</row>
    <row r="215" spans="1:56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</row>
    <row r="216" spans="1:5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</row>
    <row r="217" spans="1:56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</row>
    <row r="218" spans="1:56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</row>
    <row r="219" spans="1:56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</row>
    <row r="220" spans="1:56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</row>
    <row r="221" spans="1:56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</row>
    <row r="222" spans="1:56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</row>
    <row r="223" spans="1:56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</row>
    <row r="224" spans="1:56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</row>
    <row r="225" spans="1:56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</row>
    <row r="226" spans="1:5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</row>
    <row r="227" spans="1:56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</row>
    <row r="228" spans="1:56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</row>
    <row r="229" spans="1:56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</row>
    <row r="230" spans="1:56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</row>
    <row r="231" spans="1:56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</row>
    <row r="232" spans="1:56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</row>
    <row r="233" spans="1:56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</row>
    <row r="234" spans="1:56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</row>
    <row r="235" spans="1:56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</row>
    <row r="236" spans="1:5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</row>
    <row r="237" spans="1:56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</row>
    <row r="238" spans="1:56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</row>
    <row r="239" spans="1:56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</row>
    <row r="240" spans="1:56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</row>
    <row r="241" spans="1:56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</row>
    <row r="242" spans="1:56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</row>
    <row r="243" spans="1:56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</row>
    <row r="244" spans="1:56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</row>
    <row r="245" spans="1:56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</row>
    <row r="246" spans="1:5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</row>
    <row r="247" spans="1:56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</row>
    <row r="248" spans="1:56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</row>
    <row r="249" spans="1:56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</row>
    <row r="250" spans="1:56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</row>
    <row r="251" spans="1:56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</row>
    <row r="252" spans="1:56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</row>
    <row r="253" spans="1:56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</row>
    <row r="254" spans="1:56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</row>
    <row r="255" spans="1:56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</row>
    <row r="256" spans="1: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</row>
    <row r="257" spans="1:56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</row>
    <row r="258" spans="1:56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</row>
    <row r="259" spans="1:56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</row>
    <row r="260" spans="1:56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</row>
    <row r="261" spans="1:56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</row>
    <row r="262" spans="1:56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</row>
    <row r="263" spans="1:56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</row>
    <row r="264" spans="1:56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</row>
    <row r="265" spans="1:56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</row>
    <row r="266" spans="1:5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</row>
    <row r="267" spans="1:56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</row>
    <row r="268" spans="1:56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</row>
    <row r="269" spans="1:56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</row>
    <row r="270" spans="1:56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</row>
    <row r="271" spans="1:56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</row>
    <row r="272" spans="1:56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</row>
    <row r="273" spans="1:56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</row>
    <row r="274" spans="1:56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</row>
    <row r="275" spans="1:56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</row>
    <row r="276" spans="1:5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</row>
    <row r="277" spans="1:56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</row>
    <row r="278" spans="1:56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</row>
    <row r="279" spans="1:56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</row>
    <row r="280" spans="1:56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</row>
    <row r="281" spans="1:56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</row>
    <row r="282" spans="1:56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</row>
    <row r="283" spans="1:56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</row>
    <row r="284" spans="1:56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</row>
    <row r="285" spans="1:56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</row>
    <row r="286" spans="1:5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</row>
    <row r="287" spans="1:56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</row>
    <row r="288" spans="1:56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</row>
    <row r="289" spans="1:56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</row>
    <row r="290" spans="1:56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</row>
    <row r="291" spans="1:56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</row>
    <row r="292" spans="1:56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</row>
    <row r="293" spans="1:56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</row>
    <row r="294" spans="1:56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</row>
    <row r="295" spans="1:56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</row>
    <row r="296" spans="1:5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</row>
    <row r="297" spans="1:56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</row>
    <row r="298" spans="1:56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</row>
    <row r="299" spans="1:56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</row>
    <row r="300" spans="1:56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</row>
    <row r="301" spans="1:56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</row>
    <row r="302" spans="1:56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</row>
    <row r="303" spans="1:56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</row>
    <row r="304" spans="1:56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</row>
    <row r="305" spans="1:56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</row>
    <row r="306" spans="1:5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</row>
    <row r="307" spans="1:56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</row>
    <row r="308" spans="1:56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</row>
    <row r="309" spans="1:56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</row>
    <row r="310" spans="1:56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</row>
    <row r="311" spans="1:56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</row>
    <row r="312" spans="1:56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</row>
    <row r="313" spans="1:56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</row>
    <row r="314" spans="1:56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</row>
    <row r="315" spans="1:56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</row>
    <row r="316" spans="1:5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</row>
    <row r="317" spans="1:56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</row>
    <row r="318" spans="1:56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</row>
    <row r="319" spans="1:56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</row>
    <row r="320" spans="1:56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</row>
    <row r="321" spans="1:56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</row>
    <row r="322" spans="1:56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</row>
    <row r="323" spans="1:56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</row>
    <row r="324" spans="1:56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</row>
    <row r="325" spans="1:56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</row>
    <row r="326" spans="1:5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</row>
    <row r="327" spans="1:56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</row>
    <row r="328" spans="1:56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</row>
    <row r="329" spans="1:56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</row>
    <row r="330" spans="1:56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</row>
    <row r="331" spans="1:56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</row>
    <row r="332" spans="1:56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</row>
    <row r="333" spans="1:56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</row>
    <row r="334" spans="1:56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</row>
    <row r="335" spans="1:56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</row>
    <row r="336" spans="1:5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</row>
    <row r="337" spans="1:56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</row>
    <row r="338" spans="1:56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</row>
    <row r="339" spans="1:56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</row>
    <row r="340" spans="1:56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</row>
    <row r="341" spans="1:56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</row>
    <row r="342" spans="1:56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</row>
    <row r="343" spans="1:56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</row>
    <row r="344" spans="1:56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</row>
    <row r="345" spans="1:56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</row>
    <row r="346" spans="1:5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</row>
    <row r="347" spans="1:56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</row>
    <row r="348" spans="1:56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</row>
    <row r="349" spans="1:56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</row>
    <row r="350" spans="1:56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</row>
    <row r="351" spans="1:56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</row>
    <row r="352" spans="1:56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</row>
    <row r="353" spans="1:56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</row>
    <row r="354" spans="1:56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</row>
    <row r="355" spans="1:56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</row>
    <row r="356" spans="1: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</row>
    <row r="357" spans="1:56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</row>
    <row r="358" spans="1:56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</row>
    <row r="359" spans="1:56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</row>
    <row r="360" spans="1:56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</row>
    <row r="361" spans="1:56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</row>
    <row r="362" spans="1:56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</row>
    <row r="363" spans="1:56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</row>
    <row r="364" spans="1:56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</row>
    <row r="365" spans="1:56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</row>
    <row r="366" spans="1:5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</row>
    <row r="367" spans="1:56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</row>
    <row r="368" spans="1:56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</row>
    <row r="369" spans="1:56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</row>
    <row r="370" spans="1:56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</row>
    <row r="371" spans="1:56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</row>
    <row r="372" spans="1:56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</row>
    <row r="373" spans="1:56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</row>
    <row r="374" spans="1:56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</row>
    <row r="375" spans="1:56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</row>
    <row r="376" spans="1:5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</row>
    <row r="377" spans="1:56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</row>
    <row r="378" spans="1:56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</row>
    <row r="379" spans="1:56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</row>
    <row r="380" spans="1:56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</row>
    <row r="381" spans="1:56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</row>
    <row r="382" spans="1:56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</row>
    <row r="383" spans="1:56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</row>
    <row r="384" spans="1:56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</row>
    <row r="385" spans="1:56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</row>
    <row r="386" spans="1:5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</row>
    <row r="387" spans="1:56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</row>
    <row r="388" spans="1:56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</row>
    <row r="389" spans="1:56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</row>
    <row r="390" spans="1:56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</row>
    <row r="391" spans="1:56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</row>
    <row r="392" spans="1:56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</row>
    <row r="393" spans="1:56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</row>
    <row r="394" spans="1:56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</row>
    <row r="395" spans="1:56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</row>
    <row r="396" spans="1:5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</row>
    <row r="397" spans="1:56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</row>
    <row r="398" spans="1:56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</row>
    <row r="399" spans="1:56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</row>
    <row r="400" spans="1:56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</row>
    <row r="401" spans="1:56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</row>
    <row r="402" spans="1:56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</row>
    <row r="403" spans="1:56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</row>
    <row r="404" spans="1:56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</row>
    <row r="405" spans="1:56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</row>
    <row r="406" spans="1:5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</row>
    <row r="407" spans="1:56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</row>
    <row r="408" spans="1:56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</row>
    <row r="409" spans="1:56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</row>
    <row r="410" spans="1:56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</row>
    <row r="411" spans="1:56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</row>
    <row r="412" spans="1:56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</row>
    <row r="413" spans="1:56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</row>
    <row r="414" spans="1:56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</row>
    <row r="415" spans="1:56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</row>
    <row r="416" spans="1:5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</row>
    <row r="417" spans="1:56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</row>
    <row r="418" spans="1:56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</row>
    <row r="419" spans="1:56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</row>
    <row r="420" spans="1:56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</row>
    <row r="421" spans="1:56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</row>
    <row r="422" spans="1:56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</row>
    <row r="423" spans="1:56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</row>
    <row r="424" spans="1:56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</row>
    <row r="425" spans="1:56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</row>
    <row r="426" spans="1:5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</row>
    <row r="427" spans="1:56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</row>
    <row r="428" spans="1:56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</row>
    <row r="429" spans="1:56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</row>
    <row r="430" spans="1:56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</row>
    <row r="431" spans="1:56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</row>
    <row r="432" spans="1:56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</row>
    <row r="433" spans="1:56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</row>
    <row r="434" spans="1:56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</row>
    <row r="435" spans="1:56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</row>
    <row r="436" spans="1:5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</row>
    <row r="437" spans="1:56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</row>
    <row r="438" spans="1:56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</row>
    <row r="439" spans="1:56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</row>
    <row r="440" spans="1:56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</row>
    <row r="441" spans="1:56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</row>
    <row r="442" spans="1:56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</row>
    <row r="443" spans="1:56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</row>
    <row r="444" spans="1:56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</row>
    <row r="445" spans="1:56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</row>
    <row r="446" spans="1:5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</row>
    <row r="447" spans="1:56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</row>
    <row r="448" spans="1:56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</row>
    <row r="449" spans="1:56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</row>
    <row r="450" spans="1:56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</row>
    <row r="451" spans="1:56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</row>
    <row r="452" spans="1:56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</row>
    <row r="453" spans="1:56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</row>
    <row r="454" spans="1:56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</row>
    <row r="455" spans="1:56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</row>
    <row r="456" spans="1: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</row>
    <row r="457" spans="1:56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</row>
    <row r="458" spans="1:56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</row>
    <row r="459" spans="1:56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</row>
    <row r="460" spans="1:56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</row>
    <row r="461" spans="1:56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</row>
    <row r="462" spans="1:56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</row>
    <row r="463" spans="1:56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</row>
    <row r="464" spans="1:56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</row>
    <row r="465" spans="1:56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</row>
    <row r="466" spans="1:5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</row>
    <row r="467" spans="1:56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</row>
    <row r="468" spans="1:56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</row>
    <row r="469" spans="1:56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</row>
    <row r="470" spans="1:56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</row>
    <row r="471" spans="1:56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</row>
    <row r="472" spans="1:56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</row>
    <row r="473" spans="1:56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</row>
    <row r="474" spans="1:56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</row>
    <row r="475" spans="1:56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</row>
    <row r="476" spans="1:5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</row>
    <row r="477" spans="1:56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</row>
    <row r="478" spans="1:56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</row>
    <row r="479" spans="1:56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</row>
    <row r="480" spans="1:56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</row>
    <row r="481" spans="1:56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</row>
    <row r="482" spans="1:56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</row>
    <row r="483" spans="1:56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</row>
    <row r="484" spans="1:56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</row>
    <row r="485" spans="1:56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</row>
    <row r="486" spans="1:5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</row>
    <row r="487" spans="1:56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</row>
    <row r="488" spans="1:56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</row>
    <row r="489" spans="1:56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</row>
    <row r="490" spans="1:56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</row>
    <row r="491" spans="1:56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</row>
    <row r="492" spans="1:56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</row>
    <row r="493" spans="1:56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</row>
    <row r="494" spans="1:56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</row>
    <row r="495" spans="1:56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</row>
    <row r="496" spans="1:5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</row>
    <row r="497" spans="1:56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</row>
    <row r="498" spans="1:56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</row>
    <row r="499" spans="1:56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</row>
    <row r="500" spans="1:56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</row>
    <row r="501" spans="1:56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</row>
    <row r="502" spans="1:56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</row>
    <row r="503" spans="1:56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</row>
    <row r="504" spans="1:56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</row>
    <row r="505" spans="1:56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</row>
    <row r="506" spans="1:5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</row>
    <row r="507" spans="1:56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</row>
    <row r="508" spans="1:56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</row>
    <row r="509" spans="1:56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</row>
    <row r="510" spans="1:56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</row>
    <row r="511" spans="1:56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</row>
    <row r="512" spans="1:56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</row>
    <row r="513" spans="1:56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</row>
    <row r="514" spans="1:56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</row>
    <row r="515" spans="1:56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</row>
    <row r="516" spans="1:5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</row>
    <row r="517" spans="1:56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</row>
    <row r="518" spans="1:56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</row>
    <row r="519" spans="1:56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</row>
    <row r="520" spans="1:56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</row>
    <row r="521" spans="1:56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</row>
    <row r="522" spans="1:56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</row>
    <row r="523" spans="1:56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</row>
    <row r="524" spans="1:56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</row>
    <row r="525" spans="1:56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</row>
    <row r="526" spans="1:5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</row>
    <row r="527" spans="1:56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</row>
    <row r="528" spans="1:56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</row>
    <row r="529" spans="1:56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</row>
    <row r="530" spans="1:56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</row>
    <row r="531" spans="1:56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</row>
    <row r="532" spans="1:56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</row>
    <row r="533" spans="1:56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</row>
    <row r="534" spans="1:56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</row>
    <row r="535" spans="1:56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</row>
    <row r="536" spans="1:5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</row>
    <row r="537" spans="1:56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</row>
    <row r="538" spans="1:56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</row>
    <row r="539" spans="1:56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</row>
    <row r="540" spans="1:56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</row>
    <row r="541" spans="1:56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</row>
    <row r="542" spans="1:56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</row>
    <row r="543" spans="1:56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</row>
    <row r="544" spans="1:56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</row>
    <row r="545" spans="1:56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</row>
    <row r="546" spans="1:5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</row>
    <row r="547" spans="1:56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</row>
    <row r="548" spans="1:56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</row>
    <row r="549" spans="1:56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</row>
    <row r="550" spans="1:56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</row>
    <row r="551" spans="1:56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</row>
    <row r="552" spans="1:56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</row>
    <row r="553" spans="1:56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</row>
    <row r="554" spans="1:56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</row>
    <row r="555" spans="1:56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</row>
    <row r="556" spans="1: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</row>
    <row r="557" spans="1:56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</row>
    <row r="558" spans="1:56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</row>
    <row r="559" spans="1:56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</row>
    <row r="560" spans="1:56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</row>
    <row r="561" spans="1:56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</row>
    <row r="562" spans="1:56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</row>
    <row r="563" spans="1:56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</row>
    <row r="564" spans="1:56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</row>
    <row r="565" spans="1:56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</row>
    <row r="566" spans="1:5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</row>
    <row r="567" spans="1:56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</row>
    <row r="568" spans="1:56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</row>
    <row r="569" spans="1:56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</row>
    <row r="570" spans="1:56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</row>
    <row r="571" spans="1:56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</row>
    <row r="572" spans="1:56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</row>
    <row r="573" spans="1:56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</row>
    <row r="574" spans="1:56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</row>
    <row r="575" spans="1:56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</row>
    <row r="576" spans="1:5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</row>
    <row r="577" spans="1:56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</row>
    <row r="578" spans="1:56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</row>
    <row r="579" spans="1:56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</row>
    <row r="580" spans="1:56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</row>
    <row r="581" spans="1:56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</row>
    <row r="582" spans="1:56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</row>
    <row r="583" spans="1:56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</row>
    <row r="584" spans="1:56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</row>
    <row r="585" spans="1:56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</row>
    <row r="586" spans="1:5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</row>
    <row r="587" spans="1:56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</row>
    <row r="588" spans="1:56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</row>
    <row r="589" spans="1:56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</row>
    <row r="590" spans="1:56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</row>
    <row r="591" spans="1:56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</row>
    <row r="592" spans="1:56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</row>
    <row r="593" spans="1:56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</row>
    <row r="594" spans="1:56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</row>
    <row r="595" spans="1:56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</row>
    <row r="596" spans="1:5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</row>
    <row r="597" spans="1:56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</row>
    <row r="598" spans="1:56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</row>
    <row r="599" spans="1:56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</row>
    <row r="600" spans="1:56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</row>
    <row r="601" spans="1:56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</row>
    <row r="602" spans="1:56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</row>
    <row r="603" spans="1:56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</row>
    <row r="604" spans="1:56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</row>
    <row r="605" spans="1:56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</row>
    <row r="606" spans="1:5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</row>
    <row r="607" spans="1:56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</row>
    <row r="608" spans="1:56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</row>
    <row r="609" spans="1:56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</row>
    <row r="610" spans="1:56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</row>
    <row r="611" spans="1:56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</row>
    <row r="612" spans="1:56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</row>
    <row r="613" spans="1:56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</row>
    <row r="614" spans="1:56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</row>
    <row r="615" spans="1:56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</row>
    <row r="616" spans="1:5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</row>
    <row r="617" spans="1:56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</row>
    <row r="618" spans="1:56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</row>
    <row r="619" spans="1:56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</row>
    <row r="620" spans="1:56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</row>
    <row r="621" spans="1:56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</row>
    <row r="622" spans="1:56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</row>
    <row r="623" spans="1:56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</row>
    <row r="624" spans="1:56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</row>
    <row r="625" spans="1:56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</row>
    <row r="626" spans="1:5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</row>
    <row r="627" spans="1:56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</row>
    <row r="628" spans="1:56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</row>
    <row r="629" spans="1:56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</row>
    <row r="630" spans="1:56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</row>
    <row r="631" spans="1:56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</row>
    <row r="632" spans="1:56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</row>
    <row r="633" spans="1:56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</row>
    <row r="634" spans="1:56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</row>
    <row r="635" spans="1:56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</row>
    <row r="636" spans="1:5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</row>
    <row r="637" spans="1:56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</row>
    <row r="638" spans="1:56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</row>
    <row r="639" spans="1:56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</row>
    <row r="640" spans="1:56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</row>
    <row r="641" spans="1:56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</row>
    <row r="642" spans="1:56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</row>
    <row r="643" spans="1:56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</row>
    <row r="644" spans="1:56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</row>
    <row r="645" spans="1:56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</row>
    <row r="646" spans="1:5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</row>
    <row r="647" spans="1:56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</row>
    <row r="648" spans="1:56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</row>
    <row r="649" spans="1:56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</row>
    <row r="650" spans="1:56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</row>
    <row r="651" spans="1:56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</row>
    <row r="652" spans="1:56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</row>
    <row r="653" spans="1:56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</row>
    <row r="654" spans="1:56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</row>
    <row r="655" spans="1:56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</row>
    <row r="656" spans="1: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</row>
    <row r="657" spans="1:56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</row>
    <row r="658" spans="1:56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</row>
    <row r="659" spans="1:56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</row>
    <row r="660" spans="1:56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</row>
    <row r="661" spans="1:56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</row>
    <row r="662" spans="1:56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</row>
    <row r="663" spans="1:56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</row>
    <row r="664" spans="1:56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</row>
    <row r="665" spans="1:56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</row>
    <row r="666" spans="1:5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</row>
    <row r="667" spans="1:56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</row>
    <row r="668" spans="1:56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</row>
    <row r="669" spans="1:56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</row>
    <row r="670" spans="1:56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</row>
    <row r="671" spans="1:56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</row>
    <row r="672" spans="1:56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</row>
    <row r="673" spans="1:56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</row>
    <row r="674" spans="1:56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</row>
    <row r="675" spans="1:56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</row>
    <row r="676" spans="1:5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</row>
    <row r="677" spans="1:56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</row>
    <row r="678" spans="1:56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</row>
    <row r="679" spans="1:56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</row>
    <row r="680" spans="1:56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</row>
    <row r="681" spans="1:56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</row>
    <row r="682" spans="1:56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</row>
    <row r="683" spans="1:56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</row>
    <row r="684" spans="1:56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</row>
    <row r="685" spans="1:56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</row>
    <row r="686" spans="1:5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</row>
    <row r="687" spans="1:56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</row>
    <row r="688" spans="1:56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</row>
    <row r="689" spans="1:56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</row>
    <row r="690" spans="1:56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</row>
    <row r="691" spans="1:56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</row>
    <row r="692" spans="1:56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</row>
    <row r="693" spans="1:56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</row>
    <row r="694" spans="1:56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</row>
    <row r="695" spans="1:56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</row>
    <row r="696" spans="1:5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</row>
    <row r="697" spans="1:56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</row>
    <row r="698" spans="1:56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</row>
    <row r="699" spans="1:56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</row>
    <row r="700" spans="1:56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</row>
    <row r="701" spans="1:56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</row>
    <row r="702" spans="1:56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</row>
    <row r="703" spans="1:56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</row>
    <row r="704" spans="1:56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</row>
    <row r="705" spans="1:56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</row>
    <row r="706" spans="1:5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</row>
    <row r="707" spans="1:56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</row>
    <row r="708" spans="1:56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</row>
    <row r="709" spans="1:56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</row>
    <row r="710" spans="1:56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</row>
    <row r="711" spans="1:56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</row>
    <row r="712" spans="1:56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</row>
    <row r="713" spans="1:56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</row>
    <row r="714" spans="1:56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</row>
    <row r="715" spans="1:56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</row>
    <row r="716" spans="1:5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</row>
    <row r="717" spans="1:56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</row>
    <row r="718" spans="1:56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</row>
    <row r="719" spans="1:56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</row>
    <row r="720" spans="1:56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</row>
    <row r="721" spans="1:56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</row>
    <row r="722" spans="1:56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</row>
    <row r="723" spans="1:56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</row>
    <row r="724" spans="1:56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</row>
    <row r="725" spans="1:56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</row>
    <row r="726" spans="1:5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</row>
    <row r="727" spans="1:56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</row>
    <row r="728" spans="1:56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</row>
    <row r="729" spans="1:56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</row>
    <row r="730" spans="1:56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</row>
    <row r="731" spans="1:56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</row>
    <row r="732" spans="1:56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</row>
    <row r="733" spans="1:56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</row>
    <row r="734" spans="1:56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</row>
    <row r="735" spans="1:56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</row>
    <row r="736" spans="1:5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</row>
    <row r="737" spans="1:56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</row>
    <row r="738" spans="1:56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</row>
    <row r="739" spans="1:56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</row>
    <row r="740" spans="1:56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</row>
    <row r="741" spans="1:56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</row>
    <row r="742" spans="1:56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</row>
    <row r="743" spans="1:56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</row>
    <row r="744" spans="1:56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</row>
    <row r="745" spans="1:56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</row>
    <row r="746" spans="1:5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</row>
    <row r="747" spans="1:56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</row>
    <row r="748" spans="1:56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</row>
    <row r="749" spans="1:56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</row>
    <row r="750" spans="1:56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</row>
    <row r="751" spans="1:56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</row>
    <row r="752" spans="1:56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</row>
    <row r="753" spans="1:56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</row>
    <row r="754" spans="1:56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</row>
    <row r="755" spans="1:56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</row>
    <row r="756" spans="1: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</row>
    <row r="757" spans="1:56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</row>
    <row r="758" spans="1:56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</row>
    <row r="759" spans="1:56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</row>
    <row r="760" spans="1:56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</row>
    <row r="761" spans="1:56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</row>
    <row r="762" spans="1:56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</row>
    <row r="763" spans="1:56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</row>
    <row r="764" spans="1:56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</row>
    <row r="765" spans="1:56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</row>
    <row r="766" spans="1:5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</row>
    <row r="767" spans="1:56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</row>
    <row r="768" spans="1:56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</row>
    <row r="769" spans="1:56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</row>
    <row r="770" spans="1:56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</row>
    <row r="771" spans="1:56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</row>
    <row r="772" spans="1:56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</row>
    <row r="773" spans="1:56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</row>
    <row r="774" spans="1:56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</row>
    <row r="775" spans="1:56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</row>
    <row r="776" spans="1:5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</row>
    <row r="777" spans="1:56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</row>
    <row r="778" spans="1:56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</row>
    <row r="779" spans="1:56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</row>
    <row r="780" spans="1:56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</row>
    <row r="781" spans="1:56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</row>
    <row r="782" spans="1:56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</row>
    <row r="783" spans="1:56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</row>
    <row r="784" spans="1:56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</row>
    <row r="785" spans="1:56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</row>
    <row r="786" spans="1:5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</row>
    <row r="787" spans="1:56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</row>
    <row r="788" spans="1:56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</row>
    <row r="789" spans="1:56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</row>
    <row r="790" spans="1:56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</row>
    <row r="791" spans="1:56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</row>
    <row r="792" spans="1:56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</row>
    <row r="793" spans="1:56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</row>
    <row r="794" spans="1:56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</row>
    <row r="795" spans="1:56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</row>
    <row r="796" spans="1:5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</row>
    <row r="797" spans="1:56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</row>
    <row r="798" spans="1:56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</row>
    <row r="799" spans="1:56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</row>
    <row r="800" spans="1:56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</row>
    <row r="801" spans="1:56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</row>
    <row r="802" spans="1:56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</row>
    <row r="803" spans="1:56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</row>
    <row r="804" spans="1:56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</row>
    <row r="805" spans="1:56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</row>
    <row r="806" spans="1:5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</row>
    <row r="807" spans="1:56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</row>
    <row r="808" spans="1:56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</row>
    <row r="809" spans="1:56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</row>
    <row r="810" spans="1:56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</row>
    <row r="811" spans="1:56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</row>
    <row r="812" spans="1:56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</row>
    <row r="813" spans="1:56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</row>
    <row r="814" spans="1:56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</row>
    <row r="815" spans="1:56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</row>
    <row r="816" spans="1:5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</row>
    <row r="817" spans="1:56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</row>
    <row r="818" spans="1:56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</row>
    <row r="819" spans="1:56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</row>
    <row r="820" spans="1:56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</row>
    <row r="821" spans="1:56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</row>
    <row r="822" spans="1:56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</row>
    <row r="823" spans="1:56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</row>
    <row r="824" spans="1:56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</row>
    <row r="825" spans="1:56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</row>
    <row r="826" spans="1:5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</row>
    <row r="827" spans="1:56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</row>
    <row r="828" spans="1:56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</row>
    <row r="829" spans="1:56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</row>
    <row r="830" spans="1:56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</row>
    <row r="831" spans="1:56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</row>
    <row r="832" spans="1:56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</row>
    <row r="833" spans="1:56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</row>
    <row r="834" spans="1:56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</row>
    <row r="835" spans="1:56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</row>
    <row r="836" spans="1:5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</row>
    <row r="837" spans="1:56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</row>
    <row r="838" spans="1:56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</row>
    <row r="839" spans="1:56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</row>
    <row r="840" spans="1:56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</row>
    <row r="841" spans="1:56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</row>
    <row r="842" spans="1:56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</row>
    <row r="843" spans="1:56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</row>
    <row r="844" spans="1:56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</row>
    <row r="845" spans="1:56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</row>
    <row r="846" spans="1:5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</row>
    <row r="847" spans="1:56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</row>
    <row r="848" spans="1:56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</row>
    <row r="849" spans="1:56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</row>
    <row r="850" spans="1:56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</row>
    <row r="851" spans="1:56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</row>
    <row r="852" spans="1:56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</row>
    <row r="853" spans="1:56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</row>
    <row r="854" spans="1:56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</row>
    <row r="855" spans="1:56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</row>
    <row r="856" spans="1: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</row>
    <row r="857" spans="1:56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</row>
    <row r="858" spans="1:56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</row>
    <row r="859" spans="1:56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</row>
    <row r="860" spans="1:56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</row>
    <row r="861" spans="1:56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</row>
    <row r="862" spans="1:56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</row>
    <row r="863" spans="1:56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</row>
    <row r="864" spans="1:56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</row>
    <row r="865" spans="1:56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</row>
    <row r="866" spans="1:5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</row>
    <row r="867" spans="1:56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</row>
    <row r="868" spans="1:56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</row>
    <row r="869" spans="1:56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</row>
    <row r="870" spans="1:56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</row>
    <row r="871" spans="1:56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</row>
    <row r="872" spans="1:56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</row>
    <row r="873" spans="1:56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</row>
    <row r="874" spans="1:56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</row>
    <row r="875" spans="1:56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</row>
    <row r="876" spans="1:5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</row>
    <row r="877" spans="1:56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</row>
    <row r="878" spans="1:56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</row>
    <row r="879" spans="1:56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</row>
    <row r="880" spans="1:56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</row>
    <row r="881" spans="1:56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</row>
    <row r="882" spans="1:56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</row>
    <row r="883" spans="1:56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</row>
    <row r="884" spans="1:56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</row>
    <row r="885" spans="1:56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</row>
    <row r="886" spans="1:5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</row>
    <row r="887" spans="1:56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</row>
    <row r="888" spans="1:56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</row>
    <row r="889" spans="1:56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</row>
    <row r="890" spans="1:56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</row>
    <row r="891" spans="1:56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</row>
    <row r="892" spans="1:56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</row>
    <row r="893" spans="1:56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</row>
    <row r="894" spans="1:56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</row>
    <row r="895" spans="1:56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</row>
    <row r="896" spans="1:5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</row>
    <row r="897" spans="1:56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</row>
    <row r="898" spans="1:56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</row>
    <row r="899" spans="1:56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</row>
    <row r="900" spans="1:56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</row>
    <row r="901" spans="1:56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</row>
    <row r="902" spans="1:56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</row>
    <row r="903" spans="1:56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</row>
    <row r="904" spans="1:56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</row>
    <row r="905" spans="1:56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</row>
    <row r="906" spans="1:5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</row>
    <row r="907" spans="1:56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</row>
    <row r="908" spans="1:56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</row>
    <row r="909" spans="1:56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</row>
    <row r="910" spans="1:56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</row>
    <row r="911" spans="1:56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</row>
    <row r="912" spans="1:56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</row>
    <row r="913" spans="1:56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</row>
    <row r="914" spans="1:56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</row>
    <row r="915" spans="1:56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</row>
    <row r="916" spans="1:5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</row>
    <row r="917" spans="1:56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</row>
    <row r="918" spans="1:56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</row>
    <row r="919" spans="1:56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</row>
    <row r="920" spans="1:56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</row>
    <row r="921" spans="1:56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</row>
    <row r="922" spans="1:56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</row>
    <row r="923" spans="1:56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</row>
    <row r="924" spans="1:56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</row>
    <row r="925" spans="1:56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</row>
    <row r="926" spans="1:5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</row>
    <row r="927" spans="1:56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</row>
    <row r="928" spans="1:56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</row>
    <row r="929" spans="1:56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</row>
    <row r="930" spans="1:56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</row>
    <row r="931" spans="1:56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</row>
    <row r="932" spans="1:56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</row>
    <row r="933" spans="1:56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</row>
    <row r="934" spans="1:56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</row>
    <row r="935" spans="1:56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</row>
    <row r="936" spans="1:5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</row>
    <row r="937" spans="1:56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</row>
    <row r="938" spans="1:56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</row>
    <row r="939" spans="1:56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</row>
    <row r="940" spans="1:56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</row>
    <row r="941" spans="1:56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</row>
    <row r="942" spans="1:56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</row>
    <row r="943" spans="1:56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</row>
    <row r="944" spans="1:56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</row>
    <row r="945" spans="1:56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</row>
    <row r="946" spans="1:5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</row>
    <row r="947" spans="1:56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</row>
    <row r="948" spans="1:56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</row>
    <row r="949" spans="1:56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</row>
    <row r="950" spans="1:56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</row>
    <row r="951" spans="1:56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</row>
    <row r="952" spans="1:56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</row>
    <row r="953" spans="1:56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</row>
    <row r="954" spans="1:56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</row>
    <row r="955" spans="1:56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</row>
    <row r="956" spans="1: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</row>
    <row r="957" spans="1:56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</row>
    <row r="958" spans="1:56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</row>
    <row r="959" spans="1:56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</row>
    <row r="960" spans="1:56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</row>
    <row r="961" spans="1:56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</row>
    <row r="962" spans="1:56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</row>
    <row r="963" spans="1:56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</row>
    <row r="964" spans="1:56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</row>
    <row r="965" spans="1:56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</row>
    <row r="966" spans="1:5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</row>
    <row r="967" spans="1:56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</row>
    <row r="968" spans="1:56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</row>
    <row r="969" spans="1:56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</row>
    <row r="970" spans="1:56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</row>
    <row r="971" spans="1:56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</row>
    <row r="972" spans="1:56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</row>
    <row r="973" spans="1:56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</row>
    <row r="974" spans="1:56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</row>
    <row r="975" spans="1:56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</row>
    <row r="976" spans="1:5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</row>
    <row r="977" spans="1:56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</row>
    <row r="978" spans="1:56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</row>
    <row r="979" spans="1:56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</row>
    <row r="980" spans="1:56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</row>
    <row r="981" spans="1:56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</row>
    <row r="982" spans="1:56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</row>
    <row r="983" spans="1:56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</row>
    <row r="984" spans="1:56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</row>
    <row r="985" spans="1:56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</row>
    <row r="986" spans="1:5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</row>
    <row r="987" spans="1:56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</row>
    <row r="988" spans="1:56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</row>
    <row r="989" spans="1:56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</row>
    <row r="990" spans="1:56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</row>
    <row r="991" spans="1:56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</row>
    <row r="992" spans="1:56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</row>
    <row r="993" spans="1:56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</row>
    <row r="994" spans="1:56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</row>
    <row r="995" spans="1:56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</row>
    <row r="996" spans="1:5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</row>
    <row r="997" spans="1:56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</row>
    <row r="998" spans="1:56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</row>
    <row r="999" spans="1:56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</row>
    <row r="1000" spans="1:56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</row>
  </sheetData>
  <mergeCells count="36">
    <mergeCell ref="P60:U60"/>
    <mergeCell ref="F61:J61"/>
    <mergeCell ref="F54:I54"/>
    <mergeCell ref="F55:J55"/>
    <mergeCell ref="H57:J57"/>
    <mergeCell ref="F59:K59"/>
    <mergeCell ref="O60:O61"/>
    <mergeCell ref="F62:J62"/>
    <mergeCell ref="F64:J64"/>
    <mergeCell ref="F66:J66"/>
    <mergeCell ref="F68:J68"/>
    <mergeCell ref="H70:J70"/>
    <mergeCell ref="F22:K23"/>
    <mergeCell ref="F49:J49"/>
    <mergeCell ref="F50:I50"/>
    <mergeCell ref="F52:I52"/>
    <mergeCell ref="F53:I53"/>
    <mergeCell ref="B1:R3"/>
    <mergeCell ref="B6:R6"/>
    <mergeCell ref="B7:B10"/>
    <mergeCell ref="D7:F8"/>
    <mergeCell ref="G7:H7"/>
    <mergeCell ref="I7:R8"/>
    <mergeCell ref="G8:H8"/>
    <mergeCell ref="G9:G10"/>
    <mergeCell ref="H9:H10"/>
    <mergeCell ref="N9:R9"/>
    <mergeCell ref="AL9:AL10"/>
    <mergeCell ref="AM9:AM10"/>
    <mergeCell ref="AN9:AN10"/>
    <mergeCell ref="AO9:AO10"/>
    <mergeCell ref="C7:C10"/>
    <mergeCell ref="D9:D10"/>
    <mergeCell ref="E9:E10"/>
    <mergeCell ref="F9:F10"/>
    <mergeCell ref="I9:M9"/>
  </mergeCells>
  <conditionalFormatting sqref="G29:K48">
    <cfRule type="containsBlanks" dxfId="6" priority="1">
      <formula>LEN(TRIM(G29))=0</formula>
    </cfRule>
  </conditionalFormatting>
  <conditionalFormatting sqref="F29:F48">
    <cfRule type="containsBlanks" dxfId="5" priority="2">
      <formula>LEN(TRIM(F29))=0</formula>
    </cfRule>
  </conditionalFormatting>
  <dataValidations count="2">
    <dataValidation type="list" allowBlank="1" showErrorMessage="1" sqref="I11:I20 N11:N20" xr:uid="{00000000-0002-0000-0400-000000000000}">
      <formula1>$V$11:$V$17</formula1>
    </dataValidation>
    <dataValidation type="list" allowBlank="1" showErrorMessage="1" sqref="G8" xr:uid="{00000000-0002-0000-0400-000001000000}">
      <formula1>$AJ$11:$AJ$14</formula1>
    </dataValidation>
  </dataValidation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L1000"/>
  <sheetViews>
    <sheetView showGridLines="0" zoomScale="70" zoomScaleNormal="70" workbookViewId="0">
      <pane ySplit="3" topLeftCell="A16" activePane="bottomLeft" state="frozen"/>
      <selection pane="bottomLeft" activeCell="O27" sqref="O27"/>
    </sheetView>
  </sheetViews>
  <sheetFormatPr defaultColWidth="12.625" defaultRowHeight="15" customHeight="1"/>
  <cols>
    <col min="1" max="1" width="8.625" hidden="1" customWidth="1"/>
    <col min="2" max="2" width="9.625" customWidth="1"/>
    <col min="3" max="4" width="9" customWidth="1"/>
    <col min="5" max="5" width="7.875" customWidth="1"/>
    <col min="6" max="6" width="10.75" customWidth="1"/>
    <col min="7" max="7" width="18.375" customWidth="1"/>
    <col min="8" max="8" width="12.75" customWidth="1"/>
    <col min="9" max="9" width="9.5" customWidth="1"/>
    <col min="10" max="10" width="13" customWidth="1"/>
    <col min="11" max="11" width="15.5" customWidth="1"/>
    <col min="12" max="12" width="8" customWidth="1"/>
    <col min="13" max="16" width="10.875" customWidth="1"/>
    <col min="17" max="17" width="9.625" customWidth="1"/>
    <col min="18" max="19" width="8.875" hidden="1" customWidth="1"/>
    <col min="20" max="20" width="11.5" hidden="1" customWidth="1"/>
    <col min="21" max="28" width="10.875" hidden="1" customWidth="1"/>
    <col min="29" max="52" width="9" hidden="1" customWidth="1"/>
    <col min="53" max="53" width="9.75" hidden="1" customWidth="1"/>
    <col min="54" max="54" width="11.375" hidden="1" customWidth="1"/>
    <col min="55" max="55" width="7.625" hidden="1" customWidth="1"/>
    <col min="56" max="56" width="10.625" hidden="1" customWidth="1"/>
    <col min="57" max="58" width="9" hidden="1" customWidth="1"/>
    <col min="59" max="59" width="12.125" hidden="1" customWidth="1"/>
    <col min="60" max="64" width="9" hidden="1" customWidth="1"/>
  </cols>
  <sheetData>
    <row r="1" spans="1:64" ht="61.5" customHeight="1">
      <c r="A1" s="3"/>
      <c r="B1" s="171" t="s">
        <v>130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3"/>
      <c r="S1" s="8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4" ht="2.25" customHeight="1">
      <c r="A2" s="3"/>
      <c r="B2" s="178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80"/>
      <c r="S2" s="81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</row>
    <row r="3" spans="1:64" ht="16.5" customHeight="1">
      <c r="A3" s="4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</row>
    <row r="4" spans="1:64" ht="16.5" customHeight="1">
      <c r="A4" s="4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</row>
    <row r="5" spans="1:64" ht="16.5" customHeight="1">
      <c r="A5" s="3"/>
      <c r="B5" s="182" t="s">
        <v>131</v>
      </c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4"/>
      <c r="S5" s="5"/>
      <c r="T5" s="5"/>
      <c r="U5" s="5"/>
      <c r="V5" s="5"/>
      <c r="W5" s="5"/>
      <c r="X5" s="5"/>
      <c r="Y5" s="5"/>
      <c r="Z5" s="5"/>
      <c r="AA5" s="5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</row>
    <row r="6" spans="1:64" ht="16.5" customHeight="1">
      <c r="A6" s="3"/>
      <c r="B6" s="185" t="s">
        <v>4</v>
      </c>
      <c r="C6" s="186" t="s">
        <v>10</v>
      </c>
      <c r="D6" s="187" t="s">
        <v>11</v>
      </c>
      <c r="E6" s="188"/>
      <c r="F6" s="189"/>
      <c r="G6" s="190" t="s">
        <v>12</v>
      </c>
      <c r="H6" s="191"/>
      <c r="I6" s="192" t="s">
        <v>252</v>
      </c>
      <c r="J6" s="188"/>
      <c r="K6" s="188"/>
      <c r="L6" s="188"/>
      <c r="M6" s="188"/>
      <c r="N6" s="188"/>
      <c r="O6" s="188"/>
      <c r="P6" s="188"/>
      <c r="Q6" s="191"/>
      <c r="R6" s="410"/>
      <c r="S6" s="82"/>
      <c r="T6" s="6"/>
      <c r="U6" s="6"/>
      <c r="V6" s="6"/>
      <c r="W6" s="6"/>
      <c r="X6" s="6"/>
      <c r="Y6" s="6"/>
      <c r="Z6" s="6"/>
      <c r="AA6" s="6"/>
      <c r="AB6" s="6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</row>
    <row r="7" spans="1:64" ht="16.5" customHeight="1">
      <c r="A7" s="3"/>
      <c r="B7" s="193"/>
      <c r="C7" s="194"/>
      <c r="D7" s="195"/>
      <c r="E7" s="196"/>
      <c r="F7" s="197"/>
      <c r="G7" s="198" t="s">
        <v>13</v>
      </c>
      <c r="H7" s="199"/>
      <c r="I7" s="200"/>
      <c r="J7" s="201"/>
      <c r="K7" s="201"/>
      <c r="L7" s="201"/>
      <c r="M7" s="201"/>
      <c r="N7" s="201"/>
      <c r="O7" s="201"/>
      <c r="P7" s="201"/>
      <c r="Q7" s="202"/>
      <c r="R7" s="411"/>
      <c r="S7" s="82"/>
      <c r="T7" s="6"/>
      <c r="U7" s="6"/>
      <c r="V7" s="6"/>
      <c r="W7" s="6"/>
      <c r="X7" s="6"/>
      <c r="Y7" s="6"/>
      <c r="Z7" s="6"/>
      <c r="AA7" s="6"/>
      <c r="AB7" s="6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</row>
    <row r="8" spans="1:64" ht="16.5" customHeight="1">
      <c r="A8" s="3"/>
      <c r="B8" s="193"/>
      <c r="C8" s="194"/>
      <c r="D8" s="203" t="s">
        <v>132</v>
      </c>
      <c r="E8" s="203" t="s">
        <v>133</v>
      </c>
      <c r="F8" s="203" t="s">
        <v>14</v>
      </c>
      <c r="G8" s="203" t="s">
        <v>17</v>
      </c>
      <c r="H8" s="204" t="s">
        <v>134</v>
      </c>
      <c r="I8" s="205" t="s">
        <v>101</v>
      </c>
      <c r="J8" s="206"/>
      <c r="K8" s="206"/>
      <c r="L8" s="206"/>
      <c r="M8" s="207"/>
      <c r="N8" s="205" t="s">
        <v>135</v>
      </c>
      <c r="O8" s="206"/>
      <c r="P8" s="206"/>
      <c r="Q8" s="207"/>
      <c r="R8" s="412"/>
      <c r="S8" s="83"/>
      <c r="T8" s="6"/>
      <c r="U8" s="6"/>
      <c r="V8" s="6"/>
      <c r="W8" s="6"/>
      <c r="X8" s="6"/>
      <c r="Y8" s="6"/>
      <c r="Z8" s="6"/>
      <c r="AA8" s="6"/>
      <c r="AB8" s="6"/>
      <c r="AC8" s="3"/>
      <c r="AD8" s="3"/>
      <c r="AE8" s="3"/>
      <c r="AF8" s="3"/>
      <c r="AG8" s="3"/>
      <c r="AH8" s="3"/>
      <c r="AI8" s="3"/>
      <c r="AJ8" s="3"/>
      <c r="AK8" s="3"/>
      <c r="AL8" s="3"/>
      <c r="AM8" s="111" t="s">
        <v>21</v>
      </c>
      <c r="AN8" s="112" t="s">
        <v>22</v>
      </c>
      <c r="AO8" s="112" t="s">
        <v>23</v>
      </c>
      <c r="AP8" s="112" t="s">
        <v>24</v>
      </c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9" t="s">
        <v>103</v>
      </c>
      <c r="BG8" s="9"/>
      <c r="BH8" s="3"/>
      <c r="BI8" s="3"/>
      <c r="BJ8" s="3"/>
      <c r="BK8" s="3"/>
      <c r="BL8" s="3"/>
    </row>
    <row r="9" spans="1:64" ht="75" customHeight="1">
      <c r="A9" s="9"/>
      <c r="B9" s="208"/>
      <c r="C9" s="209"/>
      <c r="D9" s="209"/>
      <c r="E9" s="209"/>
      <c r="F9" s="209"/>
      <c r="G9" s="209"/>
      <c r="H9" s="210"/>
      <c r="I9" s="211" t="s">
        <v>25</v>
      </c>
      <c r="J9" s="212" t="s">
        <v>26</v>
      </c>
      <c r="K9" s="213" t="s">
        <v>82</v>
      </c>
      <c r="L9" s="212" t="s">
        <v>136</v>
      </c>
      <c r="M9" s="214" t="s">
        <v>137</v>
      </c>
      <c r="N9" s="211" t="s">
        <v>25</v>
      </c>
      <c r="O9" s="212" t="s">
        <v>26</v>
      </c>
      <c r="P9" s="213" t="s">
        <v>27</v>
      </c>
      <c r="Q9" s="214" t="s">
        <v>104</v>
      </c>
      <c r="R9" s="413" t="s">
        <v>29</v>
      </c>
      <c r="S9" s="84"/>
      <c r="T9" s="14"/>
      <c r="U9" s="14"/>
      <c r="V9" s="14"/>
      <c r="W9" s="14"/>
      <c r="X9" s="14"/>
      <c r="Y9" s="14" t="s">
        <v>30</v>
      </c>
      <c r="Z9" s="14" t="s">
        <v>30</v>
      </c>
      <c r="AA9" s="14"/>
      <c r="AB9" s="14"/>
      <c r="AC9" s="9"/>
      <c r="AD9" s="9"/>
      <c r="AE9" s="9"/>
      <c r="AF9" s="9"/>
      <c r="AG9" s="9"/>
      <c r="AH9" s="9"/>
      <c r="AI9" s="9"/>
      <c r="AJ9" s="15"/>
      <c r="AK9" s="9"/>
      <c r="AL9" s="9"/>
      <c r="AM9" s="102"/>
      <c r="AN9" s="102"/>
      <c r="AO9" s="102"/>
      <c r="AP9" s="102"/>
      <c r="AQ9" s="9"/>
      <c r="AR9" s="9"/>
      <c r="AS9" s="9"/>
      <c r="AT9" s="9"/>
      <c r="AU9" s="9"/>
      <c r="AV9" s="9"/>
      <c r="AW9" s="9"/>
      <c r="AX9" s="9"/>
      <c r="AY9" s="9"/>
      <c r="AZ9" s="9" t="s">
        <v>31</v>
      </c>
      <c r="BA9" s="9" t="s">
        <v>32</v>
      </c>
      <c r="BB9" s="9" t="s">
        <v>19</v>
      </c>
      <c r="BC9" s="9" t="s">
        <v>10</v>
      </c>
      <c r="BD9" s="9" t="s">
        <v>20</v>
      </c>
      <c r="BE9" s="9" t="s">
        <v>10</v>
      </c>
      <c r="BF9" s="9" t="s">
        <v>24</v>
      </c>
      <c r="BG9" s="9" t="s">
        <v>138</v>
      </c>
      <c r="BH9" s="9" t="s">
        <v>105</v>
      </c>
      <c r="BI9" s="9" t="s">
        <v>106</v>
      </c>
      <c r="BJ9" s="9" t="s">
        <v>107</v>
      </c>
      <c r="BK9" s="9" t="s">
        <v>108</v>
      </c>
      <c r="BL9" s="9" t="s">
        <v>109</v>
      </c>
    </row>
    <row r="10" spans="1:64" ht="16.5" customHeight="1">
      <c r="A10" s="3"/>
      <c r="B10" s="215" t="s">
        <v>139</v>
      </c>
      <c r="C10" s="216"/>
      <c r="D10" s="216"/>
      <c r="E10" s="216"/>
      <c r="F10" s="216"/>
      <c r="G10" s="217"/>
      <c r="H10" s="218"/>
      <c r="I10" s="219"/>
      <c r="J10" s="398">
        <f t="shared" ref="J10:J19" si="0">K10</f>
        <v>0</v>
      </c>
      <c r="K10" s="399"/>
      <c r="L10" s="222"/>
      <c r="M10" s="223"/>
      <c r="N10" s="219"/>
      <c r="O10" s="220" t="str">
        <f t="shared" ref="O10:O19" si="1">AY10</f>
        <v/>
      </c>
      <c r="P10" s="221">
        <f t="shared" ref="P10:P19" si="2">IF(C10&gt;0,0.05*2+2*(D10+E10)-4*(G10/1000),0)</f>
        <v>0</v>
      </c>
      <c r="Q10" s="223"/>
      <c r="R10" s="414">
        <v>0</v>
      </c>
      <c r="S10" s="24"/>
      <c r="T10" s="23">
        <f>C10*D10*E10*F10*0.02*77100/9.81</f>
        <v>0</v>
      </c>
      <c r="U10" s="23">
        <f t="shared" ref="U10:U19" si="3">4*0.05+10*0.1</f>
        <v>1.2</v>
      </c>
      <c r="V10" s="24">
        <f t="shared" ref="V10:V19" si="4">F10-U10</f>
        <v>-1.2</v>
      </c>
      <c r="W10" s="3" t="s">
        <v>36</v>
      </c>
      <c r="X10" s="23">
        <v>0.61735017716184748</v>
      </c>
      <c r="Y10" s="24" t="str">
        <f t="shared" ref="Y10:Y19" si="5">IF(C10&gt;0,AA10*J10*VLOOKUP(I10,$W$10:$X$16,2,FALSE),"")</f>
        <v/>
      </c>
      <c r="Z10" s="25" t="str">
        <f t="shared" ref="Z10:Z19" si="6">IF(C10&gt;0,O10*AB10*VLOOKUP(I10,$W$10:$X$16,2,FALSE),"")</f>
        <v/>
      </c>
      <c r="AA10" s="24" t="str">
        <f t="shared" ref="AA10:AA19" si="7">IF(C10&gt;0,CEILING(C10*0.85*(F10+2*H10)*(L10+(M10-4))/(J10-0.5),1),"")</f>
        <v/>
      </c>
      <c r="AB10" s="24" t="str">
        <f t="shared" ref="AB10:AB19" si="8">IF(C10&gt;0,CEILING(C10*P10*(14+V10*1000/Q10+R10+1)/O10,1),"")</f>
        <v/>
      </c>
      <c r="AC10" s="25">
        <f t="shared" ref="AC10:AC19" si="9">K10</f>
        <v>0</v>
      </c>
      <c r="AD10" s="3" t="str">
        <f t="shared" ref="AD10:AH10" si="10">IF(C10&gt;0,AD$20-$AC10*FLOOR(AD$20/$AC10,1),"")</f>
        <v/>
      </c>
      <c r="AE10" s="3" t="str">
        <f t="shared" si="10"/>
        <v/>
      </c>
      <c r="AF10" s="3" t="str">
        <f t="shared" si="10"/>
        <v/>
      </c>
      <c r="AG10" s="3" t="str">
        <f t="shared" si="10"/>
        <v/>
      </c>
      <c r="AH10" s="3" t="str">
        <f t="shared" si="10"/>
        <v/>
      </c>
      <c r="AI10" s="3" t="str">
        <f t="shared" ref="AI10:AI19" si="11">IF(AC10&gt;0,SMALL(AD10:AH10,1),"")</f>
        <v/>
      </c>
      <c r="AJ10" s="26" t="str">
        <f>IF(AC10&gt;0,HLOOKUP(AI10,AD10:AH20,11,FALSE),"")</f>
        <v/>
      </c>
      <c r="AK10" s="23" t="s">
        <v>13</v>
      </c>
      <c r="AL10" s="3">
        <v>12</v>
      </c>
      <c r="AM10" s="25">
        <f t="shared" ref="AM10:AM19" si="12">C10*D10*E10*F10</f>
        <v>0</v>
      </c>
      <c r="AN10" s="25">
        <f t="shared" ref="AN10:AN19" si="13">C10*D10*E10*H10*1.3</f>
        <v>0</v>
      </c>
      <c r="AO10" s="25">
        <f t="shared" ref="AO10:AO19" si="14">AN10-(AM10*1.15)</f>
        <v>0</v>
      </c>
      <c r="AP10" s="25">
        <f t="shared" ref="AP10:AP19" si="15">D10*E10*C10</f>
        <v>0</v>
      </c>
      <c r="AQ10" s="3"/>
      <c r="AR10" s="25">
        <f t="shared" ref="AR10:AR19" si="16">P10</f>
        <v>0</v>
      </c>
      <c r="AS10" s="3" t="str">
        <f t="shared" ref="AS10:AW10" si="17">IF(C10&gt;0,AS$20-$AR10*FLOOR(AS$20/$AR10,1),"")</f>
        <v/>
      </c>
      <c r="AT10" s="3" t="str">
        <f t="shared" si="17"/>
        <v/>
      </c>
      <c r="AU10" s="3" t="str">
        <f t="shared" si="17"/>
        <v/>
      </c>
      <c r="AV10" s="3" t="str">
        <f t="shared" si="17"/>
        <v/>
      </c>
      <c r="AW10" s="3" t="str">
        <f t="shared" si="17"/>
        <v/>
      </c>
      <c r="AX10" s="3" t="str">
        <f t="shared" ref="AX10:AX19" si="18">IF(AR10&gt;0,SMALL(AS10:AW10,1),"")</f>
        <v/>
      </c>
      <c r="AY10" s="26" t="str">
        <f>IF(AR10&gt;0,HLOOKUP(AX10,AS10:AW20,11,FALSE),"")</f>
        <v/>
      </c>
      <c r="AZ10" s="3"/>
      <c r="BA10" s="3"/>
      <c r="BB10" s="3"/>
      <c r="BC10" s="3"/>
      <c r="BD10" s="3"/>
      <c r="BE10" s="3"/>
      <c r="BF10" s="25">
        <f>C10*(2*(E10)+D10)*F10</f>
        <v>0</v>
      </c>
      <c r="BG10" s="25">
        <f t="shared" ref="BG10:BG19" si="19">C10*D10*F10</f>
        <v>0</v>
      </c>
      <c r="BH10" s="25">
        <f t="shared" ref="BH10:BH19" si="20">BF10/(1.2*2.4)</f>
        <v>0</v>
      </c>
      <c r="BI10" s="25">
        <f t="shared" ref="BI10:BI19" si="21">BH10*20.33/(2*2*8/12)</f>
        <v>0</v>
      </c>
      <c r="BJ10" s="25">
        <f t="shared" ref="BJ10:BJ19" si="22">BH10*30.5/(2*3*8/12)</f>
        <v>0</v>
      </c>
      <c r="BK10" s="25">
        <f t="shared" ref="BK10:BK19" si="23">0.02*4*8*BH10</f>
        <v>0</v>
      </c>
      <c r="BL10" s="25">
        <f t="shared" ref="BL10:BL19" si="24">0.02*4*8*BH10</f>
        <v>0</v>
      </c>
    </row>
    <row r="11" spans="1:64" ht="16.5" customHeight="1">
      <c r="A11" s="3"/>
      <c r="B11" s="215" t="s">
        <v>140</v>
      </c>
      <c r="C11" s="216"/>
      <c r="D11" s="216"/>
      <c r="E11" s="216"/>
      <c r="F11" s="216"/>
      <c r="G11" s="217"/>
      <c r="H11" s="218"/>
      <c r="I11" s="219"/>
      <c r="J11" s="398">
        <f t="shared" si="0"/>
        <v>0</v>
      </c>
      <c r="K11" s="399"/>
      <c r="L11" s="222"/>
      <c r="M11" s="223"/>
      <c r="N11" s="219"/>
      <c r="O11" s="220" t="str">
        <f t="shared" si="1"/>
        <v/>
      </c>
      <c r="P11" s="221">
        <f t="shared" si="2"/>
        <v>0</v>
      </c>
      <c r="Q11" s="223"/>
      <c r="R11" s="414">
        <v>0</v>
      </c>
      <c r="S11" s="24"/>
      <c r="T11" s="23" t="e">
        <f>VLOOKUP(I10,W10:X16,2,FALSE)</f>
        <v>#N/A</v>
      </c>
      <c r="U11" s="23">
        <f t="shared" si="3"/>
        <v>1.2</v>
      </c>
      <c r="V11" s="24">
        <f t="shared" si="4"/>
        <v>-1.2</v>
      </c>
      <c r="W11" s="3" t="s">
        <v>35</v>
      </c>
      <c r="X11" s="23">
        <v>0.88898425511306034</v>
      </c>
      <c r="Y11" s="24" t="str">
        <f t="shared" si="5"/>
        <v/>
      </c>
      <c r="Z11" s="25" t="str">
        <f t="shared" si="6"/>
        <v/>
      </c>
      <c r="AA11" s="24" t="str">
        <f t="shared" si="7"/>
        <v/>
      </c>
      <c r="AB11" s="24" t="str">
        <f t="shared" si="8"/>
        <v/>
      </c>
      <c r="AC11" s="25">
        <f t="shared" si="9"/>
        <v>0</v>
      </c>
      <c r="AD11" s="3" t="str">
        <f t="shared" ref="AD11:AH11" si="25">IF(C11&gt;0,AD$20-$AC11*FLOOR(AD$20/$AC11,1),"")</f>
        <v/>
      </c>
      <c r="AE11" s="3" t="str">
        <f t="shared" si="25"/>
        <v/>
      </c>
      <c r="AF11" s="3" t="str">
        <f t="shared" si="25"/>
        <v/>
      </c>
      <c r="AG11" s="3" t="str">
        <f t="shared" si="25"/>
        <v/>
      </c>
      <c r="AH11" s="3" t="str">
        <f t="shared" si="25"/>
        <v/>
      </c>
      <c r="AI11" s="3" t="str">
        <f t="shared" si="11"/>
        <v/>
      </c>
      <c r="AJ11" s="26" t="str">
        <f>IF(AC11&gt;0,HLOOKUP(AI11,AD11:AH21,10,FALSE),"")</f>
        <v/>
      </c>
      <c r="AK11" s="23" t="s">
        <v>38</v>
      </c>
      <c r="AL11" s="3">
        <v>10</v>
      </c>
      <c r="AM11" s="25">
        <f t="shared" si="12"/>
        <v>0</v>
      </c>
      <c r="AN11" s="25">
        <f t="shared" si="13"/>
        <v>0</v>
      </c>
      <c r="AO11" s="25">
        <f t="shared" si="14"/>
        <v>0</v>
      </c>
      <c r="AP11" s="25">
        <f t="shared" si="15"/>
        <v>0</v>
      </c>
      <c r="AQ11" s="3"/>
      <c r="AR11" s="25">
        <f t="shared" si="16"/>
        <v>0</v>
      </c>
      <c r="AS11" s="3" t="str">
        <f t="shared" ref="AS11:AW11" si="26">IF(C11&gt;0,AS$20-$AR11*FLOOR(AS$20/$AR11,1),"")</f>
        <v/>
      </c>
      <c r="AT11" s="3" t="str">
        <f t="shared" si="26"/>
        <v/>
      </c>
      <c r="AU11" s="3" t="str">
        <f t="shared" si="26"/>
        <v/>
      </c>
      <c r="AV11" s="3" t="str">
        <f t="shared" si="26"/>
        <v/>
      </c>
      <c r="AW11" s="3" t="str">
        <f t="shared" si="26"/>
        <v/>
      </c>
      <c r="AX11" s="3" t="str">
        <f t="shared" si="18"/>
        <v/>
      </c>
      <c r="AY11" s="26" t="str">
        <f>IF(AR11&gt;0,HLOOKUP(AX11,AS11:AW21,10,FALSE),"")</f>
        <v/>
      </c>
      <c r="AZ11" s="3"/>
      <c r="BA11" s="3"/>
      <c r="BB11" s="3"/>
      <c r="BC11" s="3"/>
      <c r="BD11" s="3"/>
      <c r="BE11" s="3"/>
      <c r="BF11" s="25">
        <f t="shared" ref="BF11:BF19" si="27">C11*2*(D11+E11)*F11</f>
        <v>0</v>
      </c>
      <c r="BG11" s="25">
        <f t="shared" si="19"/>
        <v>0</v>
      </c>
      <c r="BH11" s="25">
        <f t="shared" si="20"/>
        <v>0</v>
      </c>
      <c r="BI11" s="25">
        <f t="shared" si="21"/>
        <v>0</v>
      </c>
      <c r="BJ11" s="25">
        <f t="shared" si="22"/>
        <v>0</v>
      </c>
      <c r="BK11" s="25">
        <f t="shared" si="23"/>
        <v>0</v>
      </c>
      <c r="BL11" s="25">
        <f t="shared" si="24"/>
        <v>0</v>
      </c>
    </row>
    <row r="12" spans="1:64" ht="16.5" customHeight="1">
      <c r="A12" s="3"/>
      <c r="B12" s="215" t="s">
        <v>141</v>
      </c>
      <c r="C12" s="216">
        <v>1</v>
      </c>
      <c r="D12" s="216">
        <v>0.3</v>
      </c>
      <c r="E12" s="216">
        <v>0.9</v>
      </c>
      <c r="F12" s="216">
        <v>6.5</v>
      </c>
      <c r="G12" s="217">
        <v>40</v>
      </c>
      <c r="H12" s="218">
        <v>0.2</v>
      </c>
      <c r="I12" s="219" t="s">
        <v>34</v>
      </c>
      <c r="J12" s="398">
        <f t="shared" si="0"/>
        <v>6</v>
      </c>
      <c r="K12" s="399">
        <v>6</v>
      </c>
      <c r="L12" s="222">
        <v>4</v>
      </c>
      <c r="M12" s="223">
        <v>4</v>
      </c>
      <c r="N12" s="219" t="s">
        <v>36</v>
      </c>
      <c r="O12" s="220">
        <f t="shared" si="1"/>
        <v>12</v>
      </c>
      <c r="P12" s="221">
        <f t="shared" si="2"/>
        <v>2.34</v>
      </c>
      <c r="Q12" s="223">
        <v>200</v>
      </c>
      <c r="R12" s="414">
        <v>0</v>
      </c>
      <c r="S12" s="24"/>
      <c r="T12" s="23" t="e">
        <f>T10/T11</f>
        <v>#N/A</v>
      </c>
      <c r="U12" s="23">
        <f t="shared" si="3"/>
        <v>1.2</v>
      </c>
      <c r="V12" s="24">
        <f t="shared" si="4"/>
        <v>5.3</v>
      </c>
      <c r="W12" s="3" t="s">
        <v>34</v>
      </c>
      <c r="X12" s="23">
        <v>1.5804164535343297</v>
      </c>
      <c r="Y12" s="24">
        <f t="shared" si="5"/>
        <v>47.412493606029891</v>
      </c>
      <c r="Z12" s="25">
        <f t="shared" si="6"/>
        <v>170.68497698170762</v>
      </c>
      <c r="AA12" s="24">
        <f t="shared" si="7"/>
        <v>5</v>
      </c>
      <c r="AB12" s="24">
        <f t="shared" si="8"/>
        <v>9</v>
      </c>
      <c r="AC12" s="25">
        <f t="shared" si="9"/>
        <v>6</v>
      </c>
      <c r="AD12" s="3">
        <f t="shared" ref="AD12:AH12" si="28">IF(C12&gt;0,AD$20-$AC12*FLOOR(AD$20/$AC12,1),"")</f>
        <v>0</v>
      </c>
      <c r="AE12" s="3">
        <f t="shared" si="28"/>
        <v>1.5</v>
      </c>
      <c r="AF12" s="3">
        <f t="shared" si="28"/>
        <v>3</v>
      </c>
      <c r="AG12" s="3">
        <f t="shared" si="28"/>
        <v>4.5</v>
      </c>
      <c r="AH12" s="3">
        <f t="shared" si="28"/>
        <v>0</v>
      </c>
      <c r="AI12" s="3">
        <f t="shared" si="11"/>
        <v>0</v>
      </c>
      <c r="AJ12" s="26">
        <f>IF(AC12&gt;0,HLOOKUP(AI12,AD12:AH22,9,FALSE),"")</f>
        <v>6</v>
      </c>
      <c r="AK12" s="23" t="s">
        <v>40</v>
      </c>
      <c r="AL12" s="3">
        <v>8</v>
      </c>
      <c r="AM12" s="25">
        <f t="shared" si="12"/>
        <v>1.7550000000000001</v>
      </c>
      <c r="AN12" s="25">
        <f t="shared" si="13"/>
        <v>7.0200000000000012E-2</v>
      </c>
      <c r="AO12" s="25">
        <f t="shared" si="14"/>
        <v>-1.9480500000000001</v>
      </c>
      <c r="AP12" s="25">
        <f t="shared" si="15"/>
        <v>0.27</v>
      </c>
      <c r="AQ12" s="3"/>
      <c r="AR12" s="25">
        <f t="shared" si="16"/>
        <v>2.34</v>
      </c>
      <c r="AS12" s="3">
        <f t="shared" ref="AS12:AW12" si="29">IF(C12&gt;0,AS$20-$AR12*FLOOR(AS$20/$AR12,1),"")</f>
        <v>1.3200000000000003</v>
      </c>
      <c r="AT12" s="3">
        <f t="shared" si="29"/>
        <v>0.48000000000000043</v>
      </c>
      <c r="AU12" s="3">
        <f t="shared" si="29"/>
        <v>1.9800000000000004</v>
      </c>
      <c r="AV12" s="3">
        <f t="shared" si="29"/>
        <v>1.1400000000000006</v>
      </c>
      <c r="AW12" s="3">
        <f t="shared" si="29"/>
        <v>0.30000000000000071</v>
      </c>
      <c r="AX12" s="3">
        <f t="shared" si="18"/>
        <v>0.30000000000000071</v>
      </c>
      <c r="AY12" s="26">
        <f>IF(AR12&gt;0,HLOOKUP(AX12,AS12:AW22,9,FALSE),"")</f>
        <v>12</v>
      </c>
      <c r="AZ12" s="3"/>
      <c r="BA12" s="3"/>
      <c r="BB12" s="3"/>
      <c r="BC12" s="3"/>
      <c r="BD12" s="3"/>
      <c r="BE12" s="3"/>
      <c r="BF12" s="25">
        <f t="shared" si="27"/>
        <v>15.6</v>
      </c>
      <c r="BG12" s="25">
        <f t="shared" si="19"/>
        <v>1.95</v>
      </c>
      <c r="BH12" s="25">
        <f t="shared" si="20"/>
        <v>5.416666666666667</v>
      </c>
      <c r="BI12" s="25">
        <f t="shared" si="21"/>
        <v>41.295312500000001</v>
      </c>
      <c r="BJ12" s="25">
        <f t="shared" si="22"/>
        <v>41.302083333333336</v>
      </c>
      <c r="BK12" s="25">
        <f t="shared" si="23"/>
        <v>3.4666666666666668</v>
      </c>
      <c r="BL12" s="25">
        <f t="shared" si="24"/>
        <v>3.4666666666666668</v>
      </c>
    </row>
    <row r="13" spans="1:64" ht="16.5" customHeight="1">
      <c r="A13" s="3"/>
      <c r="B13" s="215" t="s">
        <v>142</v>
      </c>
      <c r="C13" s="216"/>
      <c r="D13" s="216"/>
      <c r="E13" s="216"/>
      <c r="F13" s="216"/>
      <c r="G13" s="217"/>
      <c r="H13" s="218"/>
      <c r="I13" s="219"/>
      <c r="J13" s="398">
        <f t="shared" si="0"/>
        <v>0</v>
      </c>
      <c r="K13" s="399"/>
      <c r="L13" s="222"/>
      <c r="M13" s="223"/>
      <c r="N13" s="219"/>
      <c r="O13" s="220" t="str">
        <f t="shared" si="1"/>
        <v/>
      </c>
      <c r="P13" s="221">
        <f t="shared" si="2"/>
        <v>0</v>
      </c>
      <c r="Q13" s="223"/>
      <c r="R13" s="414">
        <v>0</v>
      </c>
      <c r="S13" s="24"/>
      <c r="T13" s="23" t="e">
        <f>T12/(L10+M10)</f>
        <v>#N/A</v>
      </c>
      <c r="U13" s="23">
        <f t="shared" si="3"/>
        <v>1.2</v>
      </c>
      <c r="V13" s="24">
        <f t="shared" si="4"/>
        <v>-1.2</v>
      </c>
      <c r="W13" s="3" t="s">
        <v>42</v>
      </c>
      <c r="X13" s="23">
        <v>2.4694007086473899</v>
      </c>
      <c r="Y13" s="24" t="str">
        <f t="shared" si="5"/>
        <v/>
      </c>
      <c r="Z13" s="25" t="str">
        <f t="shared" si="6"/>
        <v/>
      </c>
      <c r="AA13" s="24" t="str">
        <f t="shared" si="7"/>
        <v/>
      </c>
      <c r="AB13" s="24" t="str">
        <f t="shared" si="8"/>
        <v/>
      </c>
      <c r="AC13" s="25">
        <f t="shared" si="9"/>
        <v>0</v>
      </c>
      <c r="AD13" s="3" t="str">
        <f t="shared" ref="AD13:AH13" si="30">IF(C13&gt;0,AD$20-$AC13*FLOOR(AD$20/$AC13,1),"")</f>
        <v/>
      </c>
      <c r="AE13" s="3" t="str">
        <f t="shared" si="30"/>
        <v/>
      </c>
      <c r="AF13" s="3" t="str">
        <f t="shared" si="30"/>
        <v/>
      </c>
      <c r="AG13" s="3" t="str">
        <f t="shared" si="30"/>
        <v/>
      </c>
      <c r="AH13" s="3" t="str">
        <f t="shared" si="30"/>
        <v/>
      </c>
      <c r="AI13" s="3" t="str">
        <f t="shared" si="11"/>
        <v/>
      </c>
      <c r="AJ13" s="26" t="str">
        <f>IF(AC13&gt;0,HLOOKUP(AI13,AD13:AH23,8,FALSE),"")</f>
        <v/>
      </c>
      <c r="AK13" s="23" t="s">
        <v>43</v>
      </c>
      <c r="AL13" s="3">
        <v>6.5</v>
      </c>
      <c r="AM13" s="25">
        <f t="shared" si="12"/>
        <v>0</v>
      </c>
      <c r="AN13" s="25">
        <f t="shared" si="13"/>
        <v>0</v>
      </c>
      <c r="AO13" s="25">
        <f t="shared" si="14"/>
        <v>0</v>
      </c>
      <c r="AP13" s="25">
        <f t="shared" si="15"/>
        <v>0</v>
      </c>
      <c r="AQ13" s="3"/>
      <c r="AR13" s="25">
        <f t="shared" si="16"/>
        <v>0</v>
      </c>
      <c r="AS13" s="3" t="str">
        <f t="shared" ref="AS13:AW13" si="31">IF(C13&gt;0,AS$20-$AR13*FLOOR(AS$20/$AR13,1),"")</f>
        <v/>
      </c>
      <c r="AT13" s="3" t="str">
        <f t="shared" si="31"/>
        <v/>
      </c>
      <c r="AU13" s="3" t="str">
        <f t="shared" si="31"/>
        <v/>
      </c>
      <c r="AV13" s="3" t="str">
        <f t="shared" si="31"/>
        <v/>
      </c>
      <c r="AW13" s="3" t="str">
        <f t="shared" si="31"/>
        <v/>
      </c>
      <c r="AX13" s="3" t="str">
        <f t="shared" si="18"/>
        <v/>
      </c>
      <c r="AY13" s="26" t="str">
        <f>IF(AR13&gt;0,HLOOKUP(AX13,AS13:AW23,8,FALSE),"")</f>
        <v/>
      </c>
      <c r="AZ13" s="3" t="str">
        <f t="shared" ref="AZ13:AZ19" si="32">IF(AR13&gt;0,SMALL(AS13:AW13,1),"")</f>
        <v/>
      </c>
      <c r="BA13" s="3" t="str">
        <f>IF(AR13&gt;0,HLOOKUP(AZ13,AS13:AW23,8,FALSE),"")</f>
        <v/>
      </c>
      <c r="BB13" s="3"/>
      <c r="BC13" s="3"/>
      <c r="BD13" s="3"/>
      <c r="BE13" s="3"/>
      <c r="BF13" s="25">
        <f t="shared" si="27"/>
        <v>0</v>
      </c>
      <c r="BG13" s="25">
        <f t="shared" si="19"/>
        <v>0</v>
      </c>
      <c r="BH13" s="25">
        <f t="shared" si="20"/>
        <v>0</v>
      </c>
      <c r="BI13" s="25">
        <f t="shared" si="21"/>
        <v>0</v>
      </c>
      <c r="BJ13" s="25">
        <f t="shared" si="22"/>
        <v>0</v>
      </c>
      <c r="BK13" s="25">
        <f t="shared" si="23"/>
        <v>0</v>
      </c>
      <c r="BL13" s="25">
        <f t="shared" si="24"/>
        <v>0</v>
      </c>
    </row>
    <row r="14" spans="1:64" ht="16.5" customHeight="1">
      <c r="A14" s="3"/>
      <c r="B14" s="215" t="s">
        <v>143</v>
      </c>
      <c r="C14" s="216"/>
      <c r="D14" s="216"/>
      <c r="E14" s="216"/>
      <c r="F14" s="216"/>
      <c r="G14" s="217"/>
      <c r="H14" s="218"/>
      <c r="I14" s="219"/>
      <c r="J14" s="398">
        <f t="shared" si="0"/>
        <v>0</v>
      </c>
      <c r="K14" s="399"/>
      <c r="L14" s="222"/>
      <c r="M14" s="223"/>
      <c r="N14" s="219"/>
      <c r="O14" s="220" t="str">
        <f t="shared" si="1"/>
        <v/>
      </c>
      <c r="P14" s="221">
        <f t="shared" si="2"/>
        <v>0</v>
      </c>
      <c r="Q14" s="223"/>
      <c r="R14" s="414">
        <v>0</v>
      </c>
      <c r="S14" s="24"/>
      <c r="T14" s="23"/>
      <c r="U14" s="23">
        <f t="shared" si="3"/>
        <v>1.2</v>
      </c>
      <c r="V14" s="24">
        <f t="shared" si="4"/>
        <v>-1.2</v>
      </c>
      <c r="W14" s="3" t="s">
        <v>45</v>
      </c>
      <c r="X14" s="23">
        <v>3.8584386072615469</v>
      </c>
      <c r="Y14" s="24" t="str">
        <f t="shared" si="5"/>
        <v/>
      </c>
      <c r="Z14" s="25" t="str">
        <f t="shared" si="6"/>
        <v/>
      </c>
      <c r="AA14" s="24" t="str">
        <f t="shared" si="7"/>
        <v/>
      </c>
      <c r="AB14" s="24" t="str">
        <f t="shared" si="8"/>
        <v/>
      </c>
      <c r="AC14" s="25">
        <f t="shared" si="9"/>
        <v>0</v>
      </c>
      <c r="AD14" s="3" t="str">
        <f t="shared" ref="AD14:AH14" si="33">IF(C14&gt;0,AD$20-$AC14*FLOOR(AD$20/$AC14,1),"")</f>
        <v/>
      </c>
      <c r="AE14" s="3" t="str">
        <f t="shared" si="33"/>
        <v/>
      </c>
      <c r="AF14" s="3" t="str">
        <f t="shared" si="33"/>
        <v/>
      </c>
      <c r="AG14" s="3" t="str">
        <f t="shared" si="33"/>
        <v/>
      </c>
      <c r="AH14" s="3" t="str">
        <f t="shared" si="33"/>
        <v/>
      </c>
      <c r="AI14" s="3" t="str">
        <f t="shared" si="11"/>
        <v/>
      </c>
      <c r="AJ14" s="26" t="str">
        <f>IF(AC14&gt;0,HLOOKUP(AI14,AD14:AH33,7,FALSE),"")</f>
        <v/>
      </c>
      <c r="AK14" s="3"/>
      <c r="AL14" s="3"/>
      <c r="AM14" s="25">
        <f t="shared" si="12"/>
        <v>0</v>
      </c>
      <c r="AN14" s="25">
        <f t="shared" si="13"/>
        <v>0</v>
      </c>
      <c r="AO14" s="25">
        <f t="shared" si="14"/>
        <v>0</v>
      </c>
      <c r="AP14" s="25">
        <f t="shared" si="15"/>
        <v>0</v>
      </c>
      <c r="AQ14" s="3"/>
      <c r="AR14" s="25">
        <f t="shared" si="16"/>
        <v>0</v>
      </c>
      <c r="AS14" s="3" t="str">
        <f t="shared" ref="AS14:AW14" si="34">IF(C14&gt;0,AS$20-$AR14*FLOOR(AS$20/$AR14,1),"")</f>
        <v/>
      </c>
      <c r="AT14" s="3" t="str">
        <f t="shared" si="34"/>
        <v/>
      </c>
      <c r="AU14" s="3" t="str">
        <f t="shared" si="34"/>
        <v/>
      </c>
      <c r="AV14" s="3" t="str">
        <f t="shared" si="34"/>
        <v/>
      </c>
      <c r="AW14" s="3" t="str">
        <f t="shared" si="34"/>
        <v/>
      </c>
      <c r="AX14" s="3" t="str">
        <f t="shared" si="18"/>
        <v/>
      </c>
      <c r="AY14" s="26" t="str">
        <f>IF(AR14&gt;0,HLOOKUP(AX14,AS14:AW33,7,FALSE),"")</f>
        <v/>
      </c>
      <c r="AZ14" s="3" t="str">
        <f t="shared" si="32"/>
        <v/>
      </c>
      <c r="BA14" s="3" t="str">
        <f>IF(AR14&gt;0,HLOOKUP(AZ14,AS14:AW33,7,FALSE),"")</f>
        <v/>
      </c>
      <c r="BB14" s="3"/>
      <c r="BC14" s="3"/>
      <c r="BD14" s="3"/>
      <c r="BE14" s="3"/>
      <c r="BF14" s="25">
        <f t="shared" si="27"/>
        <v>0</v>
      </c>
      <c r="BG14" s="25">
        <f t="shared" si="19"/>
        <v>0</v>
      </c>
      <c r="BH14" s="25">
        <f t="shared" si="20"/>
        <v>0</v>
      </c>
      <c r="BI14" s="25">
        <f t="shared" si="21"/>
        <v>0</v>
      </c>
      <c r="BJ14" s="25">
        <f t="shared" si="22"/>
        <v>0</v>
      </c>
      <c r="BK14" s="25">
        <f t="shared" si="23"/>
        <v>0</v>
      </c>
      <c r="BL14" s="25">
        <f t="shared" si="24"/>
        <v>0</v>
      </c>
    </row>
    <row r="15" spans="1:64" ht="16.5" customHeight="1">
      <c r="A15" s="3"/>
      <c r="B15" s="215" t="s">
        <v>144</v>
      </c>
      <c r="C15" s="216"/>
      <c r="D15" s="216"/>
      <c r="E15" s="216"/>
      <c r="F15" s="216"/>
      <c r="G15" s="217"/>
      <c r="H15" s="218"/>
      <c r="I15" s="219"/>
      <c r="J15" s="398">
        <f t="shared" si="0"/>
        <v>0</v>
      </c>
      <c r="K15" s="399"/>
      <c r="L15" s="222"/>
      <c r="M15" s="223"/>
      <c r="N15" s="219"/>
      <c r="O15" s="220" t="str">
        <f t="shared" si="1"/>
        <v/>
      </c>
      <c r="P15" s="221">
        <f t="shared" si="2"/>
        <v>0</v>
      </c>
      <c r="Q15" s="223"/>
      <c r="R15" s="414">
        <v>0</v>
      </c>
      <c r="S15" s="24"/>
      <c r="T15" s="23"/>
      <c r="U15" s="23">
        <f t="shared" si="3"/>
        <v>1.2</v>
      </c>
      <c r="V15" s="24">
        <f t="shared" si="4"/>
        <v>-1.2</v>
      </c>
      <c r="W15" s="3" t="s">
        <v>47</v>
      </c>
      <c r="X15" s="23">
        <v>4.8400253889488836</v>
      </c>
      <c r="Y15" s="24" t="str">
        <f t="shared" si="5"/>
        <v/>
      </c>
      <c r="Z15" s="25" t="str">
        <f t="shared" si="6"/>
        <v/>
      </c>
      <c r="AA15" s="24" t="str">
        <f t="shared" si="7"/>
        <v/>
      </c>
      <c r="AB15" s="24" t="str">
        <f t="shared" si="8"/>
        <v/>
      </c>
      <c r="AC15" s="25">
        <f t="shared" si="9"/>
        <v>0</v>
      </c>
      <c r="AD15" s="3" t="str">
        <f t="shared" ref="AD15:AH15" si="35">IF(C15&gt;0,AD$20-$AC15*FLOOR(AD$20/$AC15,1),"")</f>
        <v/>
      </c>
      <c r="AE15" s="3" t="str">
        <f t="shared" si="35"/>
        <v/>
      </c>
      <c r="AF15" s="3" t="str">
        <f t="shared" si="35"/>
        <v/>
      </c>
      <c r="AG15" s="3" t="str">
        <f t="shared" si="35"/>
        <v/>
      </c>
      <c r="AH15" s="3" t="str">
        <f t="shared" si="35"/>
        <v/>
      </c>
      <c r="AI15" s="3" t="str">
        <f t="shared" si="11"/>
        <v/>
      </c>
      <c r="AJ15" s="26" t="str">
        <f>IF(AC15&gt;0,HLOOKUP(AI15,AD15:AH35,6,FALSE),"")</f>
        <v/>
      </c>
      <c r="AK15" s="3"/>
      <c r="AL15" s="3"/>
      <c r="AM15" s="25">
        <f t="shared" si="12"/>
        <v>0</v>
      </c>
      <c r="AN15" s="25">
        <f t="shared" si="13"/>
        <v>0</v>
      </c>
      <c r="AO15" s="25">
        <f t="shared" si="14"/>
        <v>0</v>
      </c>
      <c r="AP15" s="25">
        <f t="shared" si="15"/>
        <v>0</v>
      </c>
      <c r="AQ15" s="3"/>
      <c r="AR15" s="25">
        <f t="shared" si="16"/>
        <v>0</v>
      </c>
      <c r="AS15" s="3" t="str">
        <f t="shared" ref="AS15:AW15" si="36">IF(C15&gt;0,AS$20-$AR15*FLOOR(AS$20/$AR15,1),"")</f>
        <v/>
      </c>
      <c r="AT15" s="3" t="str">
        <f t="shared" si="36"/>
        <v/>
      </c>
      <c r="AU15" s="3" t="str">
        <f t="shared" si="36"/>
        <v/>
      </c>
      <c r="AV15" s="3" t="str">
        <f t="shared" si="36"/>
        <v/>
      </c>
      <c r="AW15" s="3" t="str">
        <f t="shared" si="36"/>
        <v/>
      </c>
      <c r="AX15" s="3" t="str">
        <f t="shared" si="18"/>
        <v/>
      </c>
      <c r="AY15" s="26" t="str">
        <f>IF(AR15&gt;0,HLOOKUP(AX15,AS15:AW35,6,FALSE),"")</f>
        <v/>
      </c>
      <c r="AZ15" s="3" t="str">
        <f t="shared" si="32"/>
        <v/>
      </c>
      <c r="BA15" s="3" t="str">
        <f>IF(AR15&gt;0,HLOOKUP(AZ15,AS15:AW35,6,FALSE),"")</f>
        <v/>
      </c>
      <c r="BB15" s="3"/>
      <c r="BC15" s="3"/>
      <c r="BD15" s="3"/>
      <c r="BE15" s="3"/>
      <c r="BF15" s="25">
        <f t="shared" si="27"/>
        <v>0</v>
      </c>
      <c r="BG15" s="25">
        <f t="shared" si="19"/>
        <v>0</v>
      </c>
      <c r="BH15" s="25">
        <f t="shared" si="20"/>
        <v>0</v>
      </c>
      <c r="BI15" s="25">
        <f t="shared" si="21"/>
        <v>0</v>
      </c>
      <c r="BJ15" s="25">
        <f t="shared" si="22"/>
        <v>0</v>
      </c>
      <c r="BK15" s="25">
        <f t="shared" si="23"/>
        <v>0</v>
      </c>
      <c r="BL15" s="25">
        <f t="shared" si="24"/>
        <v>0</v>
      </c>
    </row>
    <row r="16" spans="1:64" ht="16.5" customHeight="1">
      <c r="A16" s="3"/>
      <c r="B16" s="215" t="s">
        <v>145</v>
      </c>
      <c r="C16" s="216"/>
      <c r="D16" s="216"/>
      <c r="E16" s="216"/>
      <c r="F16" s="216"/>
      <c r="G16" s="217"/>
      <c r="H16" s="218"/>
      <c r="I16" s="219"/>
      <c r="J16" s="398">
        <f t="shared" si="0"/>
        <v>0</v>
      </c>
      <c r="K16" s="399"/>
      <c r="L16" s="222"/>
      <c r="M16" s="223"/>
      <c r="N16" s="219"/>
      <c r="O16" s="220" t="str">
        <f t="shared" si="1"/>
        <v/>
      </c>
      <c r="P16" s="221">
        <f t="shared" si="2"/>
        <v>0</v>
      </c>
      <c r="Q16" s="223"/>
      <c r="R16" s="414">
        <v>0</v>
      </c>
      <c r="S16" s="24"/>
      <c r="T16" s="23"/>
      <c r="U16" s="23">
        <f t="shared" si="3"/>
        <v>1.2</v>
      </c>
      <c r="V16" s="24">
        <f t="shared" si="4"/>
        <v>-1.2</v>
      </c>
      <c r="W16" s="3" t="s">
        <v>49</v>
      </c>
      <c r="X16" s="23">
        <v>6.3216658141373188</v>
      </c>
      <c r="Y16" s="24" t="str">
        <f t="shared" si="5"/>
        <v/>
      </c>
      <c r="Z16" s="25" t="str">
        <f t="shared" si="6"/>
        <v/>
      </c>
      <c r="AA16" s="24" t="str">
        <f t="shared" si="7"/>
        <v/>
      </c>
      <c r="AB16" s="24" t="str">
        <f t="shared" si="8"/>
        <v/>
      </c>
      <c r="AC16" s="25">
        <f t="shared" si="9"/>
        <v>0</v>
      </c>
      <c r="AD16" s="3" t="str">
        <f t="shared" ref="AD16:AH16" si="37">IF(C16&gt;0,AD$20-$AC16*FLOOR(AD$20/$AC16,1),"")</f>
        <v/>
      </c>
      <c r="AE16" s="3" t="str">
        <f t="shared" si="37"/>
        <v/>
      </c>
      <c r="AF16" s="3" t="str">
        <f t="shared" si="37"/>
        <v/>
      </c>
      <c r="AG16" s="3" t="str">
        <f t="shared" si="37"/>
        <v/>
      </c>
      <c r="AH16" s="3" t="str">
        <f t="shared" si="37"/>
        <v/>
      </c>
      <c r="AI16" s="3" t="str">
        <f t="shared" si="11"/>
        <v/>
      </c>
      <c r="AJ16" s="26" t="str">
        <f>IF(AC16&gt;0,HLOOKUP(AI16,AD16:AH37,5,FALSE),"")</f>
        <v/>
      </c>
      <c r="AK16" s="3"/>
      <c r="AL16" s="3"/>
      <c r="AM16" s="25">
        <f t="shared" si="12"/>
        <v>0</v>
      </c>
      <c r="AN16" s="25">
        <f t="shared" si="13"/>
        <v>0</v>
      </c>
      <c r="AO16" s="25">
        <f t="shared" si="14"/>
        <v>0</v>
      </c>
      <c r="AP16" s="25">
        <f t="shared" si="15"/>
        <v>0</v>
      </c>
      <c r="AQ16" s="3"/>
      <c r="AR16" s="25">
        <f t="shared" si="16"/>
        <v>0</v>
      </c>
      <c r="AS16" s="3" t="str">
        <f t="shared" ref="AS16:AW16" si="38">IF(C16&gt;0,AS$20-$AR16*FLOOR(AS$20/$AR16,1),"")</f>
        <v/>
      </c>
      <c r="AT16" s="3" t="str">
        <f t="shared" si="38"/>
        <v/>
      </c>
      <c r="AU16" s="3" t="str">
        <f t="shared" si="38"/>
        <v/>
      </c>
      <c r="AV16" s="3" t="str">
        <f t="shared" si="38"/>
        <v/>
      </c>
      <c r="AW16" s="3" t="str">
        <f t="shared" si="38"/>
        <v/>
      </c>
      <c r="AX16" s="3" t="str">
        <f t="shared" si="18"/>
        <v/>
      </c>
      <c r="AY16" s="26" t="str">
        <f>IF(AR16&gt;0,HLOOKUP(AX16,AS16:AW37,5,FALSE),"")</f>
        <v/>
      </c>
      <c r="AZ16" s="3" t="str">
        <f t="shared" si="32"/>
        <v/>
      </c>
      <c r="BA16" s="3" t="str">
        <f>IF(AR16&gt;0,HLOOKUP(AZ16,AS16:AW37,5,FALSE),"")</f>
        <v/>
      </c>
      <c r="BB16" s="3"/>
      <c r="BC16" s="3"/>
      <c r="BD16" s="3"/>
      <c r="BE16" s="3"/>
      <c r="BF16" s="25">
        <f t="shared" si="27"/>
        <v>0</v>
      </c>
      <c r="BG16" s="25">
        <f t="shared" si="19"/>
        <v>0</v>
      </c>
      <c r="BH16" s="25">
        <f t="shared" si="20"/>
        <v>0</v>
      </c>
      <c r="BI16" s="25">
        <f t="shared" si="21"/>
        <v>0</v>
      </c>
      <c r="BJ16" s="25">
        <f t="shared" si="22"/>
        <v>0</v>
      </c>
      <c r="BK16" s="25">
        <f t="shared" si="23"/>
        <v>0</v>
      </c>
      <c r="BL16" s="25">
        <f t="shared" si="24"/>
        <v>0</v>
      </c>
    </row>
    <row r="17" spans="1:64" ht="16.5" customHeight="1">
      <c r="A17" s="3"/>
      <c r="B17" s="215" t="s">
        <v>146</v>
      </c>
      <c r="C17" s="216"/>
      <c r="D17" s="216"/>
      <c r="E17" s="216"/>
      <c r="F17" s="216"/>
      <c r="G17" s="217"/>
      <c r="H17" s="218"/>
      <c r="I17" s="219"/>
      <c r="J17" s="398">
        <f t="shared" si="0"/>
        <v>0</v>
      </c>
      <c r="K17" s="399"/>
      <c r="L17" s="222"/>
      <c r="M17" s="223"/>
      <c r="N17" s="219"/>
      <c r="O17" s="220" t="str">
        <f t="shared" si="1"/>
        <v/>
      </c>
      <c r="P17" s="221">
        <f t="shared" si="2"/>
        <v>0</v>
      </c>
      <c r="Q17" s="223"/>
      <c r="R17" s="414">
        <v>0</v>
      </c>
      <c r="S17" s="24"/>
      <c r="T17" s="23"/>
      <c r="U17" s="23">
        <f t="shared" si="3"/>
        <v>1.2</v>
      </c>
      <c r="V17" s="24">
        <f t="shared" si="4"/>
        <v>-1.2</v>
      </c>
      <c r="W17" s="23"/>
      <c r="X17" s="23"/>
      <c r="Y17" s="24" t="str">
        <f t="shared" si="5"/>
        <v/>
      </c>
      <c r="Z17" s="25" t="str">
        <f t="shared" si="6"/>
        <v/>
      </c>
      <c r="AA17" s="24" t="str">
        <f t="shared" si="7"/>
        <v/>
      </c>
      <c r="AB17" s="24" t="str">
        <f t="shared" si="8"/>
        <v/>
      </c>
      <c r="AC17" s="25">
        <f t="shared" si="9"/>
        <v>0</v>
      </c>
      <c r="AD17" s="3" t="str">
        <f t="shared" ref="AD17:AH17" si="39">IF(C17&gt;0,AD$20-$AC17*FLOOR(AD$20/$AC17,1),"")</f>
        <v/>
      </c>
      <c r="AE17" s="3" t="str">
        <f t="shared" si="39"/>
        <v/>
      </c>
      <c r="AF17" s="3" t="str">
        <f t="shared" si="39"/>
        <v/>
      </c>
      <c r="AG17" s="3" t="str">
        <f t="shared" si="39"/>
        <v/>
      </c>
      <c r="AH17" s="3" t="str">
        <f t="shared" si="39"/>
        <v/>
      </c>
      <c r="AI17" s="3" t="str">
        <f t="shared" si="11"/>
        <v/>
      </c>
      <c r="AJ17" s="26" t="str">
        <f>IF(AC17&gt;0,HLOOKUP(AI17,AD17:AH39,4,FALSE),"")</f>
        <v/>
      </c>
      <c r="AK17" s="3"/>
      <c r="AL17" s="3"/>
      <c r="AM17" s="25">
        <f t="shared" si="12"/>
        <v>0</v>
      </c>
      <c r="AN17" s="25">
        <f t="shared" si="13"/>
        <v>0</v>
      </c>
      <c r="AO17" s="25">
        <f t="shared" si="14"/>
        <v>0</v>
      </c>
      <c r="AP17" s="25">
        <f t="shared" si="15"/>
        <v>0</v>
      </c>
      <c r="AQ17" s="3"/>
      <c r="AR17" s="25">
        <f t="shared" si="16"/>
        <v>0</v>
      </c>
      <c r="AS17" s="3" t="str">
        <f t="shared" ref="AS17:AW17" si="40">IF(C17&gt;0,AS$20-$AR17*FLOOR(AS$20/$AR17,1),"")</f>
        <v/>
      </c>
      <c r="AT17" s="3" t="str">
        <f t="shared" si="40"/>
        <v/>
      </c>
      <c r="AU17" s="3" t="str">
        <f t="shared" si="40"/>
        <v/>
      </c>
      <c r="AV17" s="3" t="str">
        <f t="shared" si="40"/>
        <v/>
      </c>
      <c r="AW17" s="3" t="str">
        <f t="shared" si="40"/>
        <v/>
      </c>
      <c r="AX17" s="3" t="str">
        <f t="shared" si="18"/>
        <v/>
      </c>
      <c r="AY17" s="26" t="str">
        <f>IF(AR17&gt;0,HLOOKUP(AX17,AS17:AW39,4,FALSE),"")</f>
        <v/>
      </c>
      <c r="AZ17" s="3" t="str">
        <f t="shared" si="32"/>
        <v/>
      </c>
      <c r="BA17" s="3" t="str">
        <f>IF(AR17&gt;0,HLOOKUP(AZ17,AS17:AW39,4,FALSE),"")</f>
        <v/>
      </c>
      <c r="BB17" s="3"/>
      <c r="BC17" s="3"/>
      <c r="BD17" s="3"/>
      <c r="BE17" s="3"/>
      <c r="BF17" s="25">
        <f t="shared" si="27"/>
        <v>0</v>
      </c>
      <c r="BG17" s="25">
        <f t="shared" si="19"/>
        <v>0</v>
      </c>
      <c r="BH17" s="25">
        <f t="shared" si="20"/>
        <v>0</v>
      </c>
      <c r="BI17" s="25">
        <f t="shared" si="21"/>
        <v>0</v>
      </c>
      <c r="BJ17" s="25">
        <f t="shared" si="22"/>
        <v>0</v>
      </c>
      <c r="BK17" s="25">
        <f t="shared" si="23"/>
        <v>0</v>
      </c>
      <c r="BL17" s="25">
        <f t="shared" si="24"/>
        <v>0</v>
      </c>
    </row>
    <row r="18" spans="1:64" ht="16.5" customHeight="1">
      <c r="A18" s="3"/>
      <c r="B18" s="215" t="s">
        <v>147</v>
      </c>
      <c r="C18" s="216"/>
      <c r="D18" s="216"/>
      <c r="E18" s="216"/>
      <c r="F18" s="216"/>
      <c r="G18" s="217"/>
      <c r="H18" s="218"/>
      <c r="I18" s="219"/>
      <c r="J18" s="398">
        <f t="shared" si="0"/>
        <v>0</v>
      </c>
      <c r="K18" s="399"/>
      <c r="L18" s="222"/>
      <c r="M18" s="223"/>
      <c r="N18" s="219"/>
      <c r="O18" s="220" t="str">
        <f t="shared" si="1"/>
        <v/>
      </c>
      <c r="P18" s="221">
        <f t="shared" si="2"/>
        <v>0</v>
      </c>
      <c r="Q18" s="223"/>
      <c r="R18" s="414">
        <v>0</v>
      </c>
      <c r="S18" s="24"/>
      <c r="T18" s="23"/>
      <c r="U18" s="23">
        <f t="shared" si="3"/>
        <v>1.2</v>
      </c>
      <c r="V18" s="24">
        <f t="shared" si="4"/>
        <v>-1.2</v>
      </c>
      <c r="W18" s="23"/>
      <c r="X18" s="23"/>
      <c r="Y18" s="24" t="str">
        <f t="shared" si="5"/>
        <v/>
      </c>
      <c r="Z18" s="25" t="str">
        <f t="shared" si="6"/>
        <v/>
      </c>
      <c r="AA18" s="24" t="str">
        <f t="shared" si="7"/>
        <v/>
      </c>
      <c r="AB18" s="24" t="str">
        <f t="shared" si="8"/>
        <v/>
      </c>
      <c r="AC18" s="25">
        <f t="shared" si="9"/>
        <v>0</v>
      </c>
      <c r="AD18" s="3" t="str">
        <f t="shared" ref="AD18:AH18" si="41">IF(C18&gt;0,AD$20-$AC18*FLOOR(AD$20/$AC18,1),"")</f>
        <v/>
      </c>
      <c r="AE18" s="3" t="str">
        <f t="shared" si="41"/>
        <v/>
      </c>
      <c r="AF18" s="3" t="str">
        <f t="shared" si="41"/>
        <v/>
      </c>
      <c r="AG18" s="3" t="str">
        <f t="shared" si="41"/>
        <v/>
      </c>
      <c r="AH18" s="3" t="str">
        <f t="shared" si="41"/>
        <v/>
      </c>
      <c r="AI18" s="3" t="str">
        <f t="shared" si="11"/>
        <v/>
      </c>
      <c r="AJ18" s="26" t="str">
        <f>IF(AC18&gt;0,HLOOKUP(AI18,AD18:AH41,3,FALSE),"")</f>
        <v/>
      </c>
      <c r="AK18" s="3"/>
      <c r="AL18" s="3"/>
      <c r="AM18" s="25">
        <f t="shared" si="12"/>
        <v>0</v>
      </c>
      <c r="AN18" s="25">
        <f t="shared" si="13"/>
        <v>0</v>
      </c>
      <c r="AO18" s="25">
        <f t="shared" si="14"/>
        <v>0</v>
      </c>
      <c r="AP18" s="25">
        <f t="shared" si="15"/>
        <v>0</v>
      </c>
      <c r="AQ18" s="3"/>
      <c r="AR18" s="25">
        <f t="shared" si="16"/>
        <v>0</v>
      </c>
      <c r="AS18" s="3" t="str">
        <f t="shared" ref="AS18:AW18" si="42">IF(C18&gt;0,AS$20-$AR18*FLOOR(AS$20/$AR18,1),"")</f>
        <v/>
      </c>
      <c r="AT18" s="3" t="str">
        <f t="shared" si="42"/>
        <v/>
      </c>
      <c r="AU18" s="3" t="str">
        <f t="shared" si="42"/>
        <v/>
      </c>
      <c r="AV18" s="3" t="str">
        <f t="shared" si="42"/>
        <v/>
      </c>
      <c r="AW18" s="3" t="str">
        <f t="shared" si="42"/>
        <v/>
      </c>
      <c r="AX18" s="3" t="str">
        <f t="shared" si="18"/>
        <v/>
      </c>
      <c r="AY18" s="26" t="str">
        <f>IF(AR18&gt;0,HLOOKUP(AX18,AS18:AW41,3,FALSE),"")</f>
        <v/>
      </c>
      <c r="AZ18" s="3" t="str">
        <f t="shared" si="32"/>
        <v/>
      </c>
      <c r="BA18" s="3" t="str">
        <f>IF(AR18&gt;0,HLOOKUP(AZ18,AS18:AW41,3,FALSE),"")</f>
        <v/>
      </c>
      <c r="BB18" s="3"/>
      <c r="BC18" s="3"/>
      <c r="BD18" s="3"/>
      <c r="BE18" s="3"/>
      <c r="BF18" s="25">
        <f t="shared" si="27"/>
        <v>0</v>
      </c>
      <c r="BG18" s="25">
        <f t="shared" si="19"/>
        <v>0</v>
      </c>
      <c r="BH18" s="25">
        <f t="shared" si="20"/>
        <v>0</v>
      </c>
      <c r="BI18" s="25">
        <f t="shared" si="21"/>
        <v>0</v>
      </c>
      <c r="BJ18" s="25">
        <f t="shared" si="22"/>
        <v>0</v>
      </c>
      <c r="BK18" s="25">
        <f t="shared" si="23"/>
        <v>0</v>
      </c>
      <c r="BL18" s="25">
        <f t="shared" si="24"/>
        <v>0</v>
      </c>
    </row>
    <row r="19" spans="1:64" ht="16.5" customHeight="1">
      <c r="A19" s="3"/>
      <c r="B19" s="225" t="s">
        <v>148</v>
      </c>
      <c r="C19" s="226"/>
      <c r="D19" s="226"/>
      <c r="E19" s="226"/>
      <c r="F19" s="226"/>
      <c r="G19" s="227"/>
      <c r="H19" s="228"/>
      <c r="I19" s="229"/>
      <c r="J19" s="402">
        <f t="shared" si="0"/>
        <v>0</v>
      </c>
      <c r="K19" s="403"/>
      <c r="L19" s="232"/>
      <c r="M19" s="233"/>
      <c r="N19" s="229"/>
      <c r="O19" s="230" t="str">
        <f t="shared" si="1"/>
        <v/>
      </c>
      <c r="P19" s="231">
        <f t="shared" si="2"/>
        <v>0</v>
      </c>
      <c r="Q19" s="233"/>
      <c r="R19" s="415">
        <v>0</v>
      </c>
      <c r="S19" s="24"/>
      <c r="T19" s="23"/>
      <c r="U19" s="23">
        <f t="shared" si="3"/>
        <v>1.2</v>
      </c>
      <c r="V19" s="24">
        <f t="shared" si="4"/>
        <v>-1.2</v>
      </c>
      <c r="W19" s="23"/>
      <c r="X19" s="23"/>
      <c r="Y19" s="24" t="str">
        <f t="shared" si="5"/>
        <v/>
      </c>
      <c r="Z19" s="25" t="str">
        <f t="shared" si="6"/>
        <v/>
      </c>
      <c r="AA19" s="24" t="str">
        <f t="shared" si="7"/>
        <v/>
      </c>
      <c r="AB19" s="24" t="str">
        <f t="shared" si="8"/>
        <v/>
      </c>
      <c r="AC19" s="25">
        <f t="shared" si="9"/>
        <v>0</v>
      </c>
      <c r="AD19" s="3" t="str">
        <f t="shared" ref="AD19:AH19" si="43">IF(C19&gt;0,AD$20-$AC19*FLOOR(AD$20/$AC19,1),"")</f>
        <v/>
      </c>
      <c r="AE19" s="3" t="str">
        <f t="shared" si="43"/>
        <v/>
      </c>
      <c r="AF19" s="3" t="str">
        <f t="shared" si="43"/>
        <v/>
      </c>
      <c r="AG19" s="3" t="str">
        <f t="shared" si="43"/>
        <v/>
      </c>
      <c r="AH19" s="3" t="str">
        <f t="shared" si="43"/>
        <v/>
      </c>
      <c r="AI19" s="3" t="str">
        <f t="shared" si="11"/>
        <v/>
      </c>
      <c r="AJ19" s="26" t="str">
        <f>IF(AC19&gt;0,HLOOKUP(AI19,AD19:AH43,2,FALSE),"")</f>
        <v/>
      </c>
      <c r="AK19" s="3"/>
      <c r="AL19" s="3"/>
      <c r="AM19" s="25">
        <f t="shared" si="12"/>
        <v>0</v>
      </c>
      <c r="AN19" s="25">
        <f t="shared" si="13"/>
        <v>0</v>
      </c>
      <c r="AO19" s="25">
        <f t="shared" si="14"/>
        <v>0</v>
      </c>
      <c r="AP19" s="25">
        <f t="shared" si="15"/>
        <v>0</v>
      </c>
      <c r="AQ19" s="3"/>
      <c r="AR19" s="25">
        <f t="shared" si="16"/>
        <v>0</v>
      </c>
      <c r="AS19" s="3" t="str">
        <f t="shared" ref="AS19:AW19" si="44">IF(C19&gt;0,AS$20-$AR19*FLOOR(AS$20/$AR19,1),"")</f>
        <v/>
      </c>
      <c r="AT19" s="3" t="str">
        <f t="shared" si="44"/>
        <v/>
      </c>
      <c r="AU19" s="3" t="str">
        <f t="shared" si="44"/>
        <v/>
      </c>
      <c r="AV19" s="3" t="str">
        <f t="shared" si="44"/>
        <v/>
      </c>
      <c r="AW19" s="3" t="str">
        <f t="shared" si="44"/>
        <v/>
      </c>
      <c r="AX19" s="3" t="str">
        <f t="shared" si="18"/>
        <v/>
      </c>
      <c r="AY19" s="26" t="str">
        <f>IF(AR19&gt;0,HLOOKUP(AX19,AS19:AW43,2,FALSE),"")</f>
        <v/>
      </c>
      <c r="AZ19" s="3" t="str">
        <f t="shared" si="32"/>
        <v/>
      </c>
      <c r="BA19" s="3" t="str">
        <f>IF(AR19&gt;0,HLOOKUP(AZ19,AS19:AW43,2,FALSE),"")</f>
        <v/>
      </c>
      <c r="BB19" s="3"/>
      <c r="BC19" s="3"/>
      <c r="BD19" s="3"/>
      <c r="BE19" s="3"/>
      <c r="BF19" s="25">
        <f t="shared" si="27"/>
        <v>0</v>
      </c>
      <c r="BG19" s="25">
        <f t="shared" si="19"/>
        <v>0</v>
      </c>
      <c r="BH19" s="25">
        <f t="shared" si="20"/>
        <v>0</v>
      </c>
      <c r="BI19" s="25">
        <f t="shared" si="21"/>
        <v>0</v>
      </c>
      <c r="BJ19" s="25">
        <f t="shared" si="22"/>
        <v>0</v>
      </c>
      <c r="BK19" s="25">
        <f t="shared" si="23"/>
        <v>0</v>
      </c>
      <c r="BL19" s="25">
        <f t="shared" si="24"/>
        <v>0</v>
      </c>
    </row>
    <row r="20" spans="1:64" ht="16.5" customHeight="1">
      <c r="A20" s="3"/>
      <c r="B20" s="174"/>
      <c r="C20" s="174"/>
      <c r="D20" s="174"/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3"/>
      <c r="T20" s="3"/>
      <c r="U20" s="3"/>
      <c r="V20" s="3"/>
      <c r="W20" s="3"/>
      <c r="X20" s="3"/>
      <c r="Y20" s="24">
        <f t="shared" ref="Y20:Z20" si="45">SUM(Y10:Y16)</f>
        <v>47.412493606029891</v>
      </c>
      <c r="Z20" s="24">
        <f t="shared" si="45"/>
        <v>170.68497698170762</v>
      </c>
      <c r="AA20" s="3"/>
      <c r="AB20" s="3"/>
      <c r="AC20" s="3"/>
      <c r="AD20" s="3">
        <v>6</v>
      </c>
      <c r="AE20" s="3">
        <f t="shared" ref="AE20:AH20" si="46">AD20+1.5</f>
        <v>7.5</v>
      </c>
      <c r="AF20" s="3">
        <f t="shared" si="46"/>
        <v>9</v>
      </c>
      <c r="AG20" s="3">
        <f t="shared" si="46"/>
        <v>10.5</v>
      </c>
      <c r="AH20" s="3">
        <f t="shared" si="46"/>
        <v>12</v>
      </c>
      <c r="AI20" s="3"/>
      <c r="AJ20" s="26"/>
      <c r="AK20" s="3"/>
      <c r="AL20" s="3"/>
      <c r="AM20" s="25">
        <f t="shared" ref="AM20:AO20" si="47">SUM(AM10:AM19)</f>
        <v>1.7550000000000001</v>
      </c>
      <c r="AN20" s="25">
        <f t="shared" si="47"/>
        <v>7.0200000000000012E-2</v>
      </c>
      <c r="AO20" s="25">
        <f t="shared" si="47"/>
        <v>-1.9480500000000001</v>
      </c>
      <c r="AP20" s="25"/>
      <c r="AQ20" s="3"/>
      <c r="AR20" s="3"/>
      <c r="AS20" s="3">
        <v>6</v>
      </c>
      <c r="AT20" s="3">
        <f t="shared" ref="AT20:AW20" si="48">AS20+1.5</f>
        <v>7.5</v>
      </c>
      <c r="AU20" s="3">
        <f t="shared" si="48"/>
        <v>9</v>
      </c>
      <c r="AV20" s="3">
        <f t="shared" si="48"/>
        <v>10.5</v>
      </c>
      <c r="AW20" s="3">
        <f t="shared" si="48"/>
        <v>12</v>
      </c>
      <c r="AX20" s="3"/>
      <c r="AY20" s="3"/>
      <c r="AZ20" s="3"/>
      <c r="BA20" s="3"/>
      <c r="BB20" s="3"/>
      <c r="BC20" s="3"/>
      <c r="BD20" s="3"/>
      <c r="BE20" s="3"/>
      <c r="BF20" s="3"/>
      <c r="BG20" s="25">
        <f>SUM(BG10:BG19)</f>
        <v>1.95</v>
      </c>
      <c r="BH20" s="3">
        <f t="shared" ref="BH20:BL20" si="49">CEILING(SUM(BH10:BH19),1)</f>
        <v>6</v>
      </c>
      <c r="BI20" s="3">
        <f t="shared" si="49"/>
        <v>42</v>
      </c>
      <c r="BJ20" s="3">
        <f t="shared" si="49"/>
        <v>42</v>
      </c>
      <c r="BK20" s="3">
        <f t="shared" si="49"/>
        <v>4</v>
      </c>
      <c r="BL20" s="3">
        <f t="shared" si="49"/>
        <v>4</v>
      </c>
    </row>
    <row r="21" spans="1:64" ht="16.5" customHeight="1">
      <c r="A21" s="3"/>
      <c r="B21" s="174"/>
      <c r="C21" s="174"/>
      <c r="D21" s="174"/>
      <c r="E21" s="174"/>
      <c r="F21" s="235" t="s">
        <v>53</v>
      </c>
      <c r="G21" s="172"/>
      <c r="H21" s="172"/>
      <c r="I21" s="172"/>
      <c r="J21" s="172"/>
      <c r="K21" s="173"/>
      <c r="L21" s="174"/>
      <c r="M21" s="174"/>
      <c r="N21" s="174"/>
      <c r="O21" s="174"/>
      <c r="P21" s="174"/>
      <c r="Q21" s="174"/>
      <c r="R21" s="174"/>
      <c r="S21" s="3"/>
      <c r="T21" s="3"/>
      <c r="U21" s="3"/>
      <c r="V21" s="3"/>
      <c r="W21" s="3"/>
      <c r="X21" s="3"/>
      <c r="Y21" s="24">
        <f>Y20+Z20</f>
        <v>218.09747058773752</v>
      </c>
      <c r="Z21" s="2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25">
        <f>VLOOKUP(G7,AK10:AL13,2,FALSE)</f>
        <v>12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</row>
    <row r="22" spans="1:64" ht="16.5" customHeight="1">
      <c r="A22" s="3"/>
      <c r="B22" s="174"/>
      <c r="C22" s="174"/>
      <c r="D22" s="174"/>
      <c r="E22" s="174"/>
      <c r="F22" s="236"/>
      <c r="G22" s="237"/>
      <c r="H22" s="237"/>
      <c r="I22" s="237"/>
      <c r="J22" s="237"/>
      <c r="K22" s="238"/>
      <c r="L22" s="174"/>
      <c r="M22" s="174"/>
      <c r="N22" s="174"/>
      <c r="O22" s="174"/>
      <c r="P22" s="174"/>
      <c r="Q22" s="174"/>
      <c r="R22" s="174"/>
      <c r="S22" s="3"/>
      <c r="T22" s="3"/>
      <c r="U22" s="3"/>
      <c r="V22" s="3"/>
      <c r="W22" s="3"/>
      <c r="X22" s="3"/>
      <c r="Y22" s="23" t="s">
        <v>30</v>
      </c>
      <c r="Z22" s="24">
        <f>CEILING(0.013*Y21,0.5)</f>
        <v>3</v>
      </c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 t="s">
        <v>54</v>
      </c>
      <c r="AM22" s="3">
        <f>CEILING(AM21*AM20,1)</f>
        <v>22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</row>
    <row r="23" spans="1:64" ht="16.5" customHeight="1">
      <c r="A23" s="3"/>
      <c r="B23" s="174"/>
      <c r="C23" s="174"/>
      <c r="D23" s="174"/>
      <c r="E23" s="174"/>
      <c r="F23" s="239" t="s">
        <v>3</v>
      </c>
      <c r="G23" s="239" t="s">
        <v>55</v>
      </c>
      <c r="H23" s="239" t="s">
        <v>56</v>
      </c>
      <c r="I23" s="239" t="s">
        <v>57</v>
      </c>
      <c r="J23" s="239" t="s">
        <v>58</v>
      </c>
      <c r="K23" s="239" t="s">
        <v>59</v>
      </c>
      <c r="L23" s="174"/>
      <c r="M23" s="174"/>
      <c r="N23" s="174"/>
      <c r="O23" s="174"/>
      <c r="P23" s="174"/>
      <c r="Q23" s="174"/>
      <c r="R23" s="174"/>
      <c r="S23" s="3"/>
      <c r="T23" s="3"/>
      <c r="U23" s="3"/>
      <c r="V23" s="3"/>
      <c r="W23" s="3">
        <v>6</v>
      </c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 t="s">
        <v>60</v>
      </c>
      <c r="AM23" s="25">
        <f>AM20/2</f>
        <v>0.87750000000000006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</row>
    <row r="24" spans="1:64" ht="16.5" customHeight="1">
      <c r="A24" s="3"/>
      <c r="B24" s="174"/>
      <c r="C24" s="174"/>
      <c r="D24" s="174"/>
      <c r="E24" s="174"/>
      <c r="F24" s="240"/>
      <c r="G24" s="241" t="str">
        <f>'Materials Price List'!A8</f>
        <v>Cement</v>
      </c>
      <c r="H24" s="241">
        <f t="shared" ref="H24:H26" si="50">AM22</f>
        <v>22</v>
      </c>
      <c r="I24" s="242" t="s">
        <v>61</v>
      </c>
      <c r="J24" s="243">
        <f>IF(H24="","",VLOOKUP(G24,'Materials Price List'!$A$8:$B$46,2,FALSE))</f>
        <v>220</v>
      </c>
      <c r="K24" s="243">
        <f t="shared" ref="K24:K52" si="51">IF(H24="","",H24*J24)</f>
        <v>4840</v>
      </c>
      <c r="L24" s="174"/>
      <c r="M24" s="174"/>
      <c r="N24" s="174"/>
      <c r="O24" s="174"/>
      <c r="P24" s="174"/>
      <c r="Q24" s="174"/>
      <c r="R24" s="174"/>
      <c r="S24" s="3"/>
      <c r="T24" s="3"/>
      <c r="U24" s="3"/>
      <c r="V24" s="3"/>
      <c r="W24" s="3">
        <v>7.5</v>
      </c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 t="s">
        <v>62</v>
      </c>
      <c r="AM24" s="25">
        <f>AM20</f>
        <v>1.7550000000000001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</row>
    <row r="25" spans="1:64" ht="16.5" customHeight="1">
      <c r="A25" s="3"/>
      <c r="B25" s="174"/>
      <c r="C25" s="174"/>
      <c r="D25" s="174"/>
      <c r="E25" s="174"/>
      <c r="F25" s="240"/>
      <c r="G25" s="241" t="str">
        <f>'Materials Price List'!A9</f>
        <v>Sand</v>
      </c>
      <c r="H25" s="242">
        <f t="shared" si="50"/>
        <v>0.87750000000000006</v>
      </c>
      <c r="I25" s="241" t="s">
        <v>63</v>
      </c>
      <c r="J25" s="243">
        <f>IF(H25="","",VLOOKUP(G25,'Materials Price List'!$A$8:$B$46,2,FALSE))</f>
        <v>875</v>
      </c>
      <c r="K25" s="243">
        <f t="shared" si="51"/>
        <v>767.8125</v>
      </c>
      <c r="L25" s="174"/>
      <c r="M25" s="174"/>
      <c r="N25" s="174"/>
      <c r="O25" s="174"/>
      <c r="P25" s="174"/>
      <c r="Q25" s="174"/>
      <c r="R25" s="174"/>
      <c r="S25" s="3"/>
      <c r="T25" s="3"/>
      <c r="U25" s="3"/>
      <c r="V25" s="3"/>
      <c r="W25" s="3">
        <v>9</v>
      </c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</row>
    <row r="26" spans="1:64" ht="16.5" customHeight="1">
      <c r="A26" s="3"/>
      <c r="B26" s="174"/>
      <c r="C26" s="174"/>
      <c r="D26" s="174"/>
      <c r="E26" s="174"/>
      <c r="F26" s="240"/>
      <c r="G26" s="241" t="str">
        <f>'Materials Price List'!A10</f>
        <v>Gravel</v>
      </c>
      <c r="H26" s="242">
        <f t="shared" si="50"/>
        <v>1.7550000000000001</v>
      </c>
      <c r="I26" s="241" t="s">
        <v>63</v>
      </c>
      <c r="J26" s="243">
        <f>IF(H26="","",VLOOKUP(G26,'Materials Price List'!$A$8:$B$46,2,FALSE))</f>
        <v>1875</v>
      </c>
      <c r="K26" s="243">
        <f t="shared" si="51"/>
        <v>3290.625</v>
      </c>
      <c r="L26" s="174"/>
      <c r="M26" s="174"/>
      <c r="N26" s="174"/>
      <c r="O26" s="174"/>
      <c r="P26" s="174"/>
      <c r="Q26" s="174"/>
      <c r="R26" s="174"/>
      <c r="S26" s="3"/>
      <c r="T26" s="3"/>
      <c r="U26" s="3"/>
      <c r="V26" s="3"/>
      <c r="W26" s="3">
        <v>10.5</v>
      </c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</row>
    <row r="27" spans="1:64" ht="16.5" customHeight="1">
      <c r="A27" s="3"/>
      <c r="B27" s="174"/>
      <c r="C27" s="174"/>
      <c r="D27" s="174"/>
      <c r="E27" s="174"/>
      <c r="F27" s="240"/>
      <c r="G27" s="241" t="s">
        <v>30</v>
      </c>
      <c r="H27" s="242">
        <f>Z22</f>
        <v>3</v>
      </c>
      <c r="I27" s="241" t="s">
        <v>64</v>
      </c>
      <c r="J27" s="243">
        <f>IF(H27="","",VLOOKUP(G27,'Materials Price List'!$A$8:$B$46,2,FALSE))</f>
        <v>95</v>
      </c>
      <c r="K27" s="243">
        <f t="shared" si="51"/>
        <v>285</v>
      </c>
      <c r="L27" s="174"/>
      <c r="M27" s="174"/>
      <c r="N27" s="174"/>
      <c r="O27" s="174"/>
      <c r="P27" s="174"/>
      <c r="Q27" s="174"/>
      <c r="R27" s="174"/>
      <c r="S27" s="3"/>
      <c r="T27" s="3"/>
      <c r="U27" s="3"/>
      <c r="V27" s="3"/>
      <c r="W27" s="3">
        <v>12</v>
      </c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</row>
    <row r="28" spans="1:64" ht="16.5" customHeight="1">
      <c r="A28" s="3"/>
      <c r="B28" s="174"/>
      <c r="C28" s="174"/>
      <c r="D28" s="174"/>
      <c r="E28" s="174"/>
      <c r="F28" s="240"/>
      <c r="G28" s="241" t="str">
        <f>'Materials Price List'!A51</f>
        <v>2x3x8 Good Lumber</v>
      </c>
      <c r="H28" s="242">
        <f>BJ20</f>
        <v>42</v>
      </c>
      <c r="I28" s="241" t="s">
        <v>120</v>
      </c>
      <c r="J28" s="243">
        <f>IF(H28="","",VLOOKUP(G28,'Materials Price List'!$A$8:$B$100,2,FALSE))</f>
        <v>275</v>
      </c>
      <c r="K28" s="243">
        <f t="shared" si="51"/>
        <v>11550</v>
      </c>
      <c r="L28" s="174"/>
      <c r="M28" s="174"/>
      <c r="N28" s="174"/>
      <c r="O28" s="174"/>
      <c r="P28" s="174"/>
      <c r="Q28" s="174"/>
      <c r="R28" s="17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</row>
    <row r="29" spans="1:64" ht="16.5" customHeight="1">
      <c r="A29" s="3"/>
      <c r="B29" s="174"/>
      <c r="C29" s="174"/>
      <c r="D29" s="174"/>
      <c r="E29" s="174"/>
      <c r="F29" s="240"/>
      <c r="G29" s="241" t="str">
        <f>'Materials Price List'!A52</f>
        <v>2x2x8 Good Lumber</v>
      </c>
      <c r="H29" s="242">
        <f>BI20</f>
        <v>42</v>
      </c>
      <c r="I29" s="241" t="s">
        <v>120</v>
      </c>
      <c r="J29" s="243">
        <f>IF(H29="","",VLOOKUP(G29,'Materials Price List'!$A$8:$B$100,2,FALSE))</f>
        <v>210</v>
      </c>
      <c r="K29" s="243">
        <f t="shared" si="51"/>
        <v>8820</v>
      </c>
      <c r="L29" s="174"/>
      <c r="M29" s="174"/>
      <c r="N29" s="174"/>
      <c r="O29" s="174"/>
      <c r="P29" s="174"/>
      <c r="Q29" s="174"/>
      <c r="R29" s="17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</row>
    <row r="30" spans="1:64" ht="16.5" customHeight="1">
      <c r="A30" s="3"/>
      <c r="B30" s="174"/>
      <c r="C30" s="174"/>
      <c r="D30" s="174"/>
      <c r="E30" s="174"/>
      <c r="F30" s="240"/>
      <c r="G30" s="241" t="str">
        <f>'Materials Price List'!A54</f>
        <v>3/4" Phenolic Board</v>
      </c>
      <c r="H30" s="242">
        <f>BH20</f>
        <v>6</v>
      </c>
      <c r="I30" s="241" t="s">
        <v>120</v>
      </c>
      <c r="J30" s="243">
        <f>IF(H30="","",VLOOKUP(G30,'Materials Price List'!$A$8:$B$100,2,FALSE))</f>
        <v>1200</v>
      </c>
      <c r="K30" s="243">
        <f t="shared" si="51"/>
        <v>7200</v>
      </c>
      <c r="L30" s="174"/>
      <c r="M30" s="174"/>
      <c r="N30" s="174"/>
      <c r="O30" s="174"/>
      <c r="P30" s="174"/>
      <c r="Q30" s="174"/>
      <c r="R30" s="17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</row>
    <row r="31" spans="1:64" ht="16.5" customHeight="1">
      <c r="A31" s="3"/>
      <c r="B31" s="174"/>
      <c r="C31" s="174"/>
      <c r="D31" s="174"/>
      <c r="E31" s="174"/>
      <c r="F31" s="240"/>
      <c r="G31" s="241" t="str">
        <f>'Materials Price List'!A55</f>
        <v>Common Nail 2"</v>
      </c>
      <c r="H31" s="242">
        <f>BK20</f>
        <v>4</v>
      </c>
      <c r="I31" s="241" t="s">
        <v>64</v>
      </c>
      <c r="J31" s="243">
        <f>IF(H31="","",VLOOKUP(G31,'Materials Price List'!$A$8:$B$100,2,FALSE))</f>
        <v>90</v>
      </c>
      <c r="K31" s="243">
        <f t="shared" si="51"/>
        <v>360</v>
      </c>
      <c r="L31" s="174"/>
      <c r="M31" s="174"/>
      <c r="N31" s="174"/>
      <c r="O31" s="174"/>
      <c r="P31" s="174"/>
      <c r="Q31" s="174"/>
      <c r="R31" s="17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</row>
    <row r="32" spans="1:64" ht="16.5" customHeight="1">
      <c r="A32" s="3"/>
      <c r="B32" s="174"/>
      <c r="C32" s="174"/>
      <c r="D32" s="174"/>
      <c r="E32" s="174"/>
      <c r="F32" s="240"/>
      <c r="G32" s="241" t="str">
        <f>'Materials Price List'!A56</f>
        <v>Common Nail 3"</v>
      </c>
      <c r="H32" s="242">
        <f>BL20</f>
        <v>4</v>
      </c>
      <c r="I32" s="241" t="s">
        <v>64</v>
      </c>
      <c r="J32" s="243">
        <f>IF(H32="","",VLOOKUP(G32,'Materials Price List'!$A$8:$B$100,2,FALSE))</f>
        <v>90</v>
      </c>
      <c r="K32" s="243">
        <f t="shared" si="51"/>
        <v>360</v>
      </c>
      <c r="L32" s="174"/>
      <c r="M32" s="174"/>
      <c r="N32" s="174"/>
      <c r="O32" s="174"/>
      <c r="P32" s="174"/>
      <c r="Q32" s="174"/>
      <c r="R32" s="17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</row>
    <row r="33" spans="1:64" ht="16.5" customHeight="1">
      <c r="A33" s="37"/>
      <c r="B33" s="244"/>
      <c r="C33" s="244"/>
      <c r="D33" s="244"/>
      <c r="E33" s="244"/>
      <c r="F33" s="245" t="str">
        <f>IF(C10&gt;0,B10,"")</f>
        <v/>
      </c>
      <c r="G33" s="246" t="str">
        <f>IF(C10&gt;0,CONCATENATE(I10," X ",J10,"m"),"")</f>
        <v/>
      </c>
      <c r="H33" s="247" t="str">
        <f>AA10</f>
        <v/>
      </c>
      <c r="I33" s="247" t="str">
        <f t="shared" ref="I33:I52" si="52">IF(H33="","","pcs")</f>
        <v/>
      </c>
      <c r="J33" s="248" t="str">
        <f>IF(H33="","",VLOOKUP(G33,'Materials Price List'!$A$8:$B$46,2))</f>
        <v/>
      </c>
      <c r="K33" s="248" t="str">
        <f t="shared" si="51"/>
        <v/>
      </c>
      <c r="L33" s="244"/>
      <c r="M33" s="244"/>
      <c r="N33" s="244"/>
      <c r="O33" s="244"/>
      <c r="P33" s="244"/>
      <c r="Q33" s="244"/>
      <c r="R33" s="244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</row>
    <row r="34" spans="1:64" ht="19.5" customHeight="1">
      <c r="A34" s="37"/>
      <c r="B34" s="244"/>
      <c r="C34" s="244"/>
      <c r="D34" s="244"/>
      <c r="E34" s="244"/>
      <c r="F34" s="249" t="str">
        <f>F33</f>
        <v/>
      </c>
      <c r="G34" s="246" t="str">
        <f>IF(C10&gt;0,CONCATENATE(N10," X ",O10,"m"),"")</f>
        <v/>
      </c>
      <c r="H34" s="247" t="str">
        <f>AB10</f>
        <v/>
      </c>
      <c r="I34" s="247" t="str">
        <f t="shared" si="52"/>
        <v/>
      </c>
      <c r="J34" s="248" t="str">
        <f>IF(H34="","",VLOOKUP(G34,'Materials Price List'!$A$12:$B$46,2))</f>
        <v/>
      </c>
      <c r="K34" s="248" t="str">
        <f t="shared" si="51"/>
        <v/>
      </c>
      <c r="L34" s="244"/>
      <c r="M34" s="244"/>
      <c r="N34" s="244"/>
      <c r="O34" s="244"/>
      <c r="P34" s="244"/>
      <c r="Q34" s="244"/>
      <c r="R34" s="244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</row>
    <row r="35" spans="1:64" ht="16.5" customHeight="1">
      <c r="A35" s="37"/>
      <c r="B35" s="244"/>
      <c r="C35" s="244"/>
      <c r="D35" s="244"/>
      <c r="E35" s="244"/>
      <c r="F35" s="245" t="str">
        <f>IF(C11&gt;0,B11,"")</f>
        <v/>
      </c>
      <c r="G35" s="246" t="str">
        <f>IF(C11&gt;0,CONCATENATE(I11," X ",J11,"m"),"")</f>
        <v/>
      </c>
      <c r="H35" s="247" t="str">
        <f>AA11</f>
        <v/>
      </c>
      <c r="I35" s="247" t="str">
        <f t="shared" si="52"/>
        <v/>
      </c>
      <c r="J35" s="248" t="str">
        <f>IF(H35="","",VLOOKUP(G35,'Materials Price List'!$A$12:$B$46,2))</f>
        <v/>
      </c>
      <c r="K35" s="248" t="str">
        <f t="shared" si="51"/>
        <v/>
      </c>
      <c r="L35" s="244"/>
      <c r="M35" s="244"/>
      <c r="N35" s="244"/>
      <c r="O35" s="244"/>
      <c r="P35" s="244"/>
      <c r="Q35" s="244"/>
      <c r="R35" s="244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</row>
    <row r="36" spans="1:64" ht="16.5" customHeight="1">
      <c r="A36" s="37"/>
      <c r="B36" s="244"/>
      <c r="C36" s="244"/>
      <c r="D36" s="244"/>
      <c r="E36" s="244"/>
      <c r="F36" s="249" t="str">
        <f>F35</f>
        <v/>
      </c>
      <c r="G36" s="246" t="str">
        <f>IF(C11&gt;0,CONCATENATE(N11," X ",O11,"m"),"")</f>
        <v/>
      </c>
      <c r="H36" s="247" t="str">
        <f>AB11</f>
        <v/>
      </c>
      <c r="I36" s="247" t="str">
        <f t="shared" si="52"/>
        <v/>
      </c>
      <c r="J36" s="248" t="str">
        <f>IF(H36="","",VLOOKUP(G36,'Materials Price List'!$A$12:$B$46,2))</f>
        <v/>
      </c>
      <c r="K36" s="248" t="str">
        <f t="shared" si="51"/>
        <v/>
      </c>
      <c r="L36" s="244"/>
      <c r="M36" s="244"/>
      <c r="N36" s="244"/>
      <c r="O36" s="244"/>
      <c r="P36" s="244"/>
      <c r="Q36" s="244"/>
      <c r="R36" s="244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</row>
    <row r="37" spans="1:64" ht="16.5" customHeight="1">
      <c r="A37" s="37"/>
      <c r="B37" s="244"/>
      <c r="C37" s="244"/>
      <c r="D37" s="244"/>
      <c r="E37" s="244"/>
      <c r="F37" s="245" t="str">
        <f>IF(C12&gt;0,B12,"")</f>
        <v>B-1</v>
      </c>
      <c r="G37" s="246" t="str">
        <f>IF(C12&gt;0,CONCATENATE(I12," X ",J12,"m"),"")</f>
        <v>16mm Ø X 6m</v>
      </c>
      <c r="H37" s="247">
        <f>AA12</f>
        <v>5</v>
      </c>
      <c r="I37" s="247" t="str">
        <f t="shared" si="52"/>
        <v>pcs</v>
      </c>
      <c r="J37" s="248">
        <f>IF(H37="","",VLOOKUP(G37,'Materials Price List'!$A$12:$B$46,2))</f>
        <v>419.47183098591552</v>
      </c>
      <c r="K37" s="248">
        <f t="shared" si="51"/>
        <v>2097.3591549295775</v>
      </c>
      <c r="L37" s="244"/>
      <c r="M37" s="244"/>
      <c r="N37" s="244"/>
      <c r="O37" s="244"/>
      <c r="P37" s="244"/>
      <c r="Q37" s="244"/>
      <c r="R37" s="244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</row>
    <row r="38" spans="1:64" ht="16.5" customHeight="1">
      <c r="A38" s="37"/>
      <c r="B38" s="244"/>
      <c r="C38" s="244"/>
      <c r="D38" s="244"/>
      <c r="E38" s="244"/>
      <c r="F38" s="249" t="str">
        <f>F37</f>
        <v>B-1</v>
      </c>
      <c r="G38" s="246" t="str">
        <f>IF(C12&gt;0,CONCATENATE(N12," X ",O12,"m"),"")</f>
        <v>10mm Ø X 12m</v>
      </c>
      <c r="H38" s="247">
        <f>AB12</f>
        <v>9</v>
      </c>
      <c r="I38" s="247" t="str">
        <f t="shared" si="52"/>
        <v>pcs</v>
      </c>
      <c r="J38" s="248">
        <f>IF(H38="","",VLOOKUP(G38,'Materials Price List'!$A$12:$B$46,2))</f>
        <v>328.83802816901408</v>
      </c>
      <c r="K38" s="248">
        <f t="shared" si="51"/>
        <v>2959.5422535211269</v>
      </c>
      <c r="L38" s="244"/>
      <c r="M38" s="244"/>
      <c r="N38" s="244"/>
      <c r="O38" s="244"/>
      <c r="P38" s="244"/>
      <c r="Q38" s="244"/>
      <c r="R38" s="244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</row>
    <row r="39" spans="1:64" ht="16.5" customHeight="1">
      <c r="A39" s="37"/>
      <c r="B39" s="244"/>
      <c r="C39" s="244"/>
      <c r="D39" s="244"/>
      <c r="E39" s="244"/>
      <c r="F39" s="245" t="str">
        <f>IF(C13&gt;0,B13,"")</f>
        <v/>
      </c>
      <c r="G39" s="246" t="str">
        <f>IF(C13&gt;0,CONCATENATE(I13," X ",J13,"m"),"")</f>
        <v/>
      </c>
      <c r="H39" s="247" t="str">
        <f>AA13</f>
        <v/>
      </c>
      <c r="I39" s="247" t="str">
        <f t="shared" si="52"/>
        <v/>
      </c>
      <c r="J39" s="248" t="str">
        <f>IF(H39="","",VLOOKUP(G39,'Materials Price List'!$A$12:$B$46,2))</f>
        <v/>
      </c>
      <c r="K39" s="248" t="str">
        <f t="shared" si="51"/>
        <v/>
      </c>
      <c r="L39" s="244"/>
      <c r="M39" s="244"/>
      <c r="N39" s="244"/>
      <c r="O39" s="244"/>
      <c r="P39" s="244"/>
      <c r="Q39" s="244"/>
      <c r="R39" s="244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</row>
    <row r="40" spans="1:64" ht="16.5" customHeight="1">
      <c r="A40" s="37"/>
      <c r="B40" s="244"/>
      <c r="C40" s="244"/>
      <c r="D40" s="244"/>
      <c r="E40" s="244"/>
      <c r="F40" s="249" t="str">
        <f>F39</f>
        <v/>
      </c>
      <c r="G40" s="246" t="str">
        <f>IF(C13&gt;0,CONCATENATE(N13," X ",O13,"m"),"")</f>
        <v/>
      </c>
      <c r="H40" s="247" t="str">
        <f>AB13</f>
        <v/>
      </c>
      <c r="I40" s="247" t="str">
        <f t="shared" si="52"/>
        <v/>
      </c>
      <c r="J40" s="248" t="str">
        <f>IF(H40="","",VLOOKUP(G40,'Materials Price List'!$A$12:$B$46,2))</f>
        <v/>
      </c>
      <c r="K40" s="248" t="str">
        <f t="shared" si="51"/>
        <v/>
      </c>
      <c r="L40" s="244"/>
      <c r="M40" s="244"/>
      <c r="N40" s="244"/>
      <c r="O40" s="244"/>
      <c r="P40" s="244"/>
      <c r="Q40" s="244"/>
      <c r="R40" s="244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</row>
    <row r="41" spans="1:64" ht="16.5" customHeight="1">
      <c r="A41" s="37"/>
      <c r="B41" s="244"/>
      <c r="C41" s="244"/>
      <c r="D41" s="244"/>
      <c r="E41" s="244"/>
      <c r="F41" s="245" t="str">
        <f>IF(C14&gt;0,B14,"")</f>
        <v/>
      </c>
      <c r="G41" s="246" t="str">
        <f>IF(C14&gt;0,CONCATENATE(I14," X ",J14,"m"),"")</f>
        <v/>
      </c>
      <c r="H41" s="247" t="str">
        <f>AA14</f>
        <v/>
      </c>
      <c r="I41" s="247" t="str">
        <f t="shared" si="52"/>
        <v/>
      </c>
      <c r="J41" s="248" t="str">
        <f>IF(H41="","",VLOOKUP(G41,'Materials Price List'!$A$12:$B$46,2))</f>
        <v/>
      </c>
      <c r="K41" s="248" t="str">
        <f t="shared" si="51"/>
        <v/>
      </c>
      <c r="L41" s="244"/>
      <c r="M41" s="244"/>
      <c r="N41" s="244"/>
      <c r="O41" s="244"/>
      <c r="P41" s="244"/>
      <c r="Q41" s="244"/>
      <c r="R41" s="244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</row>
    <row r="42" spans="1:64" ht="16.5" customHeight="1">
      <c r="A42" s="37"/>
      <c r="B42" s="244"/>
      <c r="C42" s="244"/>
      <c r="D42" s="244"/>
      <c r="E42" s="244"/>
      <c r="F42" s="249" t="str">
        <f>F41</f>
        <v/>
      </c>
      <c r="G42" s="246" t="str">
        <f>IF(C14&gt;0,CONCATENATE(N14," X ",O14,"m"),"")</f>
        <v/>
      </c>
      <c r="H42" s="247" t="str">
        <f>AB14</f>
        <v/>
      </c>
      <c r="I42" s="247" t="str">
        <f t="shared" si="52"/>
        <v/>
      </c>
      <c r="J42" s="248" t="str">
        <f>IF(H42="","",VLOOKUP(G42,'Materials Price List'!$A$12:$B$46,2))</f>
        <v/>
      </c>
      <c r="K42" s="248" t="str">
        <f t="shared" si="51"/>
        <v/>
      </c>
      <c r="L42" s="244"/>
      <c r="M42" s="244"/>
      <c r="N42" s="244"/>
      <c r="O42" s="244"/>
      <c r="P42" s="244"/>
      <c r="Q42" s="244"/>
      <c r="R42" s="244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</row>
    <row r="43" spans="1:64" ht="16.5" customHeight="1">
      <c r="A43" s="37"/>
      <c r="B43" s="244"/>
      <c r="C43" s="244"/>
      <c r="D43" s="244"/>
      <c r="E43" s="244"/>
      <c r="F43" s="245" t="str">
        <f>IF(C15&gt;0,B15,"")</f>
        <v/>
      </c>
      <c r="G43" s="246" t="str">
        <f>IF(C15&gt;0,CONCATENATE(I15," X ",J15,"m"),"")</f>
        <v/>
      </c>
      <c r="H43" s="247" t="str">
        <f>AA15</f>
        <v/>
      </c>
      <c r="I43" s="247" t="str">
        <f t="shared" si="52"/>
        <v/>
      </c>
      <c r="J43" s="248" t="str">
        <f>IF(H43="","",VLOOKUP(G43,'Materials Price List'!$A$12:$B$46,2))</f>
        <v/>
      </c>
      <c r="K43" s="248" t="str">
        <f t="shared" si="51"/>
        <v/>
      </c>
      <c r="L43" s="244"/>
      <c r="M43" s="244"/>
      <c r="N43" s="244"/>
      <c r="O43" s="244"/>
      <c r="P43" s="244"/>
      <c r="Q43" s="244"/>
      <c r="R43" s="244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</row>
    <row r="44" spans="1:64" ht="16.5" customHeight="1">
      <c r="A44" s="37"/>
      <c r="B44" s="244"/>
      <c r="C44" s="244"/>
      <c r="D44" s="244"/>
      <c r="E44" s="244"/>
      <c r="F44" s="249" t="str">
        <f>F43</f>
        <v/>
      </c>
      <c r="G44" s="246" t="str">
        <f>IF(C15&gt;0,CONCATENATE(N15," X ",O15,"m"),"")</f>
        <v/>
      </c>
      <c r="H44" s="247" t="str">
        <f>AB15</f>
        <v/>
      </c>
      <c r="I44" s="247" t="str">
        <f t="shared" si="52"/>
        <v/>
      </c>
      <c r="J44" s="248" t="str">
        <f>IF(H44="","",VLOOKUP(G44,'Materials Price List'!$A$12:$B$46,2))</f>
        <v/>
      </c>
      <c r="K44" s="248" t="str">
        <f t="shared" si="51"/>
        <v/>
      </c>
      <c r="L44" s="244"/>
      <c r="M44" s="244"/>
      <c r="N44" s="244"/>
      <c r="O44" s="244"/>
      <c r="P44" s="244"/>
      <c r="Q44" s="244"/>
      <c r="R44" s="244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</row>
    <row r="45" spans="1:64" ht="16.5" customHeight="1">
      <c r="A45" s="37"/>
      <c r="B45" s="244"/>
      <c r="C45" s="244"/>
      <c r="D45" s="244"/>
      <c r="E45" s="244"/>
      <c r="F45" s="245" t="str">
        <f>IF(C16&gt;0,B16,"")</f>
        <v/>
      </c>
      <c r="G45" s="246" t="str">
        <f>IF(C16&gt;0,CONCATENATE(I16," X ",J16,"m"),"")</f>
        <v/>
      </c>
      <c r="H45" s="247" t="str">
        <f>AA16</f>
        <v/>
      </c>
      <c r="I45" s="247" t="str">
        <f t="shared" si="52"/>
        <v/>
      </c>
      <c r="J45" s="248" t="str">
        <f>IF(H45="","",VLOOKUP(G45,'Materials Price List'!$A$12:$B$46,2))</f>
        <v/>
      </c>
      <c r="K45" s="248" t="str">
        <f t="shared" si="51"/>
        <v/>
      </c>
      <c r="L45" s="244"/>
      <c r="M45" s="244"/>
      <c r="N45" s="244"/>
      <c r="O45" s="244"/>
      <c r="P45" s="244"/>
      <c r="Q45" s="244"/>
      <c r="R45" s="244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</row>
    <row r="46" spans="1:64" ht="16.5" customHeight="1">
      <c r="A46" s="37"/>
      <c r="B46" s="244"/>
      <c r="C46" s="244"/>
      <c r="D46" s="244"/>
      <c r="E46" s="244"/>
      <c r="F46" s="249" t="str">
        <f>F45</f>
        <v/>
      </c>
      <c r="G46" s="246" t="str">
        <f>IF(C16&gt;0,CONCATENATE(N16," X ",O16,"m"),"")</f>
        <v/>
      </c>
      <c r="H46" s="247" t="str">
        <f>AB16</f>
        <v/>
      </c>
      <c r="I46" s="247" t="str">
        <f t="shared" si="52"/>
        <v/>
      </c>
      <c r="J46" s="248" t="str">
        <f>IF(H46="","",VLOOKUP(G46,'Materials Price List'!$A$12:$B$46,2))</f>
        <v/>
      </c>
      <c r="K46" s="248" t="str">
        <f t="shared" si="51"/>
        <v/>
      </c>
      <c r="L46" s="244"/>
      <c r="M46" s="244"/>
      <c r="N46" s="244"/>
      <c r="O46" s="244"/>
      <c r="P46" s="244"/>
      <c r="Q46" s="244"/>
      <c r="R46" s="244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</row>
    <row r="47" spans="1:64" ht="16.5" customHeight="1">
      <c r="A47" s="37"/>
      <c r="B47" s="244"/>
      <c r="C47" s="244"/>
      <c r="D47" s="244"/>
      <c r="E47" s="244"/>
      <c r="F47" s="245" t="str">
        <f>IF(C17&gt;0,B17,"")</f>
        <v/>
      </c>
      <c r="G47" s="246" t="str">
        <f>IF(C17&gt;0,CONCATENATE(I17," X ",J17,"m"),"")</f>
        <v/>
      </c>
      <c r="H47" s="247" t="str">
        <f>AA17</f>
        <v/>
      </c>
      <c r="I47" s="247" t="str">
        <f t="shared" si="52"/>
        <v/>
      </c>
      <c r="J47" s="248" t="str">
        <f>IF(H47="","",VLOOKUP(G47,'Materials Price List'!$A$12:$B$46,2))</f>
        <v/>
      </c>
      <c r="K47" s="248" t="str">
        <f t="shared" si="51"/>
        <v/>
      </c>
      <c r="L47" s="244"/>
      <c r="M47" s="244"/>
      <c r="N47" s="244"/>
      <c r="O47" s="244"/>
      <c r="P47" s="244"/>
      <c r="Q47" s="244"/>
      <c r="R47" s="244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</row>
    <row r="48" spans="1:64" ht="16.5" customHeight="1">
      <c r="A48" s="37"/>
      <c r="B48" s="244"/>
      <c r="C48" s="244"/>
      <c r="D48" s="244"/>
      <c r="E48" s="244"/>
      <c r="F48" s="249" t="str">
        <f>F47</f>
        <v/>
      </c>
      <c r="G48" s="246" t="str">
        <f>IF(C17&gt;0,CONCATENATE(N17," X ",O17,"m"),"")</f>
        <v/>
      </c>
      <c r="H48" s="247" t="str">
        <f>AB17</f>
        <v/>
      </c>
      <c r="I48" s="247" t="str">
        <f t="shared" si="52"/>
        <v/>
      </c>
      <c r="J48" s="248" t="str">
        <f>IF(H48="","",VLOOKUP(G48,'Materials Price List'!$A$12:$B$46,2))</f>
        <v/>
      </c>
      <c r="K48" s="248" t="str">
        <f t="shared" si="51"/>
        <v/>
      </c>
      <c r="L48" s="244"/>
      <c r="M48" s="244"/>
      <c r="N48" s="244"/>
      <c r="O48" s="244"/>
      <c r="P48" s="244"/>
      <c r="Q48" s="244"/>
      <c r="R48" s="244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</row>
    <row r="49" spans="1:64" ht="16.5" customHeight="1">
      <c r="A49" s="37"/>
      <c r="B49" s="244"/>
      <c r="C49" s="244"/>
      <c r="D49" s="244"/>
      <c r="E49" s="244"/>
      <c r="F49" s="245" t="str">
        <f>IF(C18&gt;0,B18,"")</f>
        <v/>
      </c>
      <c r="G49" s="246" t="str">
        <f>IF(C18&gt;0,CONCATENATE(I18," X ",J18,"m"),"")</f>
        <v/>
      </c>
      <c r="H49" s="247" t="str">
        <f>AA18</f>
        <v/>
      </c>
      <c r="I49" s="247" t="str">
        <f t="shared" si="52"/>
        <v/>
      </c>
      <c r="J49" s="248" t="str">
        <f>IF(H49="","",VLOOKUP(G49,'Materials Price List'!$A$12:$B$46,2))</f>
        <v/>
      </c>
      <c r="K49" s="248" t="str">
        <f t="shared" si="51"/>
        <v/>
      </c>
      <c r="L49" s="244"/>
      <c r="M49" s="244"/>
      <c r="N49" s="244"/>
      <c r="O49" s="244"/>
      <c r="P49" s="244"/>
      <c r="Q49" s="244"/>
      <c r="R49" s="244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</row>
    <row r="50" spans="1:64" ht="16.5" customHeight="1">
      <c r="A50" s="37"/>
      <c r="B50" s="244"/>
      <c r="C50" s="244"/>
      <c r="D50" s="244"/>
      <c r="E50" s="244"/>
      <c r="F50" s="249" t="str">
        <f>F49</f>
        <v/>
      </c>
      <c r="G50" s="246" t="str">
        <f>IF(C18&gt;0,CONCATENATE(N18," X ",O18,"m"),"")</f>
        <v/>
      </c>
      <c r="H50" s="247" t="str">
        <f>AB18</f>
        <v/>
      </c>
      <c r="I50" s="247" t="str">
        <f t="shared" si="52"/>
        <v/>
      </c>
      <c r="J50" s="248" t="str">
        <f>IF(H50="","",VLOOKUP(G50,'Materials Price List'!$A$12:$B$46,2))</f>
        <v/>
      </c>
      <c r="K50" s="248" t="str">
        <f t="shared" si="51"/>
        <v/>
      </c>
      <c r="L50" s="244"/>
      <c r="M50" s="244"/>
      <c r="N50" s="244"/>
      <c r="O50" s="244"/>
      <c r="P50" s="244"/>
      <c r="Q50" s="244"/>
      <c r="R50" s="244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</row>
    <row r="51" spans="1:64" ht="16.5" customHeight="1">
      <c r="A51" s="37"/>
      <c r="B51" s="244"/>
      <c r="C51" s="244"/>
      <c r="D51" s="244"/>
      <c r="E51" s="244"/>
      <c r="F51" s="245" t="str">
        <f>IF(C19&gt;0,B19,"")</f>
        <v/>
      </c>
      <c r="G51" s="246" t="str">
        <f>IF(C19&gt;0,CONCATENATE(I19," X ",J19,"m"),"")</f>
        <v/>
      </c>
      <c r="H51" s="247" t="str">
        <f>AA19</f>
        <v/>
      </c>
      <c r="I51" s="247" t="str">
        <f t="shared" si="52"/>
        <v/>
      </c>
      <c r="J51" s="248" t="str">
        <f>IF(H51="","",VLOOKUP(G51,'Materials Price List'!$A$12:$B$46,2))</f>
        <v/>
      </c>
      <c r="K51" s="248" t="str">
        <f t="shared" si="51"/>
        <v/>
      </c>
      <c r="L51" s="244"/>
      <c r="M51" s="244"/>
      <c r="N51" s="244"/>
      <c r="O51" s="244"/>
      <c r="P51" s="244"/>
      <c r="Q51" s="244"/>
      <c r="R51" s="244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</row>
    <row r="52" spans="1:64" ht="16.5" customHeight="1">
      <c r="A52" s="37"/>
      <c r="B52" s="244"/>
      <c r="C52" s="244"/>
      <c r="D52" s="244"/>
      <c r="E52" s="244"/>
      <c r="F52" s="249" t="str">
        <f>F51</f>
        <v/>
      </c>
      <c r="G52" s="246" t="str">
        <f>IF(C19&gt;0,CONCATENATE(N19," X ",O19,"m"),"")</f>
        <v/>
      </c>
      <c r="H52" s="247" t="str">
        <f>AB19</f>
        <v/>
      </c>
      <c r="I52" s="247" t="str">
        <f t="shared" si="52"/>
        <v/>
      </c>
      <c r="J52" s="248" t="str">
        <f>IF(H52="","",VLOOKUP(G52,'Materials Price List'!$A$12:$B$46,2))</f>
        <v/>
      </c>
      <c r="K52" s="248" t="str">
        <f t="shared" si="51"/>
        <v/>
      </c>
      <c r="L52" s="244"/>
      <c r="M52" s="244"/>
      <c r="N52" s="244"/>
      <c r="O52" s="244"/>
      <c r="P52" s="244"/>
      <c r="Q52" s="244"/>
      <c r="R52" s="244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</row>
    <row r="53" spans="1:64" ht="16.5" customHeight="1">
      <c r="A53" s="3"/>
      <c r="B53" s="174"/>
      <c r="C53" s="174"/>
      <c r="D53" s="174"/>
      <c r="E53" s="174"/>
      <c r="F53" s="250" t="s">
        <v>65</v>
      </c>
      <c r="G53" s="251"/>
      <c r="H53" s="251"/>
      <c r="I53" s="251"/>
      <c r="J53" s="252"/>
      <c r="K53" s="253">
        <f>SUM(K24:K52)</f>
        <v>42530.3389084507</v>
      </c>
      <c r="L53" s="174"/>
      <c r="M53" s="174"/>
      <c r="N53" s="174"/>
      <c r="O53" s="174"/>
      <c r="P53" s="174"/>
      <c r="Q53" s="174"/>
      <c r="R53" s="17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</row>
    <row r="54" spans="1:64" ht="16.5" customHeight="1">
      <c r="A54" s="3"/>
      <c r="B54" s="174"/>
      <c r="C54" s="174"/>
      <c r="D54" s="174"/>
      <c r="E54" s="174"/>
      <c r="F54" s="254" t="s">
        <v>66</v>
      </c>
      <c r="G54" s="183"/>
      <c r="H54" s="183"/>
      <c r="I54" s="184"/>
      <c r="J54" s="255">
        <v>0.35</v>
      </c>
      <c r="K54" s="256">
        <f>J54*K53</f>
        <v>14885.618617957743</v>
      </c>
      <c r="L54" s="174"/>
      <c r="M54" s="174"/>
      <c r="N54" s="174"/>
      <c r="O54" s="174"/>
      <c r="P54" s="174"/>
      <c r="Q54" s="174"/>
      <c r="R54" s="17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</row>
    <row r="55" spans="1:64" ht="16.5" customHeight="1">
      <c r="A55" s="3"/>
      <c r="B55" s="174"/>
      <c r="C55" s="174"/>
      <c r="D55" s="174"/>
      <c r="E55" s="174"/>
      <c r="F55" s="170"/>
      <c r="G55" s="170"/>
      <c r="H55" s="170"/>
      <c r="I55" s="170"/>
      <c r="J55" s="170"/>
      <c r="K55" s="170"/>
      <c r="L55" s="174"/>
      <c r="M55" s="174"/>
      <c r="N55" s="174"/>
      <c r="O55" s="174"/>
      <c r="P55" s="174"/>
      <c r="Q55" s="174"/>
      <c r="R55" s="17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</row>
    <row r="56" spans="1:64" ht="16.5" customHeight="1">
      <c r="A56" s="3"/>
      <c r="B56" s="174"/>
      <c r="C56" s="174"/>
      <c r="D56" s="174"/>
      <c r="E56" s="174"/>
      <c r="F56" s="416" t="s">
        <v>149</v>
      </c>
      <c r="G56" s="196"/>
      <c r="H56" s="196"/>
      <c r="I56" s="196"/>
      <c r="J56" s="196"/>
      <c r="K56" s="196"/>
      <c r="L56" s="174"/>
      <c r="M56" s="174"/>
      <c r="N56" s="174"/>
      <c r="O56" s="174"/>
      <c r="P56" s="174"/>
      <c r="Q56" s="174"/>
      <c r="R56" s="17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25"/>
      <c r="BF56" s="25"/>
      <c r="BG56" s="25"/>
      <c r="BH56" s="25"/>
      <c r="BI56" s="25"/>
      <c r="BJ56" s="25"/>
      <c r="BK56" s="3"/>
      <c r="BL56" s="3"/>
    </row>
    <row r="57" spans="1:64" ht="16.5" customHeight="1">
      <c r="A57" s="3"/>
      <c r="B57" s="174"/>
      <c r="C57" s="174"/>
      <c r="D57" s="174"/>
      <c r="E57" s="174"/>
      <c r="F57" s="260" t="s">
        <v>150</v>
      </c>
      <c r="G57" s="176"/>
      <c r="H57" s="261">
        <f>BG20</f>
        <v>1.95</v>
      </c>
      <c r="I57" s="262" t="s">
        <v>151</v>
      </c>
      <c r="J57" s="417">
        <v>300</v>
      </c>
      <c r="K57" s="418" t="s">
        <v>152</v>
      </c>
      <c r="L57" s="174"/>
      <c r="M57" s="174"/>
      <c r="N57" s="174"/>
      <c r="O57" s="174"/>
      <c r="P57" s="174"/>
      <c r="Q57" s="174"/>
      <c r="R57" s="17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25"/>
      <c r="BF57" s="25"/>
      <c r="BG57" s="25"/>
      <c r="BH57" s="25"/>
      <c r="BI57" s="25"/>
      <c r="BJ57" s="25"/>
      <c r="BK57" s="3"/>
      <c r="BL57" s="3"/>
    </row>
    <row r="58" spans="1:64" ht="16.5" customHeight="1">
      <c r="A58" s="3"/>
      <c r="B58" s="174"/>
      <c r="C58" s="174"/>
      <c r="D58" s="174"/>
      <c r="E58" s="174"/>
      <c r="F58" s="257"/>
      <c r="G58" s="257" t="s">
        <v>153</v>
      </c>
      <c r="H58" s="419">
        <f>CEILING(H57*90/(9*6),1)</f>
        <v>4</v>
      </c>
      <c r="I58" s="420" t="s">
        <v>120</v>
      </c>
      <c r="J58" s="258"/>
      <c r="K58" s="176"/>
      <c r="L58" s="174"/>
      <c r="M58" s="174"/>
      <c r="N58" s="174"/>
      <c r="O58" s="174"/>
      <c r="P58" s="174"/>
      <c r="Q58" s="174"/>
      <c r="R58" s="17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25"/>
      <c r="BF58" s="25"/>
      <c r="BG58" s="25"/>
      <c r="BH58" s="25"/>
      <c r="BI58" s="25"/>
      <c r="BJ58" s="25"/>
      <c r="BK58" s="3"/>
      <c r="BL58" s="3"/>
    </row>
    <row r="59" spans="1:64" ht="16.5" customHeight="1">
      <c r="A59" s="3"/>
      <c r="B59" s="174"/>
      <c r="C59" s="174"/>
      <c r="D59" s="174"/>
      <c r="E59" s="174"/>
      <c r="F59" s="257"/>
      <c r="G59" s="257"/>
      <c r="H59" s="419"/>
      <c r="I59" s="420"/>
      <c r="J59" s="258"/>
      <c r="K59" s="259"/>
      <c r="L59" s="174"/>
      <c r="M59" s="174"/>
      <c r="N59" s="174"/>
      <c r="O59" s="174"/>
      <c r="P59" s="174"/>
      <c r="Q59" s="174"/>
      <c r="R59" s="17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25"/>
      <c r="BF59" s="25"/>
      <c r="BG59" s="25"/>
      <c r="BH59" s="25"/>
      <c r="BI59" s="25"/>
      <c r="BJ59" s="25"/>
      <c r="BK59" s="3"/>
      <c r="BL59" s="3"/>
    </row>
    <row r="60" spans="1:64" ht="16.5" customHeight="1">
      <c r="A60" s="3"/>
      <c r="B60" s="174"/>
      <c r="C60" s="174"/>
      <c r="D60" s="174"/>
      <c r="E60" s="174"/>
      <c r="F60" s="264" t="s">
        <v>154</v>
      </c>
      <c r="G60" s="251"/>
      <c r="H60" s="251"/>
      <c r="I60" s="251"/>
      <c r="J60" s="252"/>
      <c r="K60" s="265">
        <f>J57*H58</f>
        <v>1200</v>
      </c>
      <c r="L60" s="174"/>
      <c r="M60" s="174"/>
      <c r="N60" s="174"/>
      <c r="O60" s="174"/>
      <c r="P60" s="174"/>
      <c r="Q60" s="174"/>
      <c r="R60" s="17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25"/>
      <c r="BF60" s="25"/>
      <c r="BG60" s="25"/>
      <c r="BH60" s="25"/>
      <c r="BI60" s="25"/>
      <c r="BJ60" s="25"/>
      <c r="BK60" s="3"/>
      <c r="BL60" s="3"/>
    </row>
    <row r="61" spans="1:64" ht="16.5" customHeight="1">
      <c r="A61" s="3"/>
      <c r="B61" s="174"/>
      <c r="C61" s="174"/>
      <c r="D61" s="174"/>
      <c r="E61" s="174"/>
      <c r="F61" s="257"/>
      <c r="G61" s="257"/>
      <c r="H61" s="257"/>
      <c r="I61" s="257"/>
      <c r="J61" s="258"/>
      <c r="K61" s="259"/>
      <c r="L61" s="174"/>
      <c r="M61" s="174"/>
      <c r="N61" s="174"/>
      <c r="O61" s="174"/>
      <c r="P61" s="174"/>
      <c r="Q61" s="174"/>
      <c r="R61" s="17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</row>
    <row r="62" spans="1:64" ht="16.5" customHeight="1">
      <c r="A62" s="3"/>
      <c r="B62" s="174"/>
      <c r="C62" s="174"/>
      <c r="D62" s="174"/>
      <c r="E62" s="174"/>
      <c r="F62" s="260" t="s">
        <v>72</v>
      </c>
      <c r="G62" s="176"/>
      <c r="H62" s="176"/>
      <c r="I62" s="176"/>
      <c r="J62" s="408">
        <v>8</v>
      </c>
      <c r="K62" s="269" t="s">
        <v>73</v>
      </c>
      <c r="L62" s="174"/>
      <c r="M62" s="174"/>
      <c r="N62" s="174"/>
      <c r="O62" s="174"/>
      <c r="P62" s="174"/>
      <c r="Q62" s="174"/>
      <c r="R62" s="17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</row>
    <row r="63" spans="1:64" ht="16.5" customHeight="1">
      <c r="A63" s="3"/>
      <c r="B63" s="174"/>
      <c r="C63" s="174"/>
      <c r="D63" s="174"/>
      <c r="E63" s="174"/>
      <c r="F63" s="260" t="s">
        <v>74</v>
      </c>
      <c r="G63" s="176"/>
      <c r="H63" s="176"/>
      <c r="I63" s="176"/>
      <c r="J63" s="409">
        <f>CEILING(SUM(AM10:AM19)/J62,1)</f>
        <v>1</v>
      </c>
      <c r="K63" s="269" t="s">
        <v>75</v>
      </c>
      <c r="L63" s="174"/>
      <c r="M63" s="174"/>
      <c r="N63" s="174"/>
      <c r="O63" s="174"/>
      <c r="P63" s="174"/>
      <c r="Q63" s="174"/>
      <c r="R63" s="17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</row>
    <row r="64" spans="1:64" ht="16.5" customHeight="1">
      <c r="A64" s="3"/>
      <c r="B64" s="174"/>
      <c r="C64" s="174"/>
      <c r="D64" s="174"/>
      <c r="E64" s="174"/>
      <c r="F64" s="260" t="s">
        <v>76</v>
      </c>
      <c r="G64" s="176"/>
      <c r="H64" s="176"/>
      <c r="I64" s="176"/>
      <c r="J64" s="271">
        <f>'Materials Price List'!B47</f>
        <v>1200</v>
      </c>
      <c r="K64" s="272" t="s">
        <v>77</v>
      </c>
      <c r="L64" s="174"/>
      <c r="M64" s="174"/>
      <c r="N64" s="174"/>
      <c r="O64" s="174"/>
      <c r="P64" s="174"/>
      <c r="Q64" s="174"/>
      <c r="R64" s="17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</row>
    <row r="65" spans="1:64" ht="16.5" customHeight="1">
      <c r="A65" s="3"/>
      <c r="B65" s="174"/>
      <c r="C65" s="174"/>
      <c r="D65" s="174"/>
      <c r="E65" s="174"/>
      <c r="F65" s="273" t="s">
        <v>78</v>
      </c>
      <c r="G65" s="183"/>
      <c r="H65" s="183"/>
      <c r="I65" s="183"/>
      <c r="J65" s="184"/>
      <c r="K65" s="274">
        <f>J64*J63</f>
        <v>1200</v>
      </c>
      <c r="L65" s="174"/>
      <c r="M65" s="174"/>
      <c r="N65" s="174"/>
      <c r="O65" s="174"/>
      <c r="P65" s="174"/>
      <c r="Q65" s="174"/>
      <c r="R65" s="17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</row>
    <row r="66" spans="1:64" ht="16.5" customHeight="1">
      <c r="A66" s="3"/>
      <c r="B66" s="174"/>
      <c r="C66" s="174"/>
      <c r="D66" s="174"/>
      <c r="E66" s="174"/>
      <c r="F66" s="174"/>
      <c r="G66" s="174"/>
      <c r="H66" s="174"/>
      <c r="I66" s="174"/>
      <c r="J66" s="174"/>
      <c r="K66" s="275"/>
      <c r="L66" s="174"/>
      <c r="M66" s="174"/>
      <c r="N66" s="174"/>
      <c r="O66" s="174"/>
      <c r="P66" s="174"/>
      <c r="Q66" s="174"/>
      <c r="R66" s="17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</row>
    <row r="67" spans="1:64" ht="16.5" customHeight="1">
      <c r="A67" s="3"/>
      <c r="B67" s="174"/>
      <c r="C67" s="174"/>
      <c r="D67" s="174"/>
      <c r="E67" s="174"/>
      <c r="F67" s="174"/>
      <c r="G67" s="174"/>
      <c r="H67" s="260" t="s">
        <v>79</v>
      </c>
      <c r="I67" s="176"/>
      <c r="J67" s="176"/>
      <c r="K67" s="276">
        <f>K53+K54+K65+K60</f>
        <v>59815.957526408441</v>
      </c>
      <c r="L67" s="174"/>
      <c r="M67" s="174"/>
      <c r="N67" s="174"/>
      <c r="O67" s="174"/>
      <c r="P67" s="174"/>
      <c r="Q67" s="174"/>
      <c r="R67" s="17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</row>
    <row r="68" spans="1:64" ht="16.5" customHeight="1">
      <c r="A68" s="3"/>
      <c r="B68" s="174"/>
      <c r="C68" s="174"/>
      <c r="D68" s="174"/>
      <c r="E68" s="174"/>
      <c r="F68" s="174"/>
      <c r="G68" s="275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</row>
    <row r="69" spans="1:64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</row>
    <row r="70" spans="1:64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</row>
    <row r="71" spans="1:64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</row>
    <row r="72" spans="1:64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</row>
    <row r="73" spans="1:64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</row>
    <row r="74" spans="1:6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</row>
    <row r="75" spans="1:64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</row>
    <row r="76" spans="1:64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</row>
    <row r="77" spans="1:64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</row>
    <row r="78" spans="1:64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</row>
    <row r="79" spans="1:64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</row>
    <row r="80" spans="1:64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</row>
    <row r="81" spans="1:64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</row>
    <row r="82" spans="1:64" ht="16.5" hidden="1" customHeight="1">
      <c r="A82" s="3"/>
      <c r="B82" s="3"/>
      <c r="C82" s="3"/>
      <c r="D82" s="3"/>
      <c r="E82" s="3"/>
      <c r="F82" s="3"/>
      <c r="G82" s="52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</row>
    <row r="83" spans="1:64" ht="16.5" hidden="1" customHeight="1">
      <c r="A83" s="3"/>
      <c r="B83" s="3"/>
      <c r="C83" s="3"/>
      <c r="D83" s="3"/>
      <c r="E83" s="3"/>
      <c r="F83" s="3"/>
      <c r="G83" s="52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</row>
    <row r="84" spans="1:64" ht="16.5" hidden="1" customHeight="1">
      <c r="A84" s="3"/>
      <c r="B84" s="3"/>
      <c r="C84" s="3"/>
      <c r="D84" s="3"/>
      <c r="E84" s="3"/>
      <c r="F84" s="3"/>
      <c r="G84" s="52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</row>
    <row r="85" spans="1:64" ht="16.5" hidden="1" customHeight="1">
      <c r="A85" s="3"/>
      <c r="B85" s="3"/>
      <c r="C85" s="3"/>
      <c r="D85" s="3"/>
      <c r="E85" s="3"/>
      <c r="F85" s="3"/>
      <c r="G85" s="52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</row>
    <row r="86" spans="1:64" ht="16.5" hidden="1" customHeight="1">
      <c r="A86" s="3"/>
      <c r="B86" s="3"/>
      <c r="C86" s="3"/>
      <c r="D86" s="3"/>
      <c r="E86" s="3"/>
      <c r="F86" s="3"/>
      <c r="G86" s="52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</row>
    <row r="87" spans="1:64" ht="16.5" hidden="1" customHeight="1">
      <c r="A87" s="3"/>
      <c r="B87" s="3"/>
      <c r="C87" s="3"/>
      <c r="D87" s="3"/>
      <c r="E87" s="3"/>
      <c r="F87" s="3"/>
      <c r="G87" s="52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</row>
    <row r="88" spans="1:64" ht="16.5" hidden="1" customHeight="1">
      <c r="A88" s="3"/>
      <c r="B88" s="3"/>
      <c r="C88" s="3"/>
      <c r="D88" s="3"/>
      <c r="E88" s="3"/>
      <c r="F88" s="3"/>
      <c r="G88" s="52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</row>
    <row r="89" spans="1:64" ht="16.5" hidden="1" customHeight="1">
      <c r="A89" s="3"/>
      <c r="B89" s="3"/>
      <c r="C89" s="3"/>
      <c r="D89" s="3"/>
      <c r="E89" s="3"/>
      <c r="F89" s="3"/>
      <c r="G89" s="52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</row>
    <row r="90" spans="1:64" ht="16.5" hidden="1" customHeight="1">
      <c r="A90" s="3"/>
      <c r="B90" s="3"/>
      <c r="C90" s="3"/>
      <c r="D90" s="3"/>
      <c r="E90" s="3"/>
      <c r="F90" s="3"/>
      <c r="G90" s="52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</row>
    <row r="91" spans="1:64" ht="16.5" hidden="1" customHeight="1">
      <c r="A91" s="3"/>
      <c r="B91" s="3"/>
      <c r="C91" s="3"/>
      <c r="D91" s="3"/>
      <c r="E91" s="3"/>
      <c r="F91" s="3"/>
      <c r="G91" s="52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</row>
    <row r="92" spans="1:64" ht="16.5" hidden="1" customHeight="1">
      <c r="A92" s="3"/>
      <c r="B92" s="3"/>
      <c r="C92" s="3"/>
      <c r="D92" s="3"/>
      <c r="E92" s="3"/>
      <c r="F92" s="3"/>
      <c r="G92" s="52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</row>
    <row r="93" spans="1:64" ht="16.5" hidden="1" customHeight="1">
      <c r="A93" s="3"/>
      <c r="B93" s="3"/>
      <c r="C93" s="3"/>
      <c r="D93" s="3"/>
      <c r="E93" s="3"/>
      <c r="F93" s="3"/>
      <c r="G93" s="52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</row>
    <row r="94" spans="1:64" ht="16.5" hidden="1" customHeight="1">
      <c r="A94" s="3"/>
      <c r="B94" s="3"/>
      <c r="C94" s="3"/>
      <c r="D94" s="3"/>
      <c r="E94" s="3"/>
      <c r="F94" s="3"/>
      <c r="G94" s="52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</row>
    <row r="95" spans="1:64" ht="16.5" hidden="1" customHeight="1">
      <c r="A95" s="3"/>
      <c r="B95" s="3"/>
      <c r="C95" s="3"/>
      <c r="D95" s="3"/>
      <c r="E95" s="3"/>
      <c r="F95" s="3"/>
      <c r="G95" s="52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</row>
    <row r="96" spans="1:64" ht="16.5" hidden="1" customHeight="1">
      <c r="A96" s="3"/>
      <c r="B96" s="3"/>
      <c r="C96" s="3"/>
      <c r="D96" s="3"/>
      <c r="E96" s="3"/>
      <c r="F96" s="3"/>
      <c r="G96" s="52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</row>
    <row r="97" spans="1:64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</row>
    <row r="98" spans="1:64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</row>
    <row r="99" spans="1:64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</row>
    <row r="100" spans="1:64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</row>
    <row r="101" spans="1:64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</row>
    <row r="102" spans="1:64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</row>
    <row r="103" spans="1:64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</row>
    <row r="104" spans="1:6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</row>
    <row r="105" spans="1:64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</row>
    <row r="106" spans="1:64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</row>
    <row r="107" spans="1:64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</row>
    <row r="108" spans="1:64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</row>
    <row r="109" spans="1:64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</row>
    <row r="110" spans="1:64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</row>
    <row r="111" spans="1:64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</row>
    <row r="112" spans="1:64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</row>
    <row r="113" spans="1:64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</row>
    <row r="114" spans="1:6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</row>
    <row r="115" spans="1:64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</row>
    <row r="116" spans="1:64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</row>
    <row r="117" spans="1:64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</row>
    <row r="118" spans="1:64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</row>
    <row r="119" spans="1:64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</row>
    <row r="120" spans="1:64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</row>
    <row r="121" spans="1:64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</row>
    <row r="122" spans="1:64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</row>
    <row r="123" spans="1:64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</row>
    <row r="124" spans="1:6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</row>
    <row r="125" spans="1:64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</row>
    <row r="126" spans="1:64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</row>
    <row r="127" spans="1:64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</row>
    <row r="128" spans="1:64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</row>
    <row r="129" spans="1:64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</row>
    <row r="130" spans="1:64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</row>
    <row r="131" spans="1:64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</row>
    <row r="132" spans="1:64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</row>
    <row r="133" spans="1:64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</row>
    <row r="134" spans="1:6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</row>
    <row r="135" spans="1:64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</row>
    <row r="136" spans="1:64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</row>
    <row r="137" spans="1:64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</row>
    <row r="138" spans="1:64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</row>
    <row r="139" spans="1:64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</row>
    <row r="140" spans="1:64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</row>
    <row r="141" spans="1:64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</row>
    <row r="142" spans="1:64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</row>
    <row r="143" spans="1:64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</row>
    <row r="144" spans="1:6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</row>
    <row r="145" spans="1:64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</row>
    <row r="146" spans="1:64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</row>
    <row r="147" spans="1:64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</row>
    <row r="148" spans="1:64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</row>
    <row r="149" spans="1:64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</row>
    <row r="150" spans="1:64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</row>
    <row r="151" spans="1:64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</row>
    <row r="152" spans="1:64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</row>
    <row r="153" spans="1:64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</row>
    <row r="154" spans="1:6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</row>
    <row r="155" spans="1:64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</row>
    <row r="156" spans="1:64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</row>
    <row r="157" spans="1:64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</row>
    <row r="158" spans="1:64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</row>
    <row r="159" spans="1:64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</row>
    <row r="160" spans="1:64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</row>
    <row r="161" spans="1:64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</row>
    <row r="162" spans="1:64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</row>
    <row r="163" spans="1:64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</row>
    <row r="164" spans="1: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</row>
    <row r="165" spans="1:64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</row>
    <row r="166" spans="1:64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</row>
    <row r="167" spans="1:64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</row>
    <row r="168" spans="1:64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</row>
    <row r="169" spans="1:64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</row>
    <row r="170" spans="1:64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</row>
    <row r="171" spans="1:64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</row>
    <row r="172" spans="1:64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</row>
    <row r="173" spans="1:64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</row>
    <row r="174" spans="1:6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</row>
    <row r="175" spans="1:64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</row>
    <row r="176" spans="1:64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</row>
    <row r="177" spans="1:64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</row>
    <row r="178" spans="1:64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</row>
    <row r="179" spans="1:64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</row>
    <row r="180" spans="1:64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</row>
    <row r="181" spans="1:64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</row>
    <row r="182" spans="1:64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</row>
    <row r="183" spans="1:64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</row>
    <row r="184" spans="1:6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</row>
    <row r="185" spans="1:64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</row>
    <row r="186" spans="1:64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</row>
    <row r="187" spans="1:64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</row>
    <row r="188" spans="1:64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</row>
    <row r="189" spans="1:64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</row>
    <row r="190" spans="1:64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</row>
    <row r="191" spans="1:64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</row>
    <row r="192" spans="1:64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</row>
    <row r="193" spans="1:64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</row>
    <row r="194" spans="1:6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</row>
    <row r="195" spans="1:64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</row>
    <row r="196" spans="1:64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</row>
    <row r="197" spans="1:64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</row>
    <row r="198" spans="1:64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</row>
    <row r="199" spans="1:64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</row>
    <row r="200" spans="1:64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</row>
    <row r="201" spans="1:64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</row>
    <row r="202" spans="1:64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</row>
    <row r="203" spans="1:64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</row>
    <row r="204" spans="1:6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</row>
    <row r="205" spans="1:64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</row>
    <row r="206" spans="1:64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</row>
    <row r="207" spans="1:64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</row>
    <row r="208" spans="1:64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</row>
    <row r="209" spans="1:64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</row>
    <row r="210" spans="1:64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</row>
    <row r="211" spans="1:64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</row>
    <row r="212" spans="1:64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</row>
    <row r="213" spans="1:64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</row>
    <row r="214" spans="1:6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</row>
    <row r="215" spans="1:64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</row>
    <row r="216" spans="1:64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</row>
    <row r="217" spans="1:64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</row>
    <row r="218" spans="1:64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</row>
    <row r="219" spans="1:64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</row>
    <row r="220" spans="1:64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</row>
    <row r="221" spans="1:64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</row>
    <row r="222" spans="1:64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</row>
    <row r="223" spans="1:64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</row>
    <row r="224" spans="1:6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</row>
    <row r="225" spans="1:64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</row>
    <row r="226" spans="1:64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</row>
    <row r="227" spans="1:64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</row>
    <row r="228" spans="1:64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</row>
    <row r="229" spans="1:64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</row>
    <row r="230" spans="1:64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</row>
    <row r="231" spans="1:64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</row>
    <row r="232" spans="1:64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</row>
    <row r="233" spans="1:64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</row>
    <row r="234" spans="1:6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</row>
    <row r="235" spans="1:64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</row>
    <row r="236" spans="1:64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</row>
    <row r="237" spans="1:64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</row>
    <row r="238" spans="1:64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</row>
    <row r="239" spans="1:64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</row>
    <row r="240" spans="1:64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</row>
    <row r="241" spans="1:64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</row>
    <row r="242" spans="1:64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</row>
    <row r="243" spans="1:64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</row>
    <row r="244" spans="1:6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</row>
    <row r="245" spans="1:64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</row>
    <row r="246" spans="1:64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</row>
    <row r="247" spans="1:64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</row>
    <row r="248" spans="1:64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</row>
    <row r="249" spans="1:64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</row>
    <row r="250" spans="1:64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</row>
    <row r="251" spans="1:64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</row>
    <row r="252" spans="1:64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</row>
    <row r="253" spans="1:64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</row>
    <row r="254" spans="1:6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</row>
    <row r="255" spans="1:64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</row>
    <row r="256" spans="1:64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</row>
    <row r="257" spans="1:64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</row>
    <row r="258" spans="1:64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</row>
    <row r="259" spans="1:64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</row>
    <row r="260" spans="1:64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</row>
    <row r="261" spans="1:64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</row>
    <row r="262" spans="1:64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</row>
    <row r="263" spans="1:64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</row>
    <row r="264" spans="1: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</row>
    <row r="265" spans="1:64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</row>
    <row r="266" spans="1:64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</row>
    <row r="267" spans="1:64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</row>
    <row r="268" spans="1:64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</row>
    <row r="269" spans="1:64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</row>
    <row r="270" spans="1:64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</row>
    <row r="271" spans="1:64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</row>
    <row r="272" spans="1:64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</row>
    <row r="273" spans="1:64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</row>
    <row r="274" spans="1:6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</row>
    <row r="275" spans="1:64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</row>
    <row r="276" spans="1:64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</row>
    <row r="277" spans="1:64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</row>
    <row r="278" spans="1:64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</row>
    <row r="279" spans="1:64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</row>
    <row r="280" spans="1:64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</row>
    <row r="281" spans="1:64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</row>
    <row r="282" spans="1:64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</row>
    <row r="283" spans="1:64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</row>
    <row r="284" spans="1:6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</row>
    <row r="285" spans="1:64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</row>
    <row r="286" spans="1:64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</row>
    <row r="287" spans="1:64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</row>
    <row r="288" spans="1:64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</row>
    <row r="289" spans="1:64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</row>
    <row r="290" spans="1:64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</row>
    <row r="291" spans="1:64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</row>
    <row r="292" spans="1:64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</row>
    <row r="293" spans="1:64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</row>
    <row r="294" spans="1:6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</row>
    <row r="295" spans="1:64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</row>
    <row r="296" spans="1:64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</row>
    <row r="297" spans="1:64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</row>
    <row r="298" spans="1:64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</row>
    <row r="299" spans="1:64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</row>
    <row r="300" spans="1:64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</row>
    <row r="301" spans="1:64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</row>
    <row r="302" spans="1:64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</row>
    <row r="303" spans="1:64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</row>
    <row r="304" spans="1:6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</row>
    <row r="305" spans="1:64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</row>
    <row r="306" spans="1:64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</row>
    <row r="307" spans="1:64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</row>
    <row r="308" spans="1:64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</row>
    <row r="309" spans="1:64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</row>
    <row r="310" spans="1:64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</row>
    <row r="311" spans="1:64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</row>
    <row r="312" spans="1:64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</row>
    <row r="313" spans="1:64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</row>
    <row r="314" spans="1:6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</row>
    <row r="315" spans="1:64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</row>
    <row r="316" spans="1:64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</row>
    <row r="317" spans="1:64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</row>
    <row r="318" spans="1:64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</row>
    <row r="319" spans="1:64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</row>
    <row r="320" spans="1:64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</row>
    <row r="321" spans="1:64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</row>
    <row r="322" spans="1:64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</row>
    <row r="323" spans="1:64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</row>
    <row r="324" spans="1:6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</row>
    <row r="325" spans="1:64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</row>
    <row r="326" spans="1:64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</row>
    <row r="327" spans="1:64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</row>
    <row r="328" spans="1:64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</row>
    <row r="329" spans="1:64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</row>
    <row r="330" spans="1:64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</row>
    <row r="331" spans="1:64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</row>
    <row r="332" spans="1:64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</row>
    <row r="333" spans="1:64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</row>
    <row r="334" spans="1:6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</row>
    <row r="335" spans="1:64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</row>
    <row r="336" spans="1:64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</row>
    <row r="337" spans="1:64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</row>
    <row r="338" spans="1:64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</row>
    <row r="339" spans="1:64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</row>
    <row r="340" spans="1:64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</row>
    <row r="341" spans="1:64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</row>
    <row r="342" spans="1:64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</row>
    <row r="343" spans="1:64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</row>
    <row r="344" spans="1:6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</row>
    <row r="345" spans="1:64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</row>
    <row r="346" spans="1:64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</row>
    <row r="347" spans="1:64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</row>
    <row r="348" spans="1:64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</row>
    <row r="349" spans="1:64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</row>
    <row r="350" spans="1:64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</row>
    <row r="351" spans="1:64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</row>
    <row r="352" spans="1:64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</row>
    <row r="353" spans="1:64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</row>
    <row r="354" spans="1:6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</row>
    <row r="355" spans="1:64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</row>
    <row r="356" spans="1:64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</row>
    <row r="357" spans="1:64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</row>
    <row r="358" spans="1:64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</row>
    <row r="359" spans="1:64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</row>
    <row r="360" spans="1:64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</row>
    <row r="361" spans="1:64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</row>
    <row r="362" spans="1:64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</row>
    <row r="363" spans="1:64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</row>
    <row r="364" spans="1: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</row>
    <row r="365" spans="1:64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</row>
    <row r="366" spans="1:64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</row>
    <row r="367" spans="1:64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</row>
    <row r="368" spans="1:64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</row>
    <row r="369" spans="1:64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</row>
    <row r="370" spans="1:64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</row>
    <row r="371" spans="1:64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</row>
    <row r="372" spans="1:64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</row>
    <row r="373" spans="1:64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</row>
    <row r="374" spans="1:6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</row>
    <row r="375" spans="1:64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</row>
    <row r="376" spans="1:64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</row>
    <row r="377" spans="1:64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</row>
    <row r="378" spans="1:64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</row>
    <row r="379" spans="1:64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</row>
    <row r="380" spans="1:64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</row>
    <row r="381" spans="1:64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</row>
    <row r="382" spans="1:64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</row>
    <row r="383" spans="1:64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</row>
    <row r="384" spans="1:6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</row>
    <row r="385" spans="1:64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</row>
    <row r="386" spans="1:64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</row>
    <row r="387" spans="1:64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</row>
    <row r="388" spans="1:64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</row>
    <row r="389" spans="1:64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</row>
    <row r="390" spans="1:64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</row>
    <row r="391" spans="1:64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</row>
    <row r="392" spans="1:64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</row>
    <row r="393" spans="1:64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</row>
    <row r="394" spans="1:6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</row>
    <row r="395" spans="1:64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</row>
    <row r="396" spans="1:64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</row>
    <row r="397" spans="1:64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</row>
    <row r="398" spans="1:64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</row>
    <row r="399" spans="1:64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</row>
    <row r="400" spans="1:64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</row>
    <row r="401" spans="1:64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</row>
    <row r="402" spans="1:64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</row>
    <row r="403" spans="1:64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</row>
    <row r="404" spans="1:6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</row>
    <row r="405" spans="1:64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</row>
    <row r="406" spans="1:64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</row>
    <row r="407" spans="1:64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</row>
    <row r="408" spans="1:64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</row>
    <row r="409" spans="1:64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</row>
    <row r="410" spans="1:64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</row>
    <row r="411" spans="1:64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</row>
    <row r="412" spans="1:64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</row>
    <row r="413" spans="1:64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</row>
    <row r="414" spans="1:6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</row>
    <row r="415" spans="1:64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</row>
    <row r="416" spans="1:64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</row>
    <row r="417" spans="1:64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</row>
    <row r="418" spans="1:64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</row>
    <row r="419" spans="1:64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</row>
    <row r="420" spans="1:64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</row>
    <row r="421" spans="1:64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</row>
    <row r="422" spans="1:64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</row>
    <row r="423" spans="1:64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</row>
    <row r="424" spans="1:6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</row>
    <row r="425" spans="1:64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</row>
    <row r="426" spans="1:64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</row>
    <row r="427" spans="1:64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</row>
    <row r="428" spans="1:64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</row>
    <row r="429" spans="1:64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</row>
    <row r="430" spans="1:64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</row>
    <row r="431" spans="1:64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</row>
    <row r="432" spans="1:64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</row>
    <row r="433" spans="1:64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</row>
    <row r="434" spans="1:6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</row>
    <row r="435" spans="1:64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</row>
    <row r="436" spans="1:64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</row>
    <row r="437" spans="1:64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</row>
    <row r="438" spans="1:64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</row>
    <row r="439" spans="1:64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</row>
    <row r="440" spans="1:64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</row>
    <row r="441" spans="1:64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</row>
    <row r="442" spans="1:64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</row>
    <row r="443" spans="1:64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</row>
    <row r="444" spans="1:6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</row>
    <row r="445" spans="1:64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</row>
    <row r="446" spans="1:64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</row>
    <row r="447" spans="1:64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</row>
    <row r="448" spans="1:64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</row>
    <row r="449" spans="1:64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</row>
    <row r="450" spans="1:64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</row>
    <row r="451" spans="1:64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</row>
    <row r="452" spans="1:64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</row>
    <row r="453" spans="1:64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</row>
    <row r="454" spans="1:6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</row>
    <row r="455" spans="1:64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</row>
    <row r="456" spans="1:64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</row>
    <row r="457" spans="1:64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</row>
    <row r="458" spans="1:64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</row>
    <row r="459" spans="1:64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</row>
    <row r="460" spans="1:64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</row>
    <row r="461" spans="1:64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</row>
    <row r="462" spans="1:64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</row>
    <row r="463" spans="1:64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</row>
    <row r="464" spans="1: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</row>
    <row r="465" spans="1:64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</row>
    <row r="466" spans="1:64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</row>
    <row r="467" spans="1:64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</row>
    <row r="468" spans="1:64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</row>
    <row r="469" spans="1:64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</row>
    <row r="470" spans="1:64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</row>
    <row r="471" spans="1:64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</row>
    <row r="472" spans="1:64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</row>
    <row r="473" spans="1:64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</row>
    <row r="474" spans="1:6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</row>
    <row r="475" spans="1:64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</row>
    <row r="476" spans="1:64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</row>
    <row r="477" spans="1:64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</row>
    <row r="478" spans="1:64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</row>
    <row r="479" spans="1:64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</row>
    <row r="480" spans="1:64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</row>
    <row r="481" spans="1:64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</row>
    <row r="482" spans="1:64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</row>
    <row r="483" spans="1:64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</row>
    <row r="484" spans="1:6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</row>
    <row r="485" spans="1:64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</row>
    <row r="486" spans="1:64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</row>
    <row r="487" spans="1:64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</row>
    <row r="488" spans="1:64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</row>
    <row r="489" spans="1:64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</row>
    <row r="490" spans="1:64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</row>
    <row r="491" spans="1:64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</row>
    <row r="492" spans="1:64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</row>
    <row r="493" spans="1:64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</row>
    <row r="494" spans="1:6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</row>
    <row r="495" spans="1:64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</row>
    <row r="496" spans="1:64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</row>
    <row r="497" spans="1:64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</row>
    <row r="498" spans="1:64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</row>
    <row r="499" spans="1:64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</row>
    <row r="500" spans="1:64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</row>
    <row r="501" spans="1:64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</row>
    <row r="502" spans="1:64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</row>
    <row r="503" spans="1:64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</row>
    <row r="504" spans="1:6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</row>
    <row r="505" spans="1:64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</row>
    <row r="506" spans="1:64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</row>
    <row r="507" spans="1:64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</row>
    <row r="508" spans="1:64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</row>
    <row r="509" spans="1:64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</row>
    <row r="510" spans="1:64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</row>
    <row r="511" spans="1:64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</row>
    <row r="512" spans="1:64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</row>
    <row r="513" spans="1:64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</row>
    <row r="514" spans="1:6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</row>
    <row r="515" spans="1:64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</row>
    <row r="516" spans="1:64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</row>
    <row r="517" spans="1:64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</row>
    <row r="518" spans="1:64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</row>
    <row r="519" spans="1:64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</row>
    <row r="520" spans="1:64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</row>
    <row r="521" spans="1:64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</row>
    <row r="522" spans="1:64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</row>
    <row r="523" spans="1:64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</row>
    <row r="524" spans="1:6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</row>
    <row r="525" spans="1:64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</row>
    <row r="526" spans="1:64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</row>
    <row r="527" spans="1:64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</row>
    <row r="528" spans="1:64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</row>
    <row r="529" spans="1:64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</row>
    <row r="530" spans="1:64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</row>
    <row r="531" spans="1:64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</row>
    <row r="532" spans="1:64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</row>
    <row r="533" spans="1:64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</row>
    <row r="534" spans="1:6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</row>
    <row r="535" spans="1:64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</row>
    <row r="536" spans="1:64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</row>
    <row r="537" spans="1:64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</row>
    <row r="538" spans="1:64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</row>
    <row r="539" spans="1:64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</row>
    <row r="540" spans="1:64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</row>
    <row r="541" spans="1:64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</row>
    <row r="542" spans="1:64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</row>
    <row r="543" spans="1:64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</row>
    <row r="544" spans="1:6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</row>
    <row r="545" spans="1:64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</row>
    <row r="546" spans="1:64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</row>
    <row r="547" spans="1:64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</row>
    <row r="548" spans="1:64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</row>
    <row r="549" spans="1:64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</row>
    <row r="550" spans="1:64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</row>
    <row r="551" spans="1:64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</row>
    <row r="552" spans="1:64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</row>
    <row r="553" spans="1:64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</row>
    <row r="554" spans="1:6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</row>
    <row r="555" spans="1:64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</row>
    <row r="556" spans="1:64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</row>
    <row r="557" spans="1:64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</row>
    <row r="558" spans="1:64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</row>
    <row r="559" spans="1:64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</row>
    <row r="560" spans="1:64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</row>
    <row r="561" spans="1:64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</row>
    <row r="562" spans="1:64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</row>
    <row r="563" spans="1:64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</row>
    <row r="564" spans="1: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</row>
    <row r="565" spans="1:64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</row>
    <row r="566" spans="1:64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</row>
    <row r="567" spans="1:64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</row>
    <row r="568" spans="1:64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</row>
    <row r="569" spans="1:64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</row>
    <row r="570" spans="1:64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</row>
    <row r="571" spans="1:64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</row>
    <row r="572" spans="1:64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</row>
    <row r="573" spans="1:64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</row>
    <row r="574" spans="1:6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</row>
    <row r="575" spans="1:64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</row>
    <row r="576" spans="1:64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</row>
    <row r="577" spans="1:64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</row>
    <row r="578" spans="1:64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</row>
    <row r="579" spans="1:64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</row>
    <row r="580" spans="1:64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</row>
    <row r="581" spans="1:64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</row>
    <row r="582" spans="1:64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</row>
    <row r="583" spans="1:64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</row>
    <row r="584" spans="1:6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</row>
    <row r="585" spans="1:64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</row>
    <row r="586" spans="1:64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</row>
    <row r="587" spans="1:64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</row>
    <row r="588" spans="1:64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</row>
    <row r="589" spans="1:64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</row>
    <row r="590" spans="1:64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</row>
    <row r="591" spans="1:64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</row>
    <row r="592" spans="1:64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</row>
    <row r="593" spans="1:64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</row>
    <row r="594" spans="1:6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</row>
    <row r="595" spans="1:64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</row>
    <row r="596" spans="1:64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</row>
    <row r="597" spans="1:64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</row>
    <row r="598" spans="1:64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</row>
    <row r="599" spans="1:64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</row>
    <row r="600" spans="1:64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</row>
    <row r="601" spans="1:64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</row>
    <row r="602" spans="1:64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</row>
    <row r="603" spans="1:64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</row>
    <row r="604" spans="1:6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</row>
    <row r="605" spans="1:64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</row>
    <row r="606" spans="1:64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</row>
    <row r="607" spans="1:64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</row>
    <row r="608" spans="1:64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</row>
    <row r="609" spans="1:64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</row>
    <row r="610" spans="1:64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</row>
    <row r="611" spans="1:64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</row>
    <row r="612" spans="1:64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</row>
    <row r="613" spans="1:64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</row>
    <row r="614" spans="1:6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</row>
    <row r="615" spans="1:64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</row>
    <row r="616" spans="1:64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</row>
    <row r="617" spans="1:64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</row>
    <row r="618" spans="1:64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</row>
    <row r="619" spans="1:64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</row>
    <row r="620" spans="1:64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</row>
    <row r="621" spans="1:64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</row>
    <row r="622" spans="1:64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</row>
    <row r="623" spans="1:64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</row>
    <row r="624" spans="1:6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</row>
    <row r="625" spans="1:64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</row>
    <row r="626" spans="1:64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</row>
    <row r="627" spans="1:64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</row>
    <row r="628" spans="1:64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</row>
    <row r="629" spans="1:64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</row>
    <row r="630" spans="1:64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</row>
    <row r="631" spans="1:64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</row>
    <row r="632" spans="1:64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</row>
    <row r="633" spans="1:64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</row>
    <row r="634" spans="1:6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</row>
    <row r="635" spans="1:64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</row>
    <row r="636" spans="1:64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</row>
    <row r="637" spans="1:64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</row>
    <row r="638" spans="1:64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</row>
    <row r="639" spans="1:64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</row>
    <row r="640" spans="1:64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</row>
    <row r="641" spans="1:64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</row>
    <row r="642" spans="1:64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</row>
    <row r="643" spans="1:64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</row>
    <row r="644" spans="1:6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</row>
    <row r="645" spans="1:64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</row>
    <row r="646" spans="1:64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</row>
    <row r="647" spans="1:64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</row>
    <row r="648" spans="1:64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</row>
    <row r="649" spans="1:64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</row>
    <row r="650" spans="1:64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</row>
    <row r="651" spans="1:64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</row>
    <row r="652" spans="1:64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</row>
    <row r="653" spans="1:64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</row>
    <row r="654" spans="1:6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</row>
    <row r="655" spans="1:64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</row>
    <row r="656" spans="1:64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</row>
    <row r="657" spans="1:64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</row>
    <row r="658" spans="1:64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</row>
    <row r="659" spans="1:64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</row>
    <row r="660" spans="1:64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</row>
    <row r="661" spans="1:64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</row>
    <row r="662" spans="1:64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</row>
    <row r="663" spans="1:64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</row>
    <row r="664" spans="1: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</row>
    <row r="665" spans="1:64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</row>
    <row r="666" spans="1:64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</row>
    <row r="667" spans="1:64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</row>
    <row r="668" spans="1:64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</row>
    <row r="669" spans="1:64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</row>
    <row r="670" spans="1:64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</row>
    <row r="671" spans="1:64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</row>
    <row r="672" spans="1:64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</row>
    <row r="673" spans="1:64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</row>
    <row r="674" spans="1:6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</row>
    <row r="675" spans="1:64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</row>
    <row r="676" spans="1:64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</row>
    <row r="677" spans="1:64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</row>
    <row r="678" spans="1:64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</row>
    <row r="679" spans="1:64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</row>
    <row r="680" spans="1:64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</row>
    <row r="681" spans="1:64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</row>
    <row r="682" spans="1:64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</row>
    <row r="683" spans="1:64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</row>
    <row r="684" spans="1:6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</row>
    <row r="685" spans="1:64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</row>
    <row r="686" spans="1:64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</row>
    <row r="687" spans="1:64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</row>
    <row r="688" spans="1:64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</row>
    <row r="689" spans="1:64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</row>
    <row r="690" spans="1:64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</row>
    <row r="691" spans="1:64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</row>
    <row r="692" spans="1:64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</row>
    <row r="693" spans="1:64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</row>
    <row r="694" spans="1:6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</row>
    <row r="695" spans="1:64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</row>
    <row r="696" spans="1:64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</row>
    <row r="697" spans="1:64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</row>
    <row r="698" spans="1:64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</row>
    <row r="699" spans="1:64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</row>
    <row r="700" spans="1:64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</row>
    <row r="701" spans="1:64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</row>
    <row r="702" spans="1:64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</row>
    <row r="703" spans="1:64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</row>
    <row r="704" spans="1:6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</row>
    <row r="705" spans="1:64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</row>
    <row r="706" spans="1:64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</row>
    <row r="707" spans="1:64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</row>
    <row r="708" spans="1:64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</row>
    <row r="709" spans="1:64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</row>
    <row r="710" spans="1:64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</row>
    <row r="711" spans="1:64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</row>
    <row r="712" spans="1:64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</row>
    <row r="713" spans="1:64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</row>
    <row r="714" spans="1:6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</row>
    <row r="715" spans="1:64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</row>
    <row r="716" spans="1:64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</row>
    <row r="717" spans="1:64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</row>
    <row r="718" spans="1:64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</row>
    <row r="719" spans="1:64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</row>
    <row r="720" spans="1:64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</row>
    <row r="721" spans="1:64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</row>
    <row r="722" spans="1:64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</row>
    <row r="723" spans="1:64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</row>
    <row r="724" spans="1:6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</row>
    <row r="725" spans="1:64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</row>
    <row r="726" spans="1:64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</row>
    <row r="727" spans="1:64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</row>
    <row r="728" spans="1:64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</row>
    <row r="729" spans="1:64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</row>
    <row r="730" spans="1:64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</row>
    <row r="731" spans="1:64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</row>
    <row r="732" spans="1:64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</row>
    <row r="733" spans="1:64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</row>
    <row r="734" spans="1:6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</row>
    <row r="735" spans="1:64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</row>
    <row r="736" spans="1:64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</row>
    <row r="737" spans="1:64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</row>
    <row r="738" spans="1:64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</row>
    <row r="739" spans="1:64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</row>
    <row r="740" spans="1:64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</row>
    <row r="741" spans="1:64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</row>
    <row r="742" spans="1:64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</row>
    <row r="743" spans="1:64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</row>
    <row r="744" spans="1:6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</row>
    <row r="745" spans="1:64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</row>
    <row r="746" spans="1:64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</row>
    <row r="747" spans="1:64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</row>
    <row r="748" spans="1:64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</row>
    <row r="749" spans="1:64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</row>
    <row r="750" spans="1:64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</row>
    <row r="751" spans="1:64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</row>
    <row r="752" spans="1:64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</row>
    <row r="753" spans="1:64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</row>
    <row r="754" spans="1:6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</row>
    <row r="755" spans="1:64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</row>
    <row r="756" spans="1:64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</row>
    <row r="757" spans="1:64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</row>
    <row r="758" spans="1:64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</row>
    <row r="759" spans="1:64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</row>
    <row r="760" spans="1:64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</row>
    <row r="761" spans="1:64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</row>
    <row r="762" spans="1:64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</row>
    <row r="763" spans="1:64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</row>
    <row r="764" spans="1: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</row>
    <row r="765" spans="1:64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</row>
    <row r="766" spans="1:64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</row>
    <row r="767" spans="1:64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</row>
    <row r="768" spans="1:64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</row>
    <row r="769" spans="1:64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</row>
    <row r="770" spans="1:64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</row>
    <row r="771" spans="1:64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</row>
    <row r="772" spans="1:64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</row>
    <row r="773" spans="1:64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</row>
    <row r="774" spans="1:6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</row>
    <row r="775" spans="1:64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</row>
    <row r="776" spans="1:64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</row>
    <row r="777" spans="1:64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</row>
    <row r="778" spans="1:64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</row>
    <row r="779" spans="1:64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</row>
    <row r="780" spans="1:64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</row>
    <row r="781" spans="1:64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</row>
    <row r="782" spans="1:64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</row>
    <row r="783" spans="1:64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</row>
    <row r="784" spans="1:6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</row>
    <row r="785" spans="1:64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</row>
    <row r="786" spans="1:64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</row>
    <row r="787" spans="1:64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</row>
    <row r="788" spans="1:64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</row>
    <row r="789" spans="1:64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</row>
    <row r="790" spans="1:64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</row>
    <row r="791" spans="1:64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</row>
    <row r="792" spans="1:64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</row>
    <row r="793" spans="1:64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</row>
    <row r="794" spans="1:6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</row>
    <row r="795" spans="1:64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</row>
    <row r="796" spans="1:64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</row>
    <row r="797" spans="1:64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</row>
    <row r="798" spans="1:64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</row>
    <row r="799" spans="1:64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</row>
    <row r="800" spans="1:64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</row>
    <row r="801" spans="1:64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</row>
    <row r="802" spans="1:64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</row>
    <row r="803" spans="1:64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</row>
    <row r="804" spans="1:6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</row>
    <row r="805" spans="1:64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</row>
    <row r="806" spans="1:64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</row>
    <row r="807" spans="1:64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</row>
    <row r="808" spans="1:64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</row>
    <row r="809" spans="1:64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</row>
    <row r="810" spans="1:64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</row>
    <row r="811" spans="1:64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</row>
    <row r="812" spans="1:64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</row>
    <row r="813" spans="1:64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</row>
    <row r="814" spans="1:6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</row>
    <row r="815" spans="1:64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</row>
    <row r="816" spans="1:64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</row>
    <row r="817" spans="1:64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</row>
    <row r="818" spans="1:64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</row>
    <row r="819" spans="1:64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</row>
    <row r="820" spans="1:64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</row>
    <row r="821" spans="1:64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</row>
    <row r="822" spans="1:64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</row>
    <row r="823" spans="1:64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</row>
    <row r="824" spans="1:6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</row>
    <row r="825" spans="1:64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</row>
    <row r="826" spans="1:64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</row>
    <row r="827" spans="1:64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</row>
    <row r="828" spans="1:64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</row>
    <row r="829" spans="1:64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</row>
    <row r="830" spans="1:64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</row>
    <row r="831" spans="1:64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</row>
    <row r="832" spans="1:64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</row>
    <row r="833" spans="1:64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</row>
    <row r="834" spans="1:6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</row>
    <row r="835" spans="1:64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</row>
    <row r="836" spans="1:64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</row>
    <row r="837" spans="1:64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</row>
    <row r="838" spans="1:64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</row>
    <row r="839" spans="1:64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</row>
    <row r="840" spans="1:64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</row>
    <row r="841" spans="1:64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</row>
    <row r="842" spans="1:64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</row>
    <row r="843" spans="1:64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</row>
    <row r="844" spans="1:6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</row>
    <row r="845" spans="1:64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</row>
    <row r="846" spans="1:64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</row>
    <row r="847" spans="1:64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</row>
    <row r="848" spans="1:64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</row>
    <row r="849" spans="1:64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</row>
    <row r="850" spans="1:64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</row>
    <row r="851" spans="1:64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</row>
    <row r="852" spans="1:64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</row>
    <row r="853" spans="1:64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</row>
    <row r="854" spans="1:6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</row>
    <row r="855" spans="1:64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</row>
    <row r="856" spans="1:64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</row>
    <row r="857" spans="1:64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</row>
    <row r="858" spans="1:64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</row>
    <row r="859" spans="1:64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</row>
    <row r="860" spans="1:64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</row>
    <row r="861" spans="1:64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</row>
    <row r="862" spans="1:64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</row>
    <row r="863" spans="1:64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</row>
    <row r="864" spans="1: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</row>
    <row r="865" spans="1:64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</row>
    <row r="866" spans="1:64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</row>
    <row r="867" spans="1:64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</row>
    <row r="868" spans="1:64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</row>
    <row r="869" spans="1:64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</row>
    <row r="870" spans="1:64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</row>
    <row r="871" spans="1:64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</row>
    <row r="872" spans="1:64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</row>
    <row r="873" spans="1:64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</row>
    <row r="874" spans="1:6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</row>
    <row r="875" spans="1:64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</row>
    <row r="876" spans="1:64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</row>
    <row r="877" spans="1:64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</row>
    <row r="878" spans="1:64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</row>
    <row r="879" spans="1:64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</row>
    <row r="880" spans="1:64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</row>
    <row r="881" spans="1:64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</row>
    <row r="882" spans="1:64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</row>
    <row r="883" spans="1:64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</row>
    <row r="884" spans="1:6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</row>
    <row r="885" spans="1:64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</row>
    <row r="886" spans="1:64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</row>
    <row r="887" spans="1:64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</row>
    <row r="888" spans="1:64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</row>
    <row r="889" spans="1:64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</row>
    <row r="890" spans="1:64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</row>
    <row r="891" spans="1:64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</row>
    <row r="892" spans="1:64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</row>
    <row r="893" spans="1:64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</row>
    <row r="894" spans="1:6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</row>
    <row r="895" spans="1:64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</row>
    <row r="896" spans="1:64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</row>
    <row r="897" spans="1:64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</row>
    <row r="898" spans="1:64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</row>
    <row r="899" spans="1:64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</row>
    <row r="900" spans="1:64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</row>
    <row r="901" spans="1:64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</row>
    <row r="902" spans="1:64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</row>
    <row r="903" spans="1:64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</row>
    <row r="904" spans="1:6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</row>
    <row r="905" spans="1:64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</row>
    <row r="906" spans="1:64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</row>
    <row r="907" spans="1:64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</row>
    <row r="908" spans="1:64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</row>
    <row r="909" spans="1:64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</row>
    <row r="910" spans="1:64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</row>
    <row r="911" spans="1:64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</row>
    <row r="912" spans="1:64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</row>
    <row r="913" spans="1:64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</row>
    <row r="914" spans="1:6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</row>
    <row r="915" spans="1:64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</row>
    <row r="916" spans="1:64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</row>
    <row r="917" spans="1:64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</row>
    <row r="918" spans="1:64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</row>
    <row r="919" spans="1:64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</row>
    <row r="920" spans="1:64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</row>
    <row r="921" spans="1:64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</row>
    <row r="922" spans="1:64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</row>
    <row r="923" spans="1:64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</row>
    <row r="924" spans="1:6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</row>
    <row r="925" spans="1:64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</row>
    <row r="926" spans="1:64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</row>
    <row r="927" spans="1:64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</row>
    <row r="928" spans="1:64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</row>
    <row r="929" spans="1:64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</row>
    <row r="930" spans="1:64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</row>
    <row r="931" spans="1:64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</row>
    <row r="932" spans="1:64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</row>
    <row r="933" spans="1:64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</row>
    <row r="934" spans="1:6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</row>
    <row r="935" spans="1:64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</row>
    <row r="936" spans="1:64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</row>
    <row r="937" spans="1:64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</row>
    <row r="938" spans="1:64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</row>
    <row r="939" spans="1:64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</row>
    <row r="940" spans="1:64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</row>
    <row r="941" spans="1:64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</row>
    <row r="942" spans="1:64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</row>
    <row r="943" spans="1:64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</row>
    <row r="944" spans="1:6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</row>
    <row r="945" spans="1:64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</row>
    <row r="946" spans="1:64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</row>
    <row r="947" spans="1:64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</row>
    <row r="948" spans="1:64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</row>
    <row r="949" spans="1:64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</row>
    <row r="950" spans="1:64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</row>
    <row r="951" spans="1:64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</row>
    <row r="952" spans="1:64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</row>
    <row r="953" spans="1:64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</row>
    <row r="954" spans="1:6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</row>
    <row r="955" spans="1:64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</row>
    <row r="956" spans="1:64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</row>
    <row r="957" spans="1:64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</row>
    <row r="958" spans="1:64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</row>
    <row r="959" spans="1:64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</row>
    <row r="960" spans="1:64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</row>
    <row r="961" spans="1:64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</row>
    <row r="962" spans="1:64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</row>
    <row r="963" spans="1:64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</row>
    <row r="964" spans="1: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</row>
    <row r="965" spans="1:64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</row>
    <row r="966" spans="1:64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</row>
    <row r="967" spans="1:64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</row>
    <row r="968" spans="1:64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</row>
    <row r="969" spans="1:64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</row>
    <row r="970" spans="1:64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</row>
    <row r="971" spans="1:64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</row>
    <row r="972" spans="1:64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</row>
    <row r="973" spans="1:64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</row>
    <row r="974" spans="1:6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</row>
    <row r="975" spans="1:64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</row>
    <row r="976" spans="1:64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</row>
    <row r="977" spans="1:64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</row>
    <row r="978" spans="1:64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</row>
    <row r="979" spans="1:64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</row>
    <row r="980" spans="1:64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</row>
    <row r="981" spans="1:64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</row>
    <row r="982" spans="1:64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</row>
    <row r="983" spans="1:64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</row>
    <row r="984" spans="1:6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</row>
    <row r="985" spans="1:64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</row>
    <row r="986" spans="1:64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</row>
    <row r="987" spans="1:64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</row>
    <row r="988" spans="1:64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</row>
    <row r="989" spans="1:64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</row>
    <row r="990" spans="1:64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</row>
    <row r="991" spans="1:64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</row>
    <row r="992" spans="1:64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</row>
    <row r="993" spans="1:64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</row>
    <row r="994" spans="1:6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</row>
    <row r="995" spans="1:64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</row>
    <row r="996" spans="1:64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</row>
    <row r="997" spans="1:64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</row>
    <row r="998" spans="1:64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</row>
    <row r="999" spans="1:64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</row>
    <row r="1000" spans="1:64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</row>
  </sheetData>
  <mergeCells count="31">
    <mergeCell ref="F65:J65"/>
    <mergeCell ref="H67:J67"/>
    <mergeCell ref="G8:G9"/>
    <mergeCell ref="H8:H9"/>
    <mergeCell ref="F21:K22"/>
    <mergeCell ref="F53:J53"/>
    <mergeCell ref="F54:I54"/>
    <mergeCell ref="F56:K56"/>
    <mergeCell ref="K57:K58"/>
    <mergeCell ref="F57:G57"/>
    <mergeCell ref="F60:J60"/>
    <mergeCell ref="F62:I62"/>
    <mergeCell ref="F63:I63"/>
    <mergeCell ref="F64:I64"/>
    <mergeCell ref="B1:R2"/>
    <mergeCell ref="B5:R5"/>
    <mergeCell ref="B6:B9"/>
    <mergeCell ref="D6:F7"/>
    <mergeCell ref="G6:H6"/>
    <mergeCell ref="I6:Q7"/>
    <mergeCell ref="G7:H7"/>
    <mergeCell ref="N8:Q8"/>
    <mergeCell ref="AM8:AM9"/>
    <mergeCell ref="AN8:AN9"/>
    <mergeCell ref="AO8:AO9"/>
    <mergeCell ref="AP8:AP9"/>
    <mergeCell ref="C6:C9"/>
    <mergeCell ref="D8:D9"/>
    <mergeCell ref="E8:E9"/>
    <mergeCell ref="F8:F9"/>
    <mergeCell ref="I8:M8"/>
  </mergeCells>
  <conditionalFormatting sqref="G33:K52">
    <cfRule type="containsBlanks" dxfId="4" priority="1">
      <formula>LEN(TRIM(G33))=0</formula>
    </cfRule>
  </conditionalFormatting>
  <conditionalFormatting sqref="F33:F52">
    <cfRule type="containsBlanks" dxfId="3" priority="2">
      <formula>LEN(TRIM(F33))=0</formula>
    </cfRule>
  </conditionalFormatting>
  <dataValidations count="3">
    <dataValidation type="list" allowBlank="1" showErrorMessage="1" sqref="K10:K19" xr:uid="{00000000-0002-0000-0500-000000000000}">
      <formula1>$W$23:$W$27</formula1>
    </dataValidation>
    <dataValidation type="list" allowBlank="1" showErrorMessage="1" sqref="I10:I19 N10:N19" xr:uid="{00000000-0002-0000-0500-000001000000}">
      <formula1>$W$10:$W$16</formula1>
    </dataValidation>
    <dataValidation type="list" allowBlank="1" showErrorMessage="1" sqref="G7" xr:uid="{00000000-0002-0000-0500-000002000000}">
      <formula1>$AK$10:$AK$13</formula1>
    </dataValidation>
  </dataValidations>
  <pageMargins left="0.7" right="0.7" top="0.75" bottom="0.75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I1000"/>
  <sheetViews>
    <sheetView showGridLines="0" topLeftCell="B1" zoomScale="70" zoomScaleNormal="70" workbookViewId="0">
      <pane ySplit="4" topLeftCell="A44" activePane="bottomLeft" state="frozen"/>
      <selection pane="bottomLeft" activeCell="J58" sqref="J58"/>
    </sheetView>
  </sheetViews>
  <sheetFormatPr defaultColWidth="12.625" defaultRowHeight="15" customHeight="1"/>
  <cols>
    <col min="1" max="1" width="9" hidden="1" customWidth="1"/>
    <col min="2" max="2" width="9.625" customWidth="1"/>
    <col min="3" max="3" width="10" customWidth="1"/>
    <col min="4" max="4" width="9" customWidth="1"/>
    <col min="5" max="5" width="7.875" customWidth="1"/>
    <col min="6" max="6" width="10.75" customWidth="1"/>
    <col min="7" max="7" width="18" customWidth="1"/>
    <col min="8" max="8" width="14.375" customWidth="1"/>
    <col min="9" max="9" width="9.5" customWidth="1"/>
    <col min="10" max="10" width="13" customWidth="1"/>
    <col min="11" max="11" width="18.375" customWidth="1"/>
    <col min="12" max="12" width="11" customWidth="1"/>
    <col min="13" max="16" width="10.875" customWidth="1"/>
    <col min="17" max="17" width="11.875" customWidth="1"/>
    <col min="18" max="18" width="11.25" customWidth="1"/>
    <col min="19" max="27" width="10.875" hidden="1" customWidth="1"/>
    <col min="28" max="51" width="9" hidden="1" customWidth="1"/>
    <col min="52" max="52" width="9.75" hidden="1" customWidth="1"/>
    <col min="53" max="53" width="11.375" hidden="1" customWidth="1"/>
    <col min="54" max="54" width="7.625" hidden="1" customWidth="1"/>
    <col min="55" max="55" width="10.625" hidden="1" customWidth="1"/>
    <col min="56" max="61" width="9" hidden="1" customWidth="1"/>
  </cols>
  <sheetData>
    <row r="1" spans="1:61" ht="16.5" customHeight="1">
      <c r="A1" s="3"/>
      <c r="B1" s="171" t="s">
        <v>155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25"/>
      <c r="BF1" s="25"/>
      <c r="BG1" s="25"/>
      <c r="BH1" s="25"/>
      <c r="BI1" s="25"/>
    </row>
    <row r="2" spans="1:61" ht="16.5" customHeight="1">
      <c r="A2" s="3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7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25"/>
      <c r="BF2" s="25"/>
      <c r="BG2" s="25"/>
      <c r="BH2" s="25"/>
      <c r="BI2" s="25"/>
    </row>
    <row r="3" spans="1:61" ht="16.5" customHeight="1">
      <c r="A3" s="3"/>
      <c r="B3" s="178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80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25"/>
      <c r="BF3" s="25"/>
      <c r="BG3" s="25"/>
      <c r="BH3" s="25"/>
      <c r="BI3" s="25"/>
    </row>
    <row r="4" spans="1:61" ht="16.5" customHeight="1">
      <c r="A4" s="4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</row>
    <row r="5" spans="1:61" ht="16.5" customHeight="1">
      <c r="A5" s="4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</row>
    <row r="6" spans="1:61" ht="16.5" customHeight="1">
      <c r="A6" s="3"/>
      <c r="B6" s="182" t="s">
        <v>156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4"/>
      <c r="S6" s="5"/>
      <c r="T6" s="5"/>
      <c r="U6" s="5"/>
      <c r="V6" s="5"/>
      <c r="W6" s="5"/>
      <c r="X6" s="5"/>
      <c r="Y6" s="5"/>
      <c r="Z6" s="5"/>
      <c r="AA6" s="5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</row>
    <row r="7" spans="1:61" ht="16.5" customHeight="1">
      <c r="A7" s="3"/>
      <c r="B7" s="185" t="s">
        <v>5</v>
      </c>
      <c r="C7" s="186" t="s">
        <v>10</v>
      </c>
      <c r="D7" s="187" t="s">
        <v>11</v>
      </c>
      <c r="E7" s="188"/>
      <c r="F7" s="189"/>
      <c r="G7" s="190" t="s">
        <v>12</v>
      </c>
      <c r="H7" s="191"/>
      <c r="I7" s="192" t="s">
        <v>249</v>
      </c>
      <c r="J7" s="188"/>
      <c r="K7" s="188"/>
      <c r="L7" s="188"/>
      <c r="M7" s="188"/>
      <c r="N7" s="188"/>
      <c r="O7" s="188"/>
      <c r="P7" s="188"/>
      <c r="Q7" s="188"/>
      <c r="R7" s="191"/>
      <c r="S7" s="6"/>
      <c r="T7" s="6"/>
      <c r="U7" s="6"/>
      <c r="V7" s="6"/>
      <c r="W7" s="6"/>
      <c r="X7" s="6"/>
      <c r="Y7" s="6"/>
      <c r="Z7" s="6"/>
      <c r="AA7" s="6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25"/>
      <c r="BF7" s="25"/>
      <c r="BG7" s="25"/>
      <c r="BH7" s="25"/>
      <c r="BI7" s="25"/>
    </row>
    <row r="8" spans="1:61" ht="16.5" customHeight="1">
      <c r="A8" s="3"/>
      <c r="B8" s="193"/>
      <c r="C8" s="194"/>
      <c r="D8" s="195"/>
      <c r="E8" s="196"/>
      <c r="F8" s="197"/>
      <c r="G8" s="198" t="s">
        <v>13</v>
      </c>
      <c r="H8" s="199"/>
      <c r="I8" s="200"/>
      <c r="J8" s="201"/>
      <c r="K8" s="201"/>
      <c r="L8" s="201"/>
      <c r="M8" s="201"/>
      <c r="N8" s="201"/>
      <c r="O8" s="201"/>
      <c r="P8" s="201"/>
      <c r="Q8" s="201"/>
      <c r="R8" s="202"/>
      <c r="S8" s="6"/>
      <c r="T8" s="6"/>
      <c r="U8" s="6"/>
      <c r="V8" s="6"/>
      <c r="W8" s="6"/>
      <c r="X8" s="6"/>
      <c r="Y8" s="6"/>
      <c r="Z8" s="6"/>
      <c r="AA8" s="6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25"/>
      <c r="BF8" s="25"/>
      <c r="BG8" s="25"/>
      <c r="BH8" s="25"/>
      <c r="BI8" s="25"/>
    </row>
    <row r="9" spans="1:61" ht="16.5" customHeight="1">
      <c r="A9" s="3"/>
      <c r="B9" s="193"/>
      <c r="C9" s="194"/>
      <c r="D9" s="203" t="s">
        <v>14</v>
      </c>
      <c r="E9" s="203" t="s">
        <v>15</v>
      </c>
      <c r="F9" s="203" t="s">
        <v>16</v>
      </c>
      <c r="G9" s="203" t="s">
        <v>17</v>
      </c>
      <c r="H9" s="204" t="s">
        <v>157</v>
      </c>
      <c r="I9" s="205" t="s">
        <v>19</v>
      </c>
      <c r="J9" s="206"/>
      <c r="K9" s="206"/>
      <c r="L9" s="206"/>
      <c r="M9" s="207"/>
      <c r="N9" s="205" t="s">
        <v>20</v>
      </c>
      <c r="O9" s="206"/>
      <c r="P9" s="206"/>
      <c r="Q9" s="206"/>
      <c r="R9" s="207"/>
      <c r="S9" s="6"/>
      <c r="T9" s="6"/>
      <c r="U9" s="6"/>
      <c r="V9" s="6"/>
      <c r="W9" s="6"/>
      <c r="X9" s="6"/>
      <c r="Y9" s="6"/>
      <c r="Z9" s="6"/>
      <c r="AA9" s="6"/>
      <c r="AB9" s="3"/>
      <c r="AC9" s="3"/>
      <c r="AD9" s="3"/>
      <c r="AE9" s="3"/>
      <c r="AF9" s="3"/>
      <c r="AG9" s="3"/>
      <c r="AH9" s="3"/>
      <c r="AI9" s="3"/>
      <c r="AJ9" s="3"/>
      <c r="AK9" s="3"/>
      <c r="AL9" s="111" t="s">
        <v>21</v>
      </c>
      <c r="AM9" s="112" t="s">
        <v>22</v>
      </c>
      <c r="AN9" s="112" t="s">
        <v>23</v>
      </c>
      <c r="AO9" s="112" t="s">
        <v>24</v>
      </c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25" t="s">
        <v>103</v>
      </c>
      <c r="BF9" s="25"/>
      <c r="BG9" s="25"/>
      <c r="BH9" s="25"/>
      <c r="BI9" s="25"/>
    </row>
    <row r="10" spans="1:61" ht="16.5" customHeight="1">
      <c r="A10" s="9"/>
      <c r="B10" s="208"/>
      <c r="C10" s="209"/>
      <c r="D10" s="209"/>
      <c r="E10" s="209"/>
      <c r="F10" s="209"/>
      <c r="G10" s="209"/>
      <c r="H10" s="210"/>
      <c r="I10" s="211" t="s">
        <v>25</v>
      </c>
      <c r="J10" s="212" t="s">
        <v>26</v>
      </c>
      <c r="K10" s="213" t="s">
        <v>27</v>
      </c>
      <c r="L10" s="212" t="s">
        <v>158</v>
      </c>
      <c r="M10" s="214" t="s">
        <v>159</v>
      </c>
      <c r="N10" s="211" t="s">
        <v>25</v>
      </c>
      <c r="O10" s="212" t="s">
        <v>26</v>
      </c>
      <c r="P10" s="213" t="s">
        <v>27</v>
      </c>
      <c r="Q10" s="212" t="s">
        <v>158</v>
      </c>
      <c r="R10" s="214" t="s">
        <v>159</v>
      </c>
      <c r="S10" s="14"/>
      <c r="T10" s="14">
        <f>3/0.25</f>
        <v>12</v>
      </c>
      <c r="U10" s="14"/>
      <c r="V10" s="14"/>
      <c r="W10" s="14"/>
      <c r="X10" s="14" t="s">
        <v>30</v>
      </c>
      <c r="Y10" s="14" t="s">
        <v>30</v>
      </c>
      <c r="Z10" s="14"/>
      <c r="AA10" s="14"/>
      <c r="AB10" s="9"/>
      <c r="AC10" s="9"/>
      <c r="AD10" s="9"/>
      <c r="AE10" s="9"/>
      <c r="AF10" s="9"/>
      <c r="AG10" s="9"/>
      <c r="AH10" s="9"/>
      <c r="AI10" s="15"/>
      <c r="AJ10" s="9"/>
      <c r="AK10" s="9"/>
      <c r="AL10" s="102"/>
      <c r="AM10" s="102"/>
      <c r="AN10" s="102"/>
      <c r="AO10" s="102"/>
      <c r="AP10" s="9"/>
      <c r="AQ10" s="9"/>
      <c r="AR10" s="9"/>
      <c r="AS10" s="9"/>
      <c r="AT10" s="9"/>
      <c r="AU10" s="9"/>
      <c r="AV10" s="9"/>
      <c r="AW10" s="9"/>
      <c r="AX10" s="9"/>
      <c r="AY10" s="9" t="s">
        <v>31</v>
      </c>
      <c r="AZ10" s="9" t="s">
        <v>32</v>
      </c>
      <c r="BA10" s="9" t="s">
        <v>19</v>
      </c>
      <c r="BB10" s="9" t="s">
        <v>10</v>
      </c>
      <c r="BC10" s="9" t="s">
        <v>20</v>
      </c>
      <c r="BD10" s="9" t="s">
        <v>10</v>
      </c>
      <c r="BE10" s="85" t="s">
        <v>24</v>
      </c>
      <c r="BF10" s="85" t="s">
        <v>105</v>
      </c>
      <c r="BG10" s="85" t="s">
        <v>160</v>
      </c>
      <c r="BH10" s="85" t="s">
        <v>109</v>
      </c>
      <c r="BI10" s="85" t="s">
        <v>108</v>
      </c>
    </row>
    <row r="11" spans="1:61" ht="16.5" customHeight="1">
      <c r="A11" s="3"/>
      <c r="B11" s="215" t="s">
        <v>161</v>
      </c>
      <c r="C11" s="216">
        <v>2</v>
      </c>
      <c r="D11" s="216">
        <v>3.33</v>
      </c>
      <c r="E11" s="216">
        <v>2.4900000000000002</v>
      </c>
      <c r="F11" s="421">
        <v>0.125</v>
      </c>
      <c r="G11" s="217">
        <v>20</v>
      </c>
      <c r="H11" s="422" t="s">
        <v>162</v>
      </c>
      <c r="I11" s="219" t="s">
        <v>36</v>
      </c>
      <c r="J11" s="220">
        <f t="shared" ref="J11:J20" si="0">AI11</f>
        <v>10.5</v>
      </c>
      <c r="K11" s="221">
        <f t="shared" ref="K11:K20" si="1">D11-0.002*G11+2*F11/2</f>
        <v>3.415</v>
      </c>
      <c r="L11" s="222">
        <v>200</v>
      </c>
      <c r="M11" s="223">
        <v>200</v>
      </c>
      <c r="N11" s="224" t="s">
        <v>36</v>
      </c>
      <c r="O11" s="220">
        <f t="shared" ref="O11:O20" si="2">AX11</f>
        <v>10.5</v>
      </c>
      <c r="P11" s="221">
        <f t="shared" ref="P11:P20" si="3">E11-0.002*G11+2*F11/2</f>
        <v>2.5750000000000002</v>
      </c>
      <c r="Q11" s="222">
        <v>200</v>
      </c>
      <c r="R11" s="223">
        <v>200</v>
      </c>
      <c r="S11" s="23"/>
      <c r="T11" s="23">
        <f>T10*2</f>
        <v>24</v>
      </c>
      <c r="U11" s="23"/>
      <c r="V11" s="3" t="s">
        <v>36</v>
      </c>
      <c r="W11" s="23">
        <v>0.61735017716184748</v>
      </c>
      <c r="X11" s="24">
        <f t="shared" ref="X11:X20" si="4">IF(C11&gt;0,Z11*J11*VLOOKUP(I11,$V$11:$W$17,2,FALSE),"")</f>
        <v>142.60789092438677</v>
      </c>
      <c r="Y11" s="25">
        <f t="shared" ref="Y11:Y20" si="5">IF(C11&gt;0,O11*AA11*VLOOKUP(I11,$V$11:$W$17,2,FALSE),"")</f>
        <v>84.268299182592187</v>
      </c>
      <c r="Z11" s="24">
        <f t="shared" ref="Z11:Z17" si="6">IF(C11&gt;0,CEILING(C11*K11*(IF(L11&gt;0,D11*1000/L11,0)+IF(M11&gt;0,D11*1000/M11,0))/J11,1),"")</f>
        <v>22</v>
      </c>
      <c r="AA11" s="24">
        <f t="shared" ref="AA11:AA20" si="7">IF(C11&gt;0,CEILING(C11*P11*(IF(Q11&gt;0,E11*1000/Q11,0)+IF(R11&gt;0,E11*1000/R11,0))/O11,1),"")</f>
        <v>13</v>
      </c>
      <c r="AB11" s="25">
        <f t="shared" ref="AB11:AB20" si="8">K11</f>
        <v>3.415</v>
      </c>
      <c r="AC11" s="3">
        <f t="shared" ref="AC11:AG11" si="9">IF(C11&gt;0,AC$21-$AB11*FLOOR(AC$21/$AB11,1),"")</f>
        <v>2.585</v>
      </c>
      <c r="AD11" s="3">
        <f t="shared" si="9"/>
        <v>0.66999999999999993</v>
      </c>
      <c r="AE11" s="3">
        <f t="shared" si="9"/>
        <v>2.17</v>
      </c>
      <c r="AF11" s="3">
        <f t="shared" si="9"/>
        <v>0.25499999999999901</v>
      </c>
      <c r="AG11" s="3">
        <f t="shared" si="9"/>
        <v>1.754999999999999</v>
      </c>
      <c r="AH11" s="3">
        <f t="shared" ref="AH11:AH20" si="10">IF(AB11&gt;0,SMALL(AC11:AG11,1),"")</f>
        <v>0.25499999999999901</v>
      </c>
      <c r="AI11" s="26">
        <f>IF(AB11&gt;0,HLOOKUP(AH11,AC11:AG21,11,FALSE),"")</f>
        <v>10.5</v>
      </c>
      <c r="AJ11" s="23" t="s">
        <v>13</v>
      </c>
      <c r="AK11" s="3">
        <v>12</v>
      </c>
      <c r="AL11" s="25">
        <f t="shared" ref="AL11:AL20" si="11">C11*D11*E11*F11</f>
        <v>2.0729250000000001</v>
      </c>
      <c r="AM11" s="25" t="e">
        <f t="shared" ref="AM11:AM20" si="12">C11*D11*E11*H11*1.05</f>
        <v>#VALUE!</v>
      </c>
      <c r="AN11" s="25" t="e">
        <f>AM11-(AL11*1.05)</f>
        <v>#VALUE!</v>
      </c>
      <c r="AO11" s="25">
        <f t="shared" ref="AO11:AO20" si="13">D11*E11*C11</f>
        <v>16.583400000000001</v>
      </c>
      <c r="AP11" s="3"/>
      <c r="AQ11" s="25">
        <f t="shared" ref="AQ11:AQ20" si="14">P11</f>
        <v>2.5750000000000002</v>
      </c>
      <c r="AR11" s="3">
        <f t="shared" ref="AR11:AV11" si="15">IF(C11&gt;0,AR$21-$AQ11*FLOOR(AR$21/$AQ11,1),"")</f>
        <v>0.84999999999999964</v>
      </c>
      <c r="AS11" s="3">
        <f t="shared" si="15"/>
        <v>2.3499999999999996</v>
      </c>
      <c r="AT11" s="3">
        <f t="shared" si="15"/>
        <v>1.2749999999999995</v>
      </c>
      <c r="AU11" s="3">
        <f t="shared" si="15"/>
        <v>0.19999999999999929</v>
      </c>
      <c r="AV11" s="3">
        <f t="shared" si="15"/>
        <v>1.6999999999999993</v>
      </c>
      <c r="AW11" s="3">
        <f t="shared" ref="AW11:AW20" si="16">IF(AQ11&gt;0,SMALL(AR11:AV11,1),"")</f>
        <v>0.19999999999999929</v>
      </c>
      <c r="AX11" s="26">
        <f>IF(AQ11&gt;0,HLOOKUP(AW11,AR11:AV21,11,FALSE),"")</f>
        <v>10.5</v>
      </c>
      <c r="AY11" s="3"/>
      <c r="AZ11" s="3"/>
      <c r="BA11" s="3"/>
      <c r="BB11" s="3"/>
      <c r="BC11" s="3"/>
      <c r="BD11" s="3"/>
      <c r="BE11" s="25">
        <f t="shared" ref="BE11:BE20" si="17">D11*E11*C11</f>
        <v>16.583400000000001</v>
      </c>
      <c r="BF11" s="25">
        <f t="shared" ref="BF11:BF20" si="18">BE11/2.88</f>
        <v>5.7581250000000006</v>
      </c>
      <c r="BG11" s="25">
        <f t="shared" ref="BG11:BG20" si="19">(43/28)*BE11</f>
        <v>25.467364285714289</v>
      </c>
      <c r="BH11" s="25">
        <f t="shared" ref="BH11:BH20" si="20">3/28*BE11</f>
        <v>1.7767928571428571</v>
      </c>
      <c r="BI11" s="25">
        <f t="shared" ref="BI11:BI20" si="21">1/28*BE11</f>
        <v>0.59226428571428569</v>
      </c>
    </row>
    <row r="12" spans="1:61" ht="16.5" customHeight="1">
      <c r="A12" s="3"/>
      <c r="B12" s="215" t="s">
        <v>163</v>
      </c>
      <c r="C12" s="216">
        <v>2</v>
      </c>
      <c r="D12" s="216">
        <v>3.33</v>
      </c>
      <c r="E12" s="216">
        <v>2.4900000000000002</v>
      </c>
      <c r="F12" s="421">
        <v>0.125</v>
      </c>
      <c r="G12" s="217">
        <v>20</v>
      </c>
      <c r="H12" s="422" t="s">
        <v>162</v>
      </c>
      <c r="I12" s="219" t="s">
        <v>36</v>
      </c>
      <c r="J12" s="220">
        <f t="shared" si="0"/>
        <v>10.5</v>
      </c>
      <c r="K12" s="221">
        <f t="shared" si="1"/>
        <v>3.415</v>
      </c>
      <c r="L12" s="222">
        <v>200</v>
      </c>
      <c r="M12" s="223">
        <v>200</v>
      </c>
      <c r="N12" s="224" t="s">
        <v>36</v>
      </c>
      <c r="O12" s="220">
        <f t="shared" si="2"/>
        <v>10.5</v>
      </c>
      <c r="P12" s="221">
        <f t="shared" si="3"/>
        <v>2.5750000000000002</v>
      </c>
      <c r="Q12" s="222">
        <v>200</v>
      </c>
      <c r="R12" s="223">
        <v>200</v>
      </c>
      <c r="S12" s="23"/>
      <c r="T12" s="23">
        <f>T11*3.15</f>
        <v>75.599999999999994</v>
      </c>
      <c r="U12" s="23"/>
      <c r="V12" s="3" t="s">
        <v>35</v>
      </c>
      <c r="W12" s="23">
        <v>0.88898425511306034</v>
      </c>
      <c r="X12" s="24">
        <f t="shared" si="4"/>
        <v>142.60789092438677</v>
      </c>
      <c r="Y12" s="25">
        <f t="shared" si="5"/>
        <v>84.268299182592187</v>
      </c>
      <c r="Z12" s="24">
        <f t="shared" si="6"/>
        <v>22</v>
      </c>
      <c r="AA12" s="24">
        <f t="shared" si="7"/>
        <v>13</v>
      </c>
      <c r="AB12" s="25">
        <f t="shared" si="8"/>
        <v>3.415</v>
      </c>
      <c r="AC12" s="3">
        <f t="shared" ref="AC12:AG12" si="22">IF(C12&gt;0,AC$21-$AB12*FLOOR(AC$21/$AB12,1),"")</f>
        <v>2.585</v>
      </c>
      <c r="AD12" s="3">
        <f t="shared" si="22"/>
        <v>0.66999999999999993</v>
      </c>
      <c r="AE12" s="3">
        <f t="shared" si="22"/>
        <v>2.17</v>
      </c>
      <c r="AF12" s="3">
        <f t="shared" si="22"/>
        <v>0.25499999999999901</v>
      </c>
      <c r="AG12" s="3">
        <f t="shared" si="22"/>
        <v>1.754999999999999</v>
      </c>
      <c r="AH12" s="3">
        <f t="shared" si="10"/>
        <v>0.25499999999999901</v>
      </c>
      <c r="AI12" s="26">
        <f>IF(AB12&gt;0,HLOOKUP(AH12,AC12:AG22,10,FALSE),"")</f>
        <v>10.5</v>
      </c>
      <c r="AJ12" s="23" t="s">
        <v>38</v>
      </c>
      <c r="AK12" s="3">
        <v>10</v>
      </c>
      <c r="AL12" s="25">
        <f t="shared" si="11"/>
        <v>2.0729250000000001</v>
      </c>
      <c r="AM12" s="25" t="e">
        <f t="shared" si="12"/>
        <v>#VALUE!</v>
      </c>
      <c r="AN12" s="25" t="e">
        <f t="shared" ref="AN12:AN20" si="23">AM12-(AL12*1.15)</f>
        <v>#VALUE!</v>
      </c>
      <c r="AO12" s="25">
        <f t="shared" si="13"/>
        <v>16.583400000000001</v>
      </c>
      <c r="AP12" s="3"/>
      <c r="AQ12" s="25">
        <f t="shared" si="14"/>
        <v>2.5750000000000002</v>
      </c>
      <c r="AR12" s="3">
        <f t="shared" ref="AR12:AV12" si="24">IF(C12&gt;0,AR$21-$AQ12*FLOOR(AR$21/$AQ12,1),"")</f>
        <v>0.84999999999999964</v>
      </c>
      <c r="AS12" s="3">
        <f t="shared" si="24"/>
        <v>2.3499999999999996</v>
      </c>
      <c r="AT12" s="3">
        <f t="shared" si="24"/>
        <v>1.2749999999999995</v>
      </c>
      <c r="AU12" s="3">
        <f t="shared" si="24"/>
        <v>0.19999999999999929</v>
      </c>
      <c r="AV12" s="3">
        <f t="shared" si="24"/>
        <v>1.6999999999999993</v>
      </c>
      <c r="AW12" s="3">
        <f t="shared" si="16"/>
        <v>0.19999999999999929</v>
      </c>
      <c r="AX12" s="26">
        <f>IF(AQ12&gt;0,HLOOKUP(AW12,AR12:AV22,10,FALSE),"")</f>
        <v>10.5</v>
      </c>
      <c r="AY12" s="3"/>
      <c r="AZ12" s="3"/>
      <c r="BA12" s="3"/>
      <c r="BB12" s="3"/>
      <c r="BC12" s="3"/>
      <c r="BD12" s="3"/>
      <c r="BE12" s="25">
        <f t="shared" si="17"/>
        <v>16.583400000000001</v>
      </c>
      <c r="BF12" s="25">
        <f t="shared" si="18"/>
        <v>5.7581250000000006</v>
      </c>
      <c r="BG12" s="25">
        <f t="shared" si="19"/>
        <v>25.467364285714289</v>
      </c>
      <c r="BH12" s="25">
        <f t="shared" si="20"/>
        <v>1.7767928571428571</v>
      </c>
      <c r="BI12" s="25">
        <f t="shared" si="21"/>
        <v>0.59226428571428569</v>
      </c>
    </row>
    <row r="13" spans="1:61" ht="16.5" customHeight="1">
      <c r="A13" s="3"/>
      <c r="B13" s="215" t="s">
        <v>164</v>
      </c>
      <c r="C13" s="216"/>
      <c r="D13" s="216"/>
      <c r="E13" s="216"/>
      <c r="F13" s="421"/>
      <c r="G13" s="217"/>
      <c r="H13" s="422"/>
      <c r="I13" s="219"/>
      <c r="J13" s="220" t="str">
        <f t="shared" si="0"/>
        <v/>
      </c>
      <c r="K13" s="221">
        <f t="shared" si="1"/>
        <v>0</v>
      </c>
      <c r="L13" s="222"/>
      <c r="M13" s="223"/>
      <c r="N13" s="224"/>
      <c r="O13" s="220" t="str">
        <f t="shared" si="2"/>
        <v/>
      </c>
      <c r="P13" s="221">
        <f t="shared" si="3"/>
        <v>0</v>
      </c>
      <c r="Q13" s="222"/>
      <c r="R13" s="223"/>
      <c r="S13" s="23"/>
      <c r="T13" s="23">
        <f>T12/10.5</f>
        <v>7.1999999999999993</v>
      </c>
      <c r="U13" s="23"/>
      <c r="V13" s="3" t="s">
        <v>34</v>
      </c>
      <c r="W13" s="23">
        <v>1.5804164535343297</v>
      </c>
      <c r="X13" s="24" t="str">
        <f t="shared" si="4"/>
        <v/>
      </c>
      <c r="Y13" s="25" t="str">
        <f t="shared" si="5"/>
        <v/>
      </c>
      <c r="Z13" s="24" t="str">
        <f t="shared" si="6"/>
        <v/>
      </c>
      <c r="AA13" s="24" t="str">
        <f t="shared" si="7"/>
        <v/>
      </c>
      <c r="AB13" s="25">
        <f t="shared" si="8"/>
        <v>0</v>
      </c>
      <c r="AC13" s="3" t="str">
        <f t="shared" ref="AC13:AG13" si="25">IF(C13&gt;0,AC$21-$AB13*FLOOR(AC$21/$AB13,1),"")</f>
        <v/>
      </c>
      <c r="AD13" s="3" t="str">
        <f t="shared" si="25"/>
        <v/>
      </c>
      <c r="AE13" s="3" t="str">
        <f t="shared" si="25"/>
        <v/>
      </c>
      <c r="AF13" s="3" t="str">
        <f t="shared" si="25"/>
        <v/>
      </c>
      <c r="AG13" s="3" t="str">
        <f t="shared" si="25"/>
        <v/>
      </c>
      <c r="AH13" s="3" t="str">
        <f t="shared" si="10"/>
        <v/>
      </c>
      <c r="AI13" s="26" t="str">
        <f>IF(AB13&gt;0,HLOOKUP(AH13,AC13:AG23,9,FALSE),"")</f>
        <v/>
      </c>
      <c r="AJ13" s="23" t="s">
        <v>40</v>
      </c>
      <c r="AK13" s="3">
        <v>8</v>
      </c>
      <c r="AL13" s="25">
        <f t="shared" si="11"/>
        <v>0</v>
      </c>
      <c r="AM13" s="25">
        <f t="shared" si="12"/>
        <v>0</v>
      </c>
      <c r="AN13" s="25">
        <f t="shared" si="23"/>
        <v>0</v>
      </c>
      <c r="AO13" s="25">
        <f t="shared" si="13"/>
        <v>0</v>
      </c>
      <c r="AP13" s="3"/>
      <c r="AQ13" s="25">
        <f t="shared" si="14"/>
        <v>0</v>
      </c>
      <c r="AR13" s="3" t="str">
        <f t="shared" ref="AR13:AV13" si="26">IF(C13&gt;0,AR$21-$AQ13*FLOOR(AR$21/$AQ13,1),"")</f>
        <v/>
      </c>
      <c r="AS13" s="3" t="str">
        <f t="shared" si="26"/>
        <v/>
      </c>
      <c r="AT13" s="3" t="str">
        <f t="shared" si="26"/>
        <v/>
      </c>
      <c r="AU13" s="3" t="str">
        <f t="shared" si="26"/>
        <v/>
      </c>
      <c r="AV13" s="3" t="str">
        <f t="shared" si="26"/>
        <v/>
      </c>
      <c r="AW13" s="3" t="str">
        <f t="shared" si="16"/>
        <v/>
      </c>
      <c r="AX13" s="26" t="str">
        <f>IF(AQ13&gt;0,HLOOKUP(AW13,AR13:AV23,9,FALSE),"")</f>
        <v/>
      </c>
      <c r="AY13" s="3"/>
      <c r="AZ13" s="3"/>
      <c r="BA13" s="3"/>
      <c r="BB13" s="3"/>
      <c r="BC13" s="3"/>
      <c r="BD13" s="3"/>
      <c r="BE13" s="25">
        <f t="shared" si="17"/>
        <v>0</v>
      </c>
      <c r="BF13" s="25">
        <f t="shared" si="18"/>
        <v>0</v>
      </c>
      <c r="BG13" s="25">
        <f t="shared" si="19"/>
        <v>0</v>
      </c>
      <c r="BH13" s="25">
        <f t="shared" si="20"/>
        <v>0</v>
      </c>
      <c r="BI13" s="25">
        <f t="shared" si="21"/>
        <v>0</v>
      </c>
    </row>
    <row r="14" spans="1:61" ht="16.5" customHeight="1">
      <c r="A14" s="3"/>
      <c r="B14" s="215" t="s">
        <v>165</v>
      </c>
      <c r="C14" s="216"/>
      <c r="D14" s="216"/>
      <c r="E14" s="216"/>
      <c r="F14" s="421"/>
      <c r="G14" s="217"/>
      <c r="H14" s="422"/>
      <c r="I14" s="219"/>
      <c r="J14" s="220" t="str">
        <f t="shared" si="0"/>
        <v/>
      </c>
      <c r="K14" s="221">
        <f t="shared" si="1"/>
        <v>0</v>
      </c>
      <c r="L14" s="222"/>
      <c r="M14" s="223"/>
      <c r="N14" s="224"/>
      <c r="O14" s="220" t="str">
        <f t="shared" si="2"/>
        <v/>
      </c>
      <c r="P14" s="221">
        <f t="shared" si="3"/>
        <v>0</v>
      </c>
      <c r="Q14" s="222"/>
      <c r="R14" s="223"/>
      <c r="S14" s="23"/>
      <c r="T14" s="23"/>
      <c r="U14" s="23"/>
      <c r="V14" s="3" t="s">
        <v>42</v>
      </c>
      <c r="W14" s="23">
        <v>2.4694007086473899</v>
      </c>
      <c r="X14" s="24" t="str">
        <f t="shared" si="4"/>
        <v/>
      </c>
      <c r="Y14" s="25" t="str">
        <f t="shared" si="5"/>
        <v/>
      </c>
      <c r="Z14" s="24" t="str">
        <f t="shared" si="6"/>
        <v/>
      </c>
      <c r="AA14" s="24" t="str">
        <f t="shared" si="7"/>
        <v/>
      </c>
      <c r="AB14" s="25">
        <f t="shared" si="8"/>
        <v>0</v>
      </c>
      <c r="AC14" s="3" t="str">
        <f t="shared" ref="AC14:AG14" si="27">IF(C14&gt;0,AC$21-$AB14*FLOOR(AC$21/$AB14,1),"")</f>
        <v/>
      </c>
      <c r="AD14" s="3" t="str">
        <f t="shared" si="27"/>
        <v/>
      </c>
      <c r="AE14" s="3" t="str">
        <f t="shared" si="27"/>
        <v/>
      </c>
      <c r="AF14" s="3" t="str">
        <f t="shared" si="27"/>
        <v/>
      </c>
      <c r="AG14" s="3" t="str">
        <f t="shared" si="27"/>
        <v/>
      </c>
      <c r="AH14" s="3" t="str">
        <f t="shared" si="10"/>
        <v/>
      </c>
      <c r="AI14" s="26" t="str">
        <f>IF(AB14&gt;0,HLOOKUP(AH14,AC14:AG24,8,FALSE),"")</f>
        <v/>
      </c>
      <c r="AJ14" s="23" t="s">
        <v>43</v>
      </c>
      <c r="AK14" s="3">
        <v>6.5</v>
      </c>
      <c r="AL14" s="25">
        <f t="shared" si="11"/>
        <v>0</v>
      </c>
      <c r="AM14" s="25">
        <f t="shared" si="12"/>
        <v>0</v>
      </c>
      <c r="AN14" s="25">
        <f t="shared" si="23"/>
        <v>0</v>
      </c>
      <c r="AO14" s="25">
        <f t="shared" si="13"/>
        <v>0</v>
      </c>
      <c r="AP14" s="3"/>
      <c r="AQ14" s="25">
        <f t="shared" si="14"/>
        <v>0</v>
      </c>
      <c r="AR14" s="3" t="str">
        <f t="shared" ref="AR14:AV14" si="28">IF(C14&gt;0,AR$21-$AQ14*FLOOR(AR$21/$AQ14,1),"")</f>
        <v/>
      </c>
      <c r="AS14" s="3" t="str">
        <f t="shared" si="28"/>
        <v/>
      </c>
      <c r="AT14" s="3" t="str">
        <f t="shared" si="28"/>
        <v/>
      </c>
      <c r="AU14" s="3" t="str">
        <f t="shared" si="28"/>
        <v/>
      </c>
      <c r="AV14" s="3" t="str">
        <f t="shared" si="28"/>
        <v/>
      </c>
      <c r="AW14" s="3" t="str">
        <f t="shared" si="16"/>
        <v/>
      </c>
      <c r="AX14" s="26" t="str">
        <f>IF(AQ14&gt;0,HLOOKUP(AW14,AR14:AV24,8,FALSE),"")</f>
        <v/>
      </c>
      <c r="AY14" s="3" t="str">
        <f t="shared" ref="AY14:AY20" si="29">IF(AQ14&gt;0,SMALL(AR14:AV14,1),"")</f>
        <v/>
      </c>
      <c r="AZ14" s="3" t="str">
        <f>IF(AQ14&gt;0,HLOOKUP(AY14,AR14:AV24,8,FALSE),"")</f>
        <v/>
      </c>
      <c r="BA14" s="3"/>
      <c r="BB14" s="3"/>
      <c r="BC14" s="3"/>
      <c r="BD14" s="3"/>
      <c r="BE14" s="25">
        <f t="shared" si="17"/>
        <v>0</v>
      </c>
      <c r="BF14" s="25">
        <f t="shared" si="18"/>
        <v>0</v>
      </c>
      <c r="BG14" s="25">
        <f t="shared" si="19"/>
        <v>0</v>
      </c>
      <c r="BH14" s="25">
        <f t="shared" si="20"/>
        <v>0</v>
      </c>
      <c r="BI14" s="25">
        <f t="shared" si="21"/>
        <v>0</v>
      </c>
    </row>
    <row r="15" spans="1:61" ht="16.5" customHeight="1">
      <c r="A15" s="3"/>
      <c r="B15" s="215" t="s">
        <v>166</v>
      </c>
      <c r="C15" s="216"/>
      <c r="D15" s="216"/>
      <c r="E15" s="216"/>
      <c r="F15" s="421"/>
      <c r="G15" s="217"/>
      <c r="H15" s="422"/>
      <c r="I15" s="219"/>
      <c r="J15" s="220" t="str">
        <f t="shared" si="0"/>
        <v/>
      </c>
      <c r="K15" s="221">
        <f t="shared" si="1"/>
        <v>0</v>
      </c>
      <c r="L15" s="222"/>
      <c r="M15" s="223"/>
      <c r="N15" s="224"/>
      <c r="O15" s="220" t="str">
        <f t="shared" si="2"/>
        <v/>
      </c>
      <c r="P15" s="221">
        <f t="shared" si="3"/>
        <v>0</v>
      </c>
      <c r="Q15" s="222"/>
      <c r="R15" s="223"/>
      <c r="S15" s="23"/>
      <c r="T15" s="23"/>
      <c r="U15" s="23"/>
      <c r="V15" s="3" t="s">
        <v>45</v>
      </c>
      <c r="W15" s="23">
        <v>3.8584386072615469</v>
      </c>
      <c r="X15" s="24" t="str">
        <f t="shared" si="4"/>
        <v/>
      </c>
      <c r="Y15" s="25" t="str">
        <f t="shared" si="5"/>
        <v/>
      </c>
      <c r="Z15" s="24" t="str">
        <f t="shared" si="6"/>
        <v/>
      </c>
      <c r="AA15" s="24" t="str">
        <f t="shared" si="7"/>
        <v/>
      </c>
      <c r="AB15" s="25">
        <f t="shared" si="8"/>
        <v>0</v>
      </c>
      <c r="AC15" s="3" t="str">
        <f t="shared" ref="AC15:AG15" si="30">IF(C15&gt;0,AC$21-$AB15*FLOOR(AC$21/$AB15,1),"")</f>
        <v/>
      </c>
      <c r="AD15" s="3" t="str">
        <f t="shared" si="30"/>
        <v/>
      </c>
      <c r="AE15" s="3" t="str">
        <f t="shared" si="30"/>
        <v/>
      </c>
      <c r="AF15" s="3" t="str">
        <f t="shared" si="30"/>
        <v/>
      </c>
      <c r="AG15" s="3" t="str">
        <f t="shared" si="30"/>
        <v/>
      </c>
      <c r="AH15" s="3" t="str">
        <f t="shared" si="10"/>
        <v/>
      </c>
      <c r="AI15" s="26" t="str">
        <f>IF(AB15&gt;0,HLOOKUP(AH15,AC15:AG33,7,FALSE),"")</f>
        <v/>
      </c>
      <c r="AJ15" s="3"/>
      <c r="AK15" s="3"/>
      <c r="AL15" s="25">
        <f t="shared" si="11"/>
        <v>0</v>
      </c>
      <c r="AM15" s="25">
        <f t="shared" si="12"/>
        <v>0</v>
      </c>
      <c r="AN15" s="25">
        <f t="shared" si="23"/>
        <v>0</v>
      </c>
      <c r="AO15" s="25">
        <f t="shared" si="13"/>
        <v>0</v>
      </c>
      <c r="AP15" s="3"/>
      <c r="AQ15" s="25">
        <f t="shared" si="14"/>
        <v>0</v>
      </c>
      <c r="AR15" s="3" t="str">
        <f t="shared" ref="AR15:AV15" si="31">IF(C15&gt;0,AR$21-$AQ15*FLOOR(AR$21/$AQ15,1),"")</f>
        <v/>
      </c>
      <c r="AS15" s="3" t="str">
        <f t="shared" si="31"/>
        <v/>
      </c>
      <c r="AT15" s="3" t="str">
        <f t="shared" si="31"/>
        <v/>
      </c>
      <c r="AU15" s="3" t="str">
        <f t="shared" si="31"/>
        <v/>
      </c>
      <c r="AV15" s="3" t="str">
        <f t="shared" si="31"/>
        <v/>
      </c>
      <c r="AW15" s="3" t="str">
        <f t="shared" si="16"/>
        <v/>
      </c>
      <c r="AX15" s="26" t="str">
        <f>IF(AQ15&gt;0,HLOOKUP(AW15,AR15:AV33,7,FALSE),"")</f>
        <v/>
      </c>
      <c r="AY15" s="3" t="str">
        <f t="shared" si="29"/>
        <v/>
      </c>
      <c r="AZ15" s="3" t="str">
        <f>IF(AQ15&gt;0,HLOOKUP(AY15,AR15:AV33,7,FALSE),"")</f>
        <v/>
      </c>
      <c r="BA15" s="3"/>
      <c r="BB15" s="3"/>
      <c r="BC15" s="3"/>
      <c r="BD15" s="3"/>
      <c r="BE15" s="25">
        <f t="shared" si="17"/>
        <v>0</v>
      </c>
      <c r="BF15" s="25">
        <f t="shared" si="18"/>
        <v>0</v>
      </c>
      <c r="BG15" s="25">
        <f t="shared" si="19"/>
        <v>0</v>
      </c>
      <c r="BH15" s="25">
        <f t="shared" si="20"/>
        <v>0</v>
      </c>
      <c r="BI15" s="25">
        <f t="shared" si="21"/>
        <v>0</v>
      </c>
    </row>
    <row r="16" spans="1:61" ht="16.5" customHeight="1">
      <c r="A16" s="3"/>
      <c r="B16" s="215" t="s">
        <v>167</v>
      </c>
      <c r="C16" s="216"/>
      <c r="D16" s="216"/>
      <c r="E16" s="216"/>
      <c r="F16" s="421"/>
      <c r="G16" s="217"/>
      <c r="H16" s="422"/>
      <c r="I16" s="219"/>
      <c r="J16" s="220" t="str">
        <f t="shared" si="0"/>
        <v/>
      </c>
      <c r="K16" s="221">
        <f t="shared" si="1"/>
        <v>0</v>
      </c>
      <c r="L16" s="222"/>
      <c r="M16" s="223"/>
      <c r="N16" s="224"/>
      <c r="O16" s="220" t="str">
        <f t="shared" si="2"/>
        <v/>
      </c>
      <c r="P16" s="221">
        <f t="shared" si="3"/>
        <v>0</v>
      </c>
      <c r="Q16" s="222"/>
      <c r="R16" s="223"/>
      <c r="S16" s="23"/>
      <c r="T16" s="23"/>
      <c r="U16" s="23"/>
      <c r="V16" s="3" t="s">
        <v>47</v>
      </c>
      <c r="W16" s="23">
        <v>4.8400253889488836</v>
      </c>
      <c r="X16" s="24" t="str">
        <f t="shared" si="4"/>
        <v/>
      </c>
      <c r="Y16" s="25" t="str">
        <f t="shared" si="5"/>
        <v/>
      </c>
      <c r="Z16" s="24" t="str">
        <f t="shared" si="6"/>
        <v/>
      </c>
      <c r="AA16" s="24" t="str">
        <f t="shared" si="7"/>
        <v/>
      </c>
      <c r="AB16" s="25">
        <f t="shared" si="8"/>
        <v>0</v>
      </c>
      <c r="AC16" s="3" t="str">
        <f t="shared" ref="AC16:AG16" si="32">IF(C16&gt;0,AC$21-$AB16*FLOOR(AC$21/$AB16,1),"")</f>
        <v/>
      </c>
      <c r="AD16" s="3" t="str">
        <f t="shared" si="32"/>
        <v/>
      </c>
      <c r="AE16" s="3" t="str">
        <f t="shared" si="32"/>
        <v/>
      </c>
      <c r="AF16" s="3" t="str">
        <f t="shared" si="32"/>
        <v/>
      </c>
      <c r="AG16" s="3" t="str">
        <f t="shared" si="32"/>
        <v/>
      </c>
      <c r="AH16" s="3" t="str">
        <f t="shared" si="10"/>
        <v/>
      </c>
      <c r="AI16" s="26" t="str">
        <f>IF(AB16&gt;0,HLOOKUP(AH16,AC16:AG35,6,FALSE),"")</f>
        <v/>
      </c>
      <c r="AJ16" s="3"/>
      <c r="AK16" s="3"/>
      <c r="AL16" s="25">
        <f t="shared" si="11"/>
        <v>0</v>
      </c>
      <c r="AM16" s="25">
        <f t="shared" si="12"/>
        <v>0</v>
      </c>
      <c r="AN16" s="25">
        <f t="shared" si="23"/>
        <v>0</v>
      </c>
      <c r="AO16" s="25">
        <f t="shared" si="13"/>
        <v>0</v>
      </c>
      <c r="AP16" s="3"/>
      <c r="AQ16" s="25">
        <f t="shared" si="14"/>
        <v>0</v>
      </c>
      <c r="AR16" s="3" t="str">
        <f t="shared" ref="AR16:AV16" si="33">IF(C16&gt;0,AR$21-$AQ16*FLOOR(AR$21/$AQ16,1),"")</f>
        <v/>
      </c>
      <c r="AS16" s="3" t="str">
        <f t="shared" si="33"/>
        <v/>
      </c>
      <c r="AT16" s="3" t="str">
        <f t="shared" si="33"/>
        <v/>
      </c>
      <c r="AU16" s="3" t="str">
        <f t="shared" si="33"/>
        <v/>
      </c>
      <c r="AV16" s="3" t="str">
        <f t="shared" si="33"/>
        <v/>
      </c>
      <c r="AW16" s="3" t="str">
        <f t="shared" si="16"/>
        <v/>
      </c>
      <c r="AX16" s="26" t="str">
        <f>IF(AQ16&gt;0,HLOOKUP(AW16,AR16:AV35,6,FALSE),"")</f>
        <v/>
      </c>
      <c r="AY16" s="3" t="str">
        <f t="shared" si="29"/>
        <v/>
      </c>
      <c r="AZ16" s="3" t="str">
        <f>IF(AQ16&gt;0,HLOOKUP(AY16,AR16:AV35,6,FALSE),"")</f>
        <v/>
      </c>
      <c r="BA16" s="3"/>
      <c r="BB16" s="3"/>
      <c r="BC16" s="3"/>
      <c r="BD16" s="3"/>
      <c r="BE16" s="25">
        <f t="shared" si="17"/>
        <v>0</v>
      </c>
      <c r="BF16" s="25">
        <f t="shared" si="18"/>
        <v>0</v>
      </c>
      <c r="BG16" s="25">
        <f t="shared" si="19"/>
        <v>0</v>
      </c>
      <c r="BH16" s="25">
        <f t="shared" si="20"/>
        <v>0</v>
      </c>
      <c r="BI16" s="25">
        <f t="shared" si="21"/>
        <v>0</v>
      </c>
    </row>
    <row r="17" spans="1:61" ht="16.5" customHeight="1">
      <c r="A17" s="3"/>
      <c r="B17" s="215" t="s">
        <v>168</v>
      </c>
      <c r="C17" s="216"/>
      <c r="D17" s="216"/>
      <c r="E17" s="216"/>
      <c r="F17" s="421"/>
      <c r="G17" s="217"/>
      <c r="H17" s="422"/>
      <c r="I17" s="219"/>
      <c r="J17" s="220" t="str">
        <f t="shared" si="0"/>
        <v/>
      </c>
      <c r="K17" s="221">
        <f t="shared" si="1"/>
        <v>0</v>
      </c>
      <c r="L17" s="222"/>
      <c r="M17" s="223"/>
      <c r="N17" s="224"/>
      <c r="O17" s="220" t="str">
        <f t="shared" si="2"/>
        <v/>
      </c>
      <c r="P17" s="221">
        <f t="shared" si="3"/>
        <v>0</v>
      </c>
      <c r="Q17" s="222"/>
      <c r="R17" s="223"/>
      <c r="S17" s="23"/>
      <c r="T17" s="23"/>
      <c r="U17" s="23"/>
      <c r="V17" s="3" t="s">
        <v>49</v>
      </c>
      <c r="W17" s="23">
        <v>6.3216658141373188</v>
      </c>
      <c r="X17" s="24" t="str">
        <f t="shared" si="4"/>
        <v/>
      </c>
      <c r="Y17" s="25" t="str">
        <f t="shared" si="5"/>
        <v/>
      </c>
      <c r="Z17" s="24" t="str">
        <f t="shared" si="6"/>
        <v/>
      </c>
      <c r="AA17" s="24" t="str">
        <f t="shared" si="7"/>
        <v/>
      </c>
      <c r="AB17" s="25">
        <f t="shared" si="8"/>
        <v>0</v>
      </c>
      <c r="AC17" s="3" t="str">
        <f t="shared" ref="AC17:AG17" si="34">IF(C17&gt;0,AC$21-$AB17*FLOOR(AC$21/$AB17,1),"")</f>
        <v/>
      </c>
      <c r="AD17" s="3" t="str">
        <f t="shared" si="34"/>
        <v/>
      </c>
      <c r="AE17" s="3" t="str">
        <f t="shared" si="34"/>
        <v/>
      </c>
      <c r="AF17" s="3" t="str">
        <f t="shared" si="34"/>
        <v/>
      </c>
      <c r="AG17" s="3" t="str">
        <f t="shared" si="34"/>
        <v/>
      </c>
      <c r="AH17" s="3" t="str">
        <f t="shared" si="10"/>
        <v/>
      </c>
      <c r="AI17" s="26" t="str">
        <f>IF(AB17&gt;0,HLOOKUP(AH17,AC17:AG37,5,FALSE),"")</f>
        <v/>
      </c>
      <c r="AJ17" s="3"/>
      <c r="AK17" s="3"/>
      <c r="AL17" s="25">
        <f t="shared" si="11"/>
        <v>0</v>
      </c>
      <c r="AM17" s="25">
        <f t="shared" si="12"/>
        <v>0</v>
      </c>
      <c r="AN17" s="25">
        <f t="shared" si="23"/>
        <v>0</v>
      </c>
      <c r="AO17" s="25">
        <f t="shared" si="13"/>
        <v>0</v>
      </c>
      <c r="AP17" s="3"/>
      <c r="AQ17" s="25">
        <f t="shared" si="14"/>
        <v>0</v>
      </c>
      <c r="AR17" s="3" t="str">
        <f t="shared" ref="AR17:AV17" si="35">IF(C17&gt;0,AR$21-$AQ17*FLOOR(AR$21/$AQ17,1),"")</f>
        <v/>
      </c>
      <c r="AS17" s="3" t="str">
        <f t="shared" si="35"/>
        <v/>
      </c>
      <c r="AT17" s="3" t="str">
        <f t="shared" si="35"/>
        <v/>
      </c>
      <c r="AU17" s="3" t="str">
        <f t="shared" si="35"/>
        <v/>
      </c>
      <c r="AV17" s="3" t="str">
        <f t="shared" si="35"/>
        <v/>
      </c>
      <c r="AW17" s="3" t="str">
        <f t="shared" si="16"/>
        <v/>
      </c>
      <c r="AX17" s="26" t="str">
        <f>IF(AQ17&gt;0,HLOOKUP(AW17,AR17:AV37,5,FALSE),"")</f>
        <v/>
      </c>
      <c r="AY17" s="3" t="str">
        <f t="shared" si="29"/>
        <v/>
      </c>
      <c r="AZ17" s="3" t="str">
        <f>IF(AQ17&gt;0,HLOOKUP(AY17,AR17:AV37,5,FALSE),"")</f>
        <v/>
      </c>
      <c r="BA17" s="3"/>
      <c r="BB17" s="3"/>
      <c r="BC17" s="3"/>
      <c r="BD17" s="3"/>
      <c r="BE17" s="25">
        <f t="shared" si="17"/>
        <v>0</v>
      </c>
      <c r="BF17" s="25">
        <f t="shared" si="18"/>
        <v>0</v>
      </c>
      <c r="BG17" s="25">
        <f t="shared" si="19"/>
        <v>0</v>
      </c>
      <c r="BH17" s="25">
        <f t="shared" si="20"/>
        <v>0</v>
      </c>
      <c r="BI17" s="25">
        <f t="shared" si="21"/>
        <v>0</v>
      </c>
    </row>
    <row r="18" spans="1:61" ht="16.5" customHeight="1">
      <c r="A18" s="3"/>
      <c r="B18" s="215" t="s">
        <v>169</v>
      </c>
      <c r="C18" s="216"/>
      <c r="D18" s="216"/>
      <c r="E18" s="216"/>
      <c r="F18" s="421"/>
      <c r="G18" s="217"/>
      <c r="H18" s="422"/>
      <c r="I18" s="219"/>
      <c r="J18" s="220" t="str">
        <f t="shared" si="0"/>
        <v/>
      </c>
      <c r="K18" s="221">
        <f t="shared" si="1"/>
        <v>0</v>
      </c>
      <c r="L18" s="222"/>
      <c r="M18" s="223"/>
      <c r="N18" s="224"/>
      <c r="O18" s="220" t="str">
        <f t="shared" si="2"/>
        <v/>
      </c>
      <c r="P18" s="221">
        <f t="shared" si="3"/>
        <v>0</v>
      </c>
      <c r="Q18" s="222"/>
      <c r="R18" s="223"/>
      <c r="S18" s="23"/>
      <c r="T18" s="23"/>
      <c r="U18" s="23"/>
      <c r="V18" s="23"/>
      <c r="W18" s="23"/>
      <c r="X18" s="24" t="str">
        <f t="shared" si="4"/>
        <v/>
      </c>
      <c r="Y18" s="25" t="str">
        <f t="shared" si="5"/>
        <v/>
      </c>
      <c r="Z18" s="24" t="str">
        <f t="shared" ref="Z18:Z20" si="36">IF(C18&gt;0,CEILING(C18*K18*(L18+M18)/J18,1),"")</f>
        <v/>
      </c>
      <c r="AA18" s="24" t="str">
        <f t="shared" si="7"/>
        <v/>
      </c>
      <c r="AB18" s="25">
        <f t="shared" si="8"/>
        <v>0</v>
      </c>
      <c r="AC18" s="3" t="str">
        <f t="shared" ref="AC18:AG18" si="37">IF(C18&gt;0,AC$21-$AB18*FLOOR(AC$21/$AB18,1),"")</f>
        <v/>
      </c>
      <c r="AD18" s="3" t="str">
        <f t="shared" si="37"/>
        <v/>
      </c>
      <c r="AE18" s="3" t="str">
        <f t="shared" si="37"/>
        <v/>
      </c>
      <c r="AF18" s="3" t="str">
        <f t="shared" si="37"/>
        <v/>
      </c>
      <c r="AG18" s="3" t="str">
        <f t="shared" si="37"/>
        <v/>
      </c>
      <c r="AH18" s="3" t="str">
        <f t="shared" si="10"/>
        <v/>
      </c>
      <c r="AI18" s="26" t="str">
        <f>IF(AB18&gt;0,HLOOKUP(AH18,AC18:AG39,4,FALSE),"")</f>
        <v/>
      </c>
      <c r="AJ18" s="3"/>
      <c r="AK18" s="3"/>
      <c r="AL18" s="25">
        <f t="shared" si="11"/>
        <v>0</v>
      </c>
      <c r="AM18" s="25">
        <f t="shared" si="12"/>
        <v>0</v>
      </c>
      <c r="AN18" s="25">
        <f t="shared" si="23"/>
        <v>0</v>
      </c>
      <c r="AO18" s="25">
        <f t="shared" si="13"/>
        <v>0</v>
      </c>
      <c r="AP18" s="3"/>
      <c r="AQ18" s="25">
        <f t="shared" si="14"/>
        <v>0</v>
      </c>
      <c r="AR18" s="3" t="str">
        <f t="shared" ref="AR18:AV18" si="38">IF(C18&gt;0,AR$21-$AQ18*FLOOR(AR$21/$AQ18,1),"")</f>
        <v/>
      </c>
      <c r="AS18" s="3" t="str">
        <f t="shared" si="38"/>
        <v/>
      </c>
      <c r="AT18" s="3" t="str">
        <f t="shared" si="38"/>
        <v/>
      </c>
      <c r="AU18" s="3" t="str">
        <f t="shared" si="38"/>
        <v/>
      </c>
      <c r="AV18" s="3" t="str">
        <f t="shared" si="38"/>
        <v/>
      </c>
      <c r="AW18" s="3" t="str">
        <f t="shared" si="16"/>
        <v/>
      </c>
      <c r="AX18" s="26" t="str">
        <f>IF(AQ18&gt;0,HLOOKUP(AW18,AR18:AV39,4,FALSE),"")</f>
        <v/>
      </c>
      <c r="AY18" s="3" t="str">
        <f t="shared" si="29"/>
        <v/>
      </c>
      <c r="AZ18" s="3" t="str">
        <f>IF(AQ18&gt;0,HLOOKUP(AY18,AR18:AV39,4,FALSE),"")</f>
        <v/>
      </c>
      <c r="BA18" s="3"/>
      <c r="BB18" s="3"/>
      <c r="BC18" s="3"/>
      <c r="BD18" s="3"/>
      <c r="BE18" s="25">
        <f t="shared" si="17"/>
        <v>0</v>
      </c>
      <c r="BF18" s="25">
        <f t="shared" si="18"/>
        <v>0</v>
      </c>
      <c r="BG18" s="25">
        <f t="shared" si="19"/>
        <v>0</v>
      </c>
      <c r="BH18" s="25">
        <f t="shared" si="20"/>
        <v>0</v>
      </c>
      <c r="BI18" s="25">
        <f t="shared" si="21"/>
        <v>0</v>
      </c>
    </row>
    <row r="19" spans="1:61" ht="16.5" customHeight="1">
      <c r="A19" s="3"/>
      <c r="B19" s="215" t="s">
        <v>170</v>
      </c>
      <c r="C19" s="216"/>
      <c r="D19" s="216"/>
      <c r="E19" s="216"/>
      <c r="F19" s="421"/>
      <c r="G19" s="217"/>
      <c r="H19" s="422"/>
      <c r="I19" s="219"/>
      <c r="J19" s="220" t="str">
        <f t="shared" si="0"/>
        <v/>
      </c>
      <c r="K19" s="221">
        <f t="shared" si="1"/>
        <v>0</v>
      </c>
      <c r="L19" s="222"/>
      <c r="M19" s="223"/>
      <c r="N19" s="224"/>
      <c r="O19" s="220" t="str">
        <f t="shared" si="2"/>
        <v/>
      </c>
      <c r="P19" s="221">
        <f t="shared" si="3"/>
        <v>0</v>
      </c>
      <c r="Q19" s="222"/>
      <c r="R19" s="223"/>
      <c r="S19" s="23"/>
      <c r="T19" s="23"/>
      <c r="U19" s="23"/>
      <c r="V19" s="23"/>
      <c r="W19" s="23"/>
      <c r="X19" s="24" t="str">
        <f t="shared" si="4"/>
        <v/>
      </c>
      <c r="Y19" s="25" t="str">
        <f t="shared" si="5"/>
        <v/>
      </c>
      <c r="Z19" s="24" t="str">
        <f t="shared" si="36"/>
        <v/>
      </c>
      <c r="AA19" s="24" t="str">
        <f t="shared" si="7"/>
        <v/>
      </c>
      <c r="AB19" s="25">
        <f t="shared" si="8"/>
        <v>0</v>
      </c>
      <c r="AC19" s="3" t="str">
        <f t="shared" ref="AC19:AG19" si="39">IF(C19&gt;0,AC$21-$AB19*FLOOR(AC$21/$AB19,1),"")</f>
        <v/>
      </c>
      <c r="AD19" s="3" t="str">
        <f t="shared" si="39"/>
        <v/>
      </c>
      <c r="AE19" s="3" t="str">
        <f t="shared" si="39"/>
        <v/>
      </c>
      <c r="AF19" s="3" t="str">
        <f t="shared" si="39"/>
        <v/>
      </c>
      <c r="AG19" s="3" t="str">
        <f t="shared" si="39"/>
        <v/>
      </c>
      <c r="AH19" s="3" t="str">
        <f t="shared" si="10"/>
        <v/>
      </c>
      <c r="AI19" s="26" t="str">
        <f>IF(AB19&gt;0,HLOOKUP(AH19,AC19:AG41,3,FALSE),"")</f>
        <v/>
      </c>
      <c r="AJ19" s="3"/>
      <c r="AK19" s="3"/>
      <c r="AL19" s="25">
        <f t="shared" si="11"/>
        <v>0</v>
      </c>
      <c r="AM19" s="25">
        <f t="shared" si="12"/>
        <v>0</v>
      </c>
      <c r="AN19" s="25">
        <f t="shared" si="23"/>
        <v>0</v>
      </c>
      <c r="AO19" s="25">
        <f t="shared" si="13"/>
        <v>0</v>
      </c>
      <c r="AP19" s="3"/>
      <c r="AQ19" s="25">
        <f t="shared" si="14"/>
        <v>0</v>
      </c>
      <c r="AR19" s="3" t="str">
        <f t="shared" ref="AR19:AV19" si="40">IF(C19&gt;0,AR$21-$AQ19*FLOOR(AR$21/$AQ19,1),"")</f>
        <v/>
      </c>
      <c r="AS19" s="3" t="str">
        <f t="shared" si="40"/>
        <v/>
      </c>
      <c r="AT19" s="3" t="str">
        <f t="shared" si="40"/>
        <v/>
      </c>
      <c r="AU19" s="3" t="str">
        <f t="shared" si="40"/>
        <v/>
      </c>
      <c r="AV19" s="3" t="str">
        <f t="shared" si="40"/>
        <v/>
      </c>
      <c r="AW19" s="3" t="str">
        <f t="shared" si="16"/>
        <v/>
      </c>
      <c r="AX19" s="26" t="str">
        <f>IF(AQ19&gt;0,HLOOKUP(AW19,AR19:AV41,3,FALSE),"")</f>
        <v/>
      </c>
      <c r="AY19" s="3" t="str">
        <f t="shared" si="29"/>
        <v/>
      </c>
      <c r="AZ19" s="3" t="str">
        <f>IF(AQ19&gt;0,HLOOKUP(AY19,AR19:AV41,3,FALSE),"")</f>
        <v/>
      </c>
      <c r="BA19" s="3"/>
      <c r="BB19" s="3"/>
      <c r="BC19" s="3"/>
      <c r="BD19" s="3"/>
      <c r="BE19" s="25">
        <f t="shared" si="17"/>
        <v>0</v>
      </c>
      <c r="BF19" s="25">
        <f t="shared" si="18"/>
        <v>0</v>
      </c>
      <c r="BG19" s="25">
        <f t="shared" si="19"/>
        <v>0</v>
      </c>
      <c r="BH19" s="25">
        <f t="shared" si="20"/>
        <v>0</v>
      </c>
      <c r="BI19" s="25">
        <f t="shared" si="21"/>
        <v>0</v>
      </c>
    </row>
    <row r="20" spans="1:61" ht="16.5" customHeight="1">
      <c r="A20" s="3"/>
      <c r="B20" s="225" t="s">
        <v>171</v>
      </c>
      <c r="C20" s="226"/>
      <c r="D20" s="226"/>
      <c r="E20" s="226"/>
      <c r="F20" s="423"/>
      <c r="G20" s="227"/>
      <c r="H20" s="424"/>
      <c r="I20" s="229"/>
      <c r="J20" s="230" t="str">
        <f t="shared" si="0"/>
        <v/>
      </c>
      <c r="K20" s="231">
        <f t="shared" si="1"/>
        <v>0</v>
      </c>
      <c r="L20" s="232"/>
      <c r="M20" s="233"/>
      <c r="N20" s="234"/>
      <c r="O20" s="230" t="str">
        <f t="shared" si="2"/>
        <v/>
      </c>
      <c r="P20" s="231">
        <f t="shared" si="3"/>
        <v>0</v>
      </c>
      <c r="Q20" s="232"/>
      <c r="R20" s="233"/>
      <c r="S20" s="23"/>
      <c r="T20" s="23"/>
      <c r="U20" s="23"/>
      <c r="V20" s="23"/>
      <c r="W20" s="23"/>
      <c r="X20" s="24" t="str">
        <f t="shared" si="4"/>
        <v/>
      </c>
      <c r="Y20" s="25" t="str">
        <f t="shared" si="5"/>
        <v/>
      </c>
      <c r="Z20" s="24" t="str">
        <f t="shared" si="36"/>
        <v/>
      </c>
      <c r="AA20" s="24" t="str">
        <f t="shared" si="7"/>
        <v/>
      </c>
      <c r="AB20" s="25">
        <f t="shared" si="8"/>
        <v>0</v>
      </c>
      <c r="AC20" s="3" t="str">
        <f t="shared" ref="AC20:AG20" si="41">IF(C20&gt;0,AC$21-$AB20*FLOOR(AC$21/$AB20,1),"")</f>
        <v/>
      </c>
      <c r="AD20" s="3" t="str">
        <f t="shared" si="41"/>
        <v/>
      </c>
      <c r="AE20" s="3" t="str">
        <f t="shared" si="41"/>
        <v/>
      </c>
      <c r="AF20" s="3" t="str">
        <f t="shared" si="41"/>
        <v/>
      </c>
      <c r="AG20" s="3" t="str">
        <f t="shared" si="41"/>
        <v/>
      </c>
      <c r="AH20" s="3" t="str">
        <f t="shared" si="10"/>
        <v/>
      </c>
      <c r="AI20" s="26" t="str">
        <f>IF(AB20&gt;0,HLOOKUP(AH20,AC20:AG43,2,FALSE),"")</f>
        <v/>
      </c>
      <c r="AJ20" s="3"/>
      <c r="AK20" s="3"/>
      <c r="AL20" s="25">
        <f t="shared" si="11"/>
        <v>0</v>
      </c>
      <c r="AM20" s="25">
        <f t="shared" si="12"/>
        <v>0</v>
      </c>
      <c r="AN20" s="25">
        <f t="shared" si="23"/>
        <v>0</v>
      </c>
      <c r="AO20" s="25">
        <f t="shared" si="13"/>
        <v>0</v>
      </c>
      <c r="AP20" s="3"/>
      <c r="AQ20" s="25">
        <f t="shared" si="14"/>
        <v>0</v>
      </c>
      <c r="AR20" s="3" t="str">
        <f t="shared" ref="AR20:AV20" si="42">IF(C20&gt;0,AR$21-$AQ20*FLOOR(AR$21/$AQ20,1),"")</f>
        <v/>
      </c>
      <c r="AS20" s="3" t="str">
        <f t="shared" si="42"/>
        <v/>
      </c>
      <c r="AT20" s="3" t="str">
        <f t="shared" si="42"/>
        <v/>
      </c>
      <c r="AU20" s="3" t="str">
        <f t="shared" si="42"/>
        <v/>
      </c>
      <c r="AV20" s="3" t="str">
        <f t="shared" si="42"/>
        <v/>
      </c>
      <c r="AW20" s="3" t="str">
        <f t="shared" si="16"/>
        <v/>
      </c>
      <c r="AX20" s="26" t="str">
        <f>IF(AQ20&gt;0,HLOOKUP(AW20,AR20:AV43,2,FALSE),"")</f>
        <v/>
      </c>
      <c r="AY20" s="3" t="str">
        <f t="shared" si="29"/>
        <v/>
      </c>
      <c r="AZ20" s="3" t="str">
        <f>IF(AQ20&gt;0,HLOOKUP(AY20,AR20:AV43,2,FALSE),"")</f>
        <v/>
      </c>
      <c r="BA20" s="3"/>
      <c r="BB20" s="3"/>
      <c r="BC20" s="3"/>
      <c r="BD20" s="3"/>
      <c r="BE20" s="25">
        <f t="shared" si="17"/>
        <v>0</v>
      </c>
      <c r="BF20" s="25">
        <f t="shared" si="18"/>
        <v>0</v>
      </c>
      <c r="BG20" s="25">
        <f t="shared" si="19"/>
        <v>0</v>
      </c>
      <c r="BH20" s="25">
        <f t="shared" si="20"/>
        <v>0</v>
      </c>
      <c r="BI20" s="25">
        <f t="shared" si="21"/>
        <v>0</v>
      </c>
    </row>
    <row r="21" spans="1:61" ht="16.5" customHeight="1">
      <c r="A21" s="3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3"/>
      <c r="T21" s="3"/>
      <c r="U21" s="3"/>
      <c r="V21" s="3"/>
      <c r="W21" s="3"/>
      <c r="X21" s="24">
        <f t="shared" ref="X21:Y21" si="43">SUM(X11:X17)</f>
        <v>285.21578184877353</v>
      </c>
      <c r="Y21" s="24">
        <f t="shared" si="43"/>
        <v>168.53659836518437</v>
      </c>
      <c r="Z21" s="3"/>
      <c r="AA21" s="3"/>
      <c r="AB21" s="3"/>
      <c r="AC21" s="3">
        <v>6</v>
      </c>
      <c r="AD21" s="3">
        <f t="shared" ref="AD21:AG21" si="44">AC21+1.5</f>
        <v>7.5</v>
      </c>
      <c r="AE21" s="3">
        <f t="shared" si="44"/>
        <v>9</v>
      </c>
      <c r="AF21" s="3">
        <f t="shared" si="44"/>
        <v>10.5</v>
      </c>
      <c r="AG21" s="3">
        <f t="shared" si="44"/>
        <v>12</v>
      </c>
      <c r="AH21" s="3"/>
      <c r="AI21" s="26"/>
      <c r="AJ21" s="3"/>
      <c r="AK21" s="3"/>
      <c r="AL21" s="25">
        <f t="shared" ref="AL21:AN21" si="45">SUM(AL11:AL20)</f>
        <v>4.1458500000000003</v>
      </c>
      <c r="AM21" s="25" t="e">
        <f t="shared" si="45"/>
        <v>#VALUE!</v>
      </c>
      <c r="AN21" s="25" t="e">
        <f t="shared" si="45"/>
        <v>#VALUE!</v>
      </c>
      <c r="AO21" s="25"/>
      <c r="AP21" s="3"/>
      <c r="AQ21" s="3"/>
      <c r="AR21" s="3">
        <v>6</v>
      </c>
      <c r="AS21" s="3">
        <f t="shared" ref="AS21:AV21" si="46">AR21+1.5</f>
        <v>7.5</v>
      </c>
      <c r="AT21" s="3">
        <f t="shared" si="46"/>
        <v>9</v>
      </c>
      <c r="AU21" s="3">
        <f t="shared" si="46"/>
        <v>10.5</v>
      </c>
      <c r="AV21" s="3">
        <f t="shared" si="46"/>
        <v>12</v>
      </c>
      <c r="AW21" s="3"/>
      <c r="AX21" s="3"/>
      <c r="AY21" s="3"/>
      <c r="AZ21" s="3"/>
      <c r="BA21" s="3"/>
      <c r="BB21" s="3"/>
      <c r="BC21" s="3"/>
      <c r="BD21" s="3"/>
      <c r="BE21" s="25">
        <f>SUM(BE11:BE20)</f>
        <v>33.166800000000002</v>
      </c>
      <c r="BF21" s="25">
        <f t="shared" ref="BF21:BI21" si="47">CEILING(SUM(BF11:BF20),1)</f>
        <v>12</v>
      </c>
      <c r="BG21" s="25">
        <f t="shared" si="47"/>
        <v>51</v>
      </c>
      <c r="BH21" s="25">
        <f t="shared" si="47"/>
        <v>4</v>
      </c>
      <c r="BI21" s="25">
        <f t="shared" si="47"/>
        <v>2</v>
      </c>
    </row>
    <row r="22" spans="1:61" ht="16.5" customHeight="1">
      <c r="A22" s="3"/>
      <c r="B22" s="174"/>
      <c r="C22" s="174"/>
      <c r="D22" s="174"/>
      <c r="E22" s="174"/>
      <c r="F22" s="235" t="s">
        <v>53</v>
      </c>
      <c r="G22" s="172"/>
      <c r="H22" s="172"/>
      <c r="I22" s="172"/>
      <c r="J22" s="172"/>
      <c r="K22" s="173"/>
      <c r="L22" s="174"/>
      <c r="M22" s="174"/>
      <c r="N22" s="174"/>
      <c r="O22" s="174"/>
      <c r="P22" s="174"/>
      <c r="Q22" s="174"/>
      <c r="R22" s="174"/>
      <c r="S22" s="3"/>
      <c r="T22" s="3"/>
      <c r="U22" s="3"/>
      <c r="V22" s="3"/>
      <c r="W22" s="3"/>
      <c r="X22" s="24">
        <f>X21+Y21</f>
        <v>453.75238021395791</v>
      </c>
      <c r="Y22" s="2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25">
        <f>VLOOKUP(G8,AJ11:AK14,2,FALSE)</f>
        <v>12</v>
      </c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25"/>
      <c r="BF22" s="25"/>
      <c r="BG22" s="25"/>
      <c r="BH22" s="25"/>
      <c r="BI22" s="25"/>
    </row>
    <row r="23" spans="1:61" ht="16.5" customHeight="1">
      <c r="A23" s="3"/>
      <c r="B23" s="174"/>
      <c r="C23" s="174"/>
      <c r="D23" s="174"/>
      <c r="E23" s="174"/>
      <c r="F23" s="236"/>
      <c r="G23" s="237"/>
      <c r="H23" s="237"/>
      <c r="I23" s="237"/>
      <c r="J23" s="237"/>
      <c r="K23" s="238"/>
      <c r="L23" s="174"/>
      <c r="M23" s="174"/>
      <c r="N23" s="174"/>
      <c r="O23" s="174"/>
      <c r="P23" s="174"/>
      <c r="Q23" s="174"/>
      <c r="R23" s="174"/>
      <c r="S23" s="3"/>
      <c r="T23" s="3"/>
      <c r="U23" s="3"/>
      <c r="V23" s="3"/>
      <c r="W23" s="3"/>
      <c r="X23" s="23" t="s">
        <v>30</v>
      </c>
      <c r="Y23" s="24">
        <f>CEILING(0.013*X22,0.5)</f>
        <v>6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 t="s">
        <v>54</v>
      </c>
      <c r="AL23" s="3">
        <f>CEILING(AL22*AL21,1)</f>
        <v>50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25"/>
      <c r="BF23" s="25"/>
      <c r="BG23" s="25"/>
      <c r="BH23" s="25"/>
      <c r="BI23" s="25"/>
    </row>
    <row r="24" spans="1:61" ht="16.5" customHeight="1">
      <c r="A24" s="3"/>
      <c r="B24" s="174"/>
      <c r="C24" s="174"/>
      <c r="D24" s="174"/>
      <c r="E24" s="174"/>
      <c r="F24" s="239" t="s">
        <v>1</v>
      </c>
      <c r="G24" s="239" t="s">
        <v>55</v>
      </c>
      <c r="H24" s="239" t="s">
        <v>56</v>
      </c>
      <c r="I24" s="239" t="s">
        <v>57</v>
      </c>
      <c r="J24" s="239" t="s">
        <v>58</v>
      </c>
      <c r="K24" s="239" t="s">
        <v>59</v>
      </c>
      <c r="L24" s="174"/>
      <c r="M24" s="174"/>
      <c r="N24" s="174"/>
      <c r="O24" s="174"/>
      <c r="P24" s="174"/>
      <c r="Q24" s="174"/>
      <c r="R24" s="17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 t="s">
        <v>60</v>
      </c>
      <c r="AL24" s="25">
        <f>AL21/2</f>
        <v>2.0729250000000001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25"/>
      <c r="BF24" s="25"/>
      <c r="BG24" s="25"/>
      <c r="BH24" s="25"/>
      <c r="BI24" s="25"/>
    </row>
    <row r="25" spans="1:61" ht="16.5" customHeight="1">
      <c r="A25" s="3"/>
      <c r="B25" s="174"/>
      <c r="C25" s="174"/>
      <c r="D25" s="174"/>
      <c r="E25" s="174"/>
      <c r="F25" s="240"/>
      <c r="G25" s="241" t="str">
        <f>'Materials Price List'!A8</f>
        <v>Cement</v>
      </c>
      <c r="H25" s="241">
        <f t="shared" ref="H25:H27" si="48">AL23</f>
        <v>50</v>
      </c>
      <c r="I25" s="242" t="s">
        <v>61</v>
      </c>
      <c r="J25" s="243">
        <f>IF(H25="","",VLOOKUP(G25,'Materials Price List'!$A$8:$B$46,2,FALSE))</f>
        <v>220</v>
      </c>
      <c r="K25" s="243">
        <f t="shared" ref="K25:K52" si="49">IF(H25="","",H25*J25)</f>
        <v>11000</v>
      </c>
      <c r="L25" s="174"/>
      <c r="M25" s="174"/>
      <c r="N25" s="174"/>
      <c r="O25" s="174"/>
      <c r="P25" s="174"/>
      <c r="Q25" s="174"/>
      <c r="R25" s="17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 t="s">
        <v>62</v>
      </c>
      <c r="AL25" s="25">
        <f>AL21</f>
        <v>4.1458500000000003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25"/>
      <c r="BF25" s="25"/>
      <c r="BG25" s="25"/>
      <c r="BH25" s="25"/>
      <c r="BI25" s="25"/>
    </row>
    <row r="26" spans="1:61" ht="16.5" customHeight="1">
      <c r="A26" s="3"/>
      <c r="B26" s="174"/>
      <c r="C26" s="174"/>
      <c r="D26" s="174"/>
      <c r="E26" s="174"/>
      <c r="F26" s="240"/>
      <c r="G26" s="241" t="str">
        <f>'Materials Price List'!A9</f>
        <v>Sand</v>
      </c>
      <c r="H26" s="242">
        <f t="shared" si="48"/>
        <v>2.0729250000000001</v>
      </c>
      <c r="I26" s="241" t="s">
        <v>63</v>
      </c>
      <c r="J26" s="243">
        <f>IF(H26="","",VLOOKUP(G26,'Materials Price List'!$A$8:$B$46,2,FALSE))</f>
        <v>875</v>
      </c>
      <c r="K26" s="243">
        <f t="shared" si="49"/>
        <v>1813.809375</v>
      </c>
      <c r="L26" s="174"/>
      <c r="M26" s="174"/>
      <c r="N26" s="174"/>
      <c r="O26" s="174"/>
      <c r="P26" s="174"/>
      <c r="Q26" s="174"/>
      <c r="R26" s="17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25"/>
      <c r="BF26" s="25"/>
      <c r="BG26" s="25"/>
      <c r="BH26" s="25"/>
      <c r="BI26" s="25"/>
    </row>
    <row r="27" spans="1:61" ht="16.5" customHeight="1">
      <c r="A27" s="3"/>
      <c r="B27" s="174"/>
      <c r="C27" s="174"/>
      <c r="D27" s="174"/>
      <c r="E27" s="174"/>
      <c r="F27" s="240"/>
      <c r="G27" s="241" t="str">
        <f>'Materials Price List'!A10</f>
        <v>Gravel</v>
      </c>
      <c r="H27" s="242">
        <f t="shared" si="48"/>
        <v>4.1458500000000003</v>
      </c>
      <c r="I27" s="241" t="s">
        <v>63</v>
      </c>
      <c r="J27" s="243">
        <f>IF(H27="","",VLOOKUP(G27,'Materials Price List'!$A$8:$B$46,2,FALSE))</f>
        <v>1875</v>
      </c>
      <c r="K27" s="243">
        <f t="shared" si="49"/>
        <v>7773.4687500000009</v>
      </c>
      <c r="L27" s="174"/>
      <c r="M27" s="174"/>
      <c r="N27" s="174"/>
      <c r="O27" s="174"/>
      <c r="P27" s="174"/>
      <c r="Q27" s="174"/>
      <c r="R27" s="17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25"/>
      <c r="BF27" s="25"/>
      <c r="BG27" s="25"/>
      <c r="BH27" s="25"/>
      <c r="BI27" s="25"/>
    </row>
    <row r="28" spans="1:61" ht="16.5" customHeight="1">
      <c r="A28" s="3"/>
      <c r="B28" s="174"/>
      <c r="C28" s="174"/>
      <c r="D28" s="174"/>
      <c r="E28" s="174"/>
      <c r="F28" s="240"/>
      <c r="G28" s="241" t="s">
        <v>30</v>
      </c>
      <c r="H28" s="242">
        <f>Y23</f>
        <v>6</v>
      </c>
      <c r="I28" s="241" t="s">
        <v>64</v>
      </c>
      <c r="J28" s="243">
        <f>IF(H28="","",VLOOKUP(G28,'Materials Price List'!$A$8:$B$46,2,FALSE))</f>
        <v>95</v>
      </c>
      <c r="K28" s="243">
        <f t="shared" si="49"/>
        <v>570</v>
      </c>
      <c r="L28" s="174"/>
      <c r="M28" s="174"/>
      <c r="N28" s="174"/>
      <c r="O28" s="174"/>
      <c r="P28" s="174"/>
      <c r="Q28" s="174"/>
      <c r="R28" s="17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25"/>
      <c r="BF28" s="25"/>
      <c r="BG28" s="25"/>
      <c r="BH28" s="25"/>
      <c r="BI28" s="25"/>
    </row>
    <row r="29" spans="1:61" ht="16.5" customHeight="1">
      <c r="A29" s="3"/>
      <c r="B29" s="174"/>
      <c r="C29" s="174"/>
      <c r="D29" s="174"/>
      <c r="E29" s="174"/>
      <c r="F29" s="240"/>
      <c r="G29" s="241" t="str">
        <f>'Materials Price List'!A54</f>
        <v>3/4" Phenolic Board</v>
      </c>
      <c r="H29" s="242">
        <f>IF(H11="Suspended",BF21,"")</f>
        <v>12</v>
      </c>
      <c r="I29" s="241" t="s">
        <v>120</v>
      </c>
      <c r="J29" s="243">
        <f>IF(H29="","",VLOOKUP(G29,'Materials Price List'!$A$8:$B$419,2,FALSE))</f>
        <v>1200</v>
      </c>
      <c r="K29" s="243">
        <f t="shared" si="49"/>
        <v>14400</v>
      </c>
      <c r="L29" s="174"/>
      <c r="M29" s="174"/>
      <c r="N29" s="174"/>
      <c r="O29" s="174"/>
      <c r="P29" s="174"/>
      <c r="Q29" s="174"/>
      <c r="R29" s="17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25"/>
      <c r="BF29" s="25"/>
      <c r="BG29" s="25"/>
      <c r="BH29" s="25"/>
      <c r="BI29" s="25"/>
    </row>
    <row r="30" spans="1:61" ht="16.5" customHeight="1">
      <c r="A30" s="3"/>
      <c r="B30" s="174"/>
      <c r="C30" s="174"/>
      <c r="D30" s="174"/>
      <c r="E30" s="174"/>
      <c r="F30" s="240"/>
      <c r="G30" s="241" t="str">
        <f>'Materials Price List'!A53</f>
        <v>2x2x12 Good Lumber</v>
      </c>
      <c r="H30" s="242">
        <f>IF(H11="Suspended",BG21,"")</f>
        <v>51</v>
      </c>
      <c r="I30" s="241" t="s">
        <v>120</v>
      </c>
      <c r="J30" s="243">
        <f>IF(H30="","",VLOOKUP(G30,'Materials Price List'!$A$8:$B$419,2,FALSE))</f>
        <v>320</v>
      </c>
      <c r="K30" s="243">
        <f t="shared" si="49"/>
        <v>16320</v>
      </c>
      <c r="L30" s="174"/>
      <c r="M30" s="174"/>
      <c r="N30" s="174"/>
      <c r="O30" s="174"/>
      <c r="P30" s="174"/>
      <c r="Q30" s="174"/>
      <c r="R30" s="17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25"/>
      <c r="BF30" s="25"/>
      <c r="BG30" s="25"/>
      <c r="BH30" s="25"/>
      <c r="BI30" s="25"/>
    </row>
    <row r="31" spans="1:61" ht="16.5" customHeight="1">
      <c r="A31" s="3"/>
      <c r="B31" s="174"/>
      <c r="C31" s="174"/>
      <c r="D31" s="174"/>
      <c r="E31" s="174"/>
      <c r="F31" s="240"/>
      <c r="G31" s="241" t="str">
        <f>'Materials Price List'!A56</f>
        <v>Common Nail 3"</v>
      </c>
      <c r="H31" s="242">
        <f>IF(H11="Suspended",BH21,"")</f>
        <v>4</v>
      </c>
      <c r="I31" s="241" t="s">
        <v>64</v>
      </c>
      <c r="J31" s="243">
        <f>IF(H31="","",VLOOKUP(G31,'Materials Price List'!$A$8:$B$419,2,FALSE))</f>
        <v>90</v>
      </c>
      <c r="K31" s="243">
        <f t="shared" si="49"/>
        <v>360</v>
      </c>
      <c r="L31" s="174"/>
      <c r="M31" s="174"/>
      <c r="N31" s="174"/>
      <c r="O31" s="174"/>
      <c r="P31" s="174"/>
      <c r="Q31" s="174"/>
      <c r="R31" s="174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25"/>
      <c r="BF31" s="25"/>
      <c r="BG31" s="25"/>
      <c r="BH31" s="25"/>
      <c r="BI31" s="25"/>
    </row>
    <row r="32" spans="1:61" ht="16.5" customHeight="1">
      <c r="A32" s="3"/>
      <c r="B32" s="174"/>
      <c r="C32" s="174"/>
      <c r="D32" s="174"/>
      <c r="E32" s="174"/>
      <c r="F32" s="240"/>
      <c r="G32" s="241" t="str">
        <f>'Materials Price List'!A55</f>
        <v>Common Nail 2"</v>
      </c>
      <c r="H32" s="242">
        <f>IF(H11="Suspended",BI21,"")</f>
        <v>2</v>
      </c>
      <c r="I32" s="241" t="s">
        <v>64</v>
      </c>
      <c r="J32" s="243">
        <f>IF(H32="","",VLOOKUP(G32,'Materials Price List'!$A$8:$B$419,2,FALSE))</f>
        <v>90</v>
      </c>
      <c r="K32" s="243">
        <f t="shared" si="49"/>
        <v>180</v>
      </c>
      <c r="L32" s="174"/>
      <c r="M32" s="174"/>
      <c r="N32" s="174"/>
      <c r="O32" s="174"/>
      <c r="P32" s="174"/>
      <c r="Q32" s="174"/>
      <c r="R32" s="174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25"/>
      <c r="BF32" s="25"/>
      <c r="BG32" s="25"/>
      <c r="BH32" s="25"/>
      <c r="BI32" s="25"/>
    </row>
    <row r="33" spans="1:61" ht="16.5" customHeight="1">
      <c r="A33" s="37"/>
      <c r="B33" s="244"/>
      <c r="C33" s="244"/>
      <c r="D33" s="244"/>
      <c r="E33" s="244"/>
      <c r="F33" s="245" t="str">
        <f>IF(C11&gt;0,B11,"")</f>
        <v>S-1</v>
      </c>
      <c r="G33" s="246" t="str">
        <f>IF(C11&gt;0,CONCATENATE(I11," X ",J11,"m"),"")</f>
        <v>10mm Ø X 10.5m</v>
      </c>
      <c r="H33" s="247">
        <f>Z11</f>
        <v>22</v>
      </c>
      <c r="I33" s="247" t="str">
        <f t="shared" ref="I33:I52" si="50">IF(H33="","","pcs")</f>
        <v>pcs</v>
      </c>
      <c r="J33" s="248">
        <f>IF(H33="","",VLOOKUP(G33,'Materials Price List'!$A$12:$B$46,2))</f>
        <v>288.16901408450707</v>
      </c>
      <c r="K33" s="248">
        <f t="shared" si="49"/>
        <v>6339.7183098591559</v>
      </c>
      <c r="L33" s="244"/>
      <c r="M33" s="244"/>
      <c r="N33" s="244"/>
      <c r="O33" s="244"/>
      <c r="P33" s="244"/>
      <c r="Q33" s="244"/>
      <c r="R33" s="244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86"/>
      <c r="BF33" s="86"/>
      <c r="BG33" s="86"/>
      <c r="BH33" s="86"/>
      <c r="BI33" s="86"/>
    </row>
    <row r="34" spans="1:61" ht="16.5" customHeight="1">
      <c r="A34" s="37"/>
      <c r="B34" s="244"/>
      <c r="C34" s="244"/>
      <c r="D34" s="244"/>
      <c r="E34" s="244"/>
      <c r="F34" s="249" t="str">
        <f>F33</f>
        <v>S-1</v>
      </c>
      <c r="G34" s="246" t="str">
        <f>IF(C11&gt;0,CONCATENATE(N11," X ",O11,"m"),"")</f>
        <v>10mm Ø X 10.5m</v>
      </c>
      <c r="H34" s="247">
        <f>AA11</f>
        <v>13</v>
      </c>
      <c r="I34" s="247" t="str">
        <f t="shared" si="50"/>
        <v>pcs</v>
      </c>
      <c r="J34" s="248">
        <f>IF(H34="","",VLOOKUP(G34,'Materials Price List'!$A$12:$B$46,2))</f>
        <v>288.16901408450707</v>
      </c>
      <c r="K34" s="248">
        <f t="shared" si="49"/>
        <v>3746.1971830985917</v>
      </c>
      <c r="L34" s="244"/>
      <c r="M34" s="244"/>
      <c r="N34" s="244"/>
      <c r="O34" s="244"/>
      <c r="P34" s="244"/>
      <c r="Q34" s="244"/>
      <c r="R34" s="244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86"/>
      <c r="BF34" s="86"/>
      <c r="BG34" s="86"/>
      <c r="BH34" s="86"/>
      <c r="BI34" s="86"/>
    </row>
    <row r="35" spans="1:61" ht="16.5" customHeight="1">
      <c r="A35" s="37"/>
      <c r="B35" s="244"/>
      <c r="C35" s="244"/>
      <c r="D35" s="244"/>
      <c r="E35" s="244"/>
      <c r="F35" s="245" t="str">
        <f>IF(C12&gt;0,B12,"")</f>
        <v>S-2</v>
      </c>
      <c r="G35" s="246" t="str">
        <f>IF(C12&gt;0,CONCATENATE(I12," X ",J12,"m"),"")</f>
        <v>10mm Ø X 10.5m</v>
      </c>
      <c r="H35" s="247">
        <f>Z12</f>
        <v>22</v>
      </c>
      <c r="I35" s="247" t="str">
        <f t="shared" si="50"/>
        <v>pcs</v>
      </c>
      <c r="J35" s="248">
        <f>IF(H35="","",VLOOKUP(G35,'Materials Price List'!$A$12:$B$46,2))</f>
        <v>288.16901408450707</v>
      </c>
      <c r="K35" s="248">
        <f t="shared" si="49"/>
        <v>6339.7183098591559</v>
      </c>
      <c r="L35" s="244"/>
      <c r="M35" s="244"/>
      <c r="N35" s="244"/>
      <c r="O35" s="244"/>
      <c r="P35" s="244"/>
      <c r="Q35" s="244"/>
      <c r="R35" s="244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86"/>
      <c r="BF35" s="86"/>
      <c r="BG35" s="86"/>
      <c r="BH35" s="86"/>
      <c r="BI35" s="86"/>
    </row>
    <row r="36" spans="1:61" ht="16.5" customHeight="1">
      <c r="A36" s="37"/>
      <c r="B36" s="244"/>
      <c r="C36" s="244"/>
      <c r="D36" s="244"/>
      <c r="E36" s="244"/>
      <c r="F36" s="249" t="str">
        <f>F35</f>
        <v>S-2</v>
      </c>
      <c r="G36" s="246" t="str">
        <f>IF(C12&gt;0,CONCATENATE(N12," X ",O12,"m"),"")</f>
        <v>10mm Ø X 10.5m</v>
      </c>
      <c r="H36" s="247">
        <f>AA12</f>
        <v>13</v>
      </c>
      <c r="I36" s="247" t="str">
        <f t="shared" si="50"/>
        <v>pcs</v>
      </c>
      <c r="J36" s="248">
        <f>IF(H36="","",VLOOKUP(G36,'Materials Price List'!$A$12:$B$46,2))</f>
        <v>288.16901408450707</v>
      </c>
      <c r="K36" s="248">
        <f t="shared" si="49"/>
        <v>3746.1971830985917</v>
      </c>
      <c r="L36" s="244"/>
      <c r="M36" s="244"/>
      <c r="N36" s="244"/>
      <c r="O36" s="244"/>
      <c r="P36" s="244"/>
      <c r="Q36" s="244"/>
      <c r="R36" s="244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86"/>
      <c r="BF36" s="86"/>
      <c r="BG36" s="86"/>
      <c r="BH36" s="86"/>
      <c r="BI36" s="86"/>
    </row>
    <row r="37" spans="1:61" ht="16.5" customHeight="1">
      <c r="A37" s="37"/>
      <c r="B37" s="244"/>
      <c r="C37" s="244"/>
      <c r="D37" s="244"/>
      <c r="E37" s="244"/>
      <c r="F37" s="245" t="str">
        <f>IF(C13&gt;0,B13,"")</f>
        <v/>
      </c>
      <c r="G37" s="246" t="str">
        <f>IF(C13&gt;0,CONCATENATE(I13," X ",J13,"m"),"")</f>
        <v/>
      </c>
      <c r="H37" s="247" t="str">
        <f>Z13</f>
        <v/>
      </c>
      <c r="I37" s="247" t="str">
        <f t="shared" si="50"/>
        <v/>
      </c>
      <c r="J37" s="248" t="str">
        <f>IF(H37="","",VLOOKUP(G37,'Materials Price List'!$A$12:$B$46,2))</f>
        <v/>
      </c>
      <c r="K37" s="248" t="str">
        <f t="shared" si="49"/>
        <v/>
      </c>
      <c r="L37" s="244"/>
      <c r="M37" s="244"/>
      <c r="N37" s="244"/>
      <c r="O37" s="244"/>
      <c r="P37" s="244"/>
      <c r="Q37" s="244"/>
      <c r="R37" s="244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86"/>
      <c r="BF37" s="86"/>
      <c r="BG37" s="86"/>
      <c r="BH37" s="86"/>
      <c r="BI37" s="86"/>
    </row>
    <row r="38" spans="1:61" ht="16.5" customHeight="1">
      <c r="A38" s="37"/>
      <c r="B38" s="244"/>
      <c r="C38" s="244"/>
      <c r="D38" s="244"/>
      <c r="E38" s="244"/>
      <c r="F38" s="249" t="str">
        <f>F37</f>
        <v/>
      </c>
      <c r="G38" s="246" t="str">
        <f>IF(C13&gt;0,CONCATENATE(N13," X ",O13,"m"),"")</f>
        <v/>
      </c>
      <c r="H38" s="247" t="str">
        <f>AA13</f>
        <v/>
      </c>
      <c r="I38" s="247" t="str">
        <f t="shared" si="50"/>
        <v/>
      </c>
      <c r="J38" s="248" t="str">
        <f>IF(H38="","",VLOOKUP(G38,'Materials Price List'!$A$12:$B$46,2))</f>
        <v/>
      </c>
      <c r="K38" s="248" t="str">
        <f t="shared" si="49"/>
        <v/>
      </c>
      <c r="L38" s="244"/>
      <c r="M38" s="244"/>
      <c r="N38" s="244"/>
      <c r="O38" s="244"/>
      <c r="P38" s="244"/>
      <c r="Q38" s="244"/>
      <c r="R38" s="244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86"/>
      <c r="BF38" s="86"/>
      <c r="BG38" s="86"/>
      <c r="BH38" s="86"/>
      <c r="BI38" s="86"/>
    </row>
    <row r="39" spans="1:61" ht="16.5" customHeight="1">
      <c r="A39" s="37"/>
      <c r="B39" s="244"/>
      <c r="C39" s="244"/>
      <c r="D39" s="244"/>
      <c r="E39" s="244"/>
      <c r="F39" s="245" t="str">
        <f>IF(C14&gt;0,B14,"")</f>
        <v/>
      </c>
      <c r="G39" s="246" t="str">
        <f>IF(C14&gt;0,CONCATENATE(I14," X ",J14,"m"),"")</f>
        <v/>
      </c>
      <c r="H39" s="247" t="str">
        <f>Z14</f>
        <v/>
      </c>
      <c r="I39" s="247" t="str">
        <f t="shared" si="50"/>
        <v/>
      </c>
      <c r="J39" s="248" t="str">
        <f>IF(H39="","",VLOOKUP(G39,'Materials Price List'!$A$12:$B$46,2))</f>
        <v/>
      </c>
      <c r="K39" s="248" t="str">
        <f t="shared" si="49"/>
        <v/>
      </c>
      <c r="L39" s="244"/>
      <c r="M39" s="244"/>
      <c r="N39" s="244"/>
      <c r="O39" s="244"/>
      <c r="P39" s="244"/>
      <c r="Q39" s="244"/>
      <c r="R39" s="244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86"/>
      <c r="BF39" s="86"/>
      <c r="BG39" s="86"/>
      <c r="BH39" s="86"/>
      <c r="BI39" s="86"/>
    </row>
    <row r="40" spans="1:61" ht="16.5" customHeight="1">
      <c r="A40" s="37"/>
      <c r="B40" s="244"/>
      <c r="C40" s="244"/>
      <c r="D40" s="244"/>
      <c r="E40" s="244"/>
      <c r="F40" s="249" t="str">
        <f>F39</f>
        <v/>
      </c>
      <c r="G40" s="246" t="str">
        <f>IF(C14&gt;0,CONCATENATE(N14," X ",O14,"m"),"")</f>
        <v/>
      </c>
      <c r="H40" s="247" t="str">
        <f>AA14</f>
        <v/>
      </c>
      <c r="I40" s="247" t="str">
        <f t="shared" si="50"/>
        <v/>
      </c>
      <c r="J40" s="248" t="str">
        <f>IF(H40="","",VLOOKUP(G40,'Materials Price List'!$A$12:$B$46,2))</f>
        <v/>
      </c>
      <c r="K40" s="248" t="str">
        <f t="shared" si="49"/>
        <v/>
      </c>
      <c r="L40" s="244"/>
      <c r="M40" s="244"/>
      <c r="N40" s="244"/>
      <c r="O40" s="244"/>
      <c r="P40" s="244"/>
      <c r="Q40" s="244"/>
      <c r="R40" s="244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86"/>
      <c r="BF40" s="86"/>
      <c r="BG40" s="86"/>
      <c r="BH40" s="86"/>
      <c r="BI40" s="86"/>
    </row>
    <row r="41" spans="1:61" ht="16.5" customHeight="1">
      <c r="A41" s="37"/>
      <c r="B41" s="244"/>
      <c r="C41" s="244"/>
      <c r="D41" s="244"/>
      <c r="E41" s="244"/>
      <c r="F41" s="245" t="str">
        <f>IF(C15&gt;0,B15,"")</f>
        <v/>
      </c>
      <c r="G41" s="246" t="str">
        <f>IF(C15&gt;0,CONCATENATE(I15," X ",J15,"m"),"")</f>
        <v/>
      </c>
      <c r="H41" s="247" t="str">
        <f>Z15</f>
        <v/>
      </c>
      <c r="I41" s="247" t="str">
        <f t="shared" si="50"/>
        <v/>
      </c>
      <c r="J41" s="248" t="str">
        <f>IF(H41="","",VLOOKUP(G41,'Materials Price List'!$A$12:$B$46,2))</f>
        <v/>
      </c>
      <c r="K41" s="248" t="str">
        <f t="shared" si="49"/>
        <v/>
      </c>
      <c r="L41" s="244"/>
      <c r="M41" s="244"/>
      <c r="N41" s="244"/>
      <c r="O41" s="244"/>
      <c r="P41" s="244"/>
      <c r="Q41" s="244"/>
      <c r="R41" s="244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86"/>
      <c r="BF41" s="86"/>
      <c r="BG41" s="86"/>
      <c r="BH41" s="86"/>
      <c r="BI41" s="86"/>
    </row>
    <row r="42" spans="1:61" ht="16.5" customHeight="1">
      <c r="A42" s="37"/>
      <c r="B42" s="244"/>
      <c r="C42" s="244"/>
      <c r="D42" s="244"/>
      <c r="E42" s="244"/>
      <c r="F42" s="249" t="str">
        <f>F41</f>
        <v/>
      </c>
      <c r="G42" s="246" t="str">
        <f>IF(C15&gt;0,CONCATENATE(N15," X ",O15,"m"),"")</f>
        <v/>
      </c>
      <c r="H42" s="247" t="str">
        <f>AA15</f>
        <v/>
      </c>
      <c r="I42" s="247" t="str">
        <f t="shared" si="50"/>
        <v/>
      </c>
      <c r="J42" s="248" t="str">
        <f>IF(H42="","",VLOOKUP(G42,'Materials Price List'!$A$12:$B$46,2))</f>
        <v/>
      </c>
      <c r="K42" s="248" t="str">
        <f t="shared" si="49"/>
        <v/>
      </c>
      <c r="L42" s="244"/>
      <c r="M42" s="244"/>
      <c r="N42" s="244"/>
      <c r="O42" s="244"/>
      <c r="P42" s="244"/>
      <c r="Q42" s="244"/>
      <c r="R42" s="244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86"/>
      <c r="BF42" s="86"/>
      <c r="BG42" s="86"/>
      <c r="BH42" s="86"/>
      <c r="BI42" s="86"/>
    </row>
    <row r="43" spans="1:61" ht="16.5" customHeight="1">
      <c r="A43" s="37"/>
      <c r="B43" s="244"/>
      <c r="C43" s="244"/>
      <c r="D43" s="244"/>
      <c r="E43" s="244"/>
      <c r="F43" s="245" t="str">
        <f>IF(C16&gt;0,B16,"")</f>
        <v/>
      </c>
      <c r="G43" s="246" t="str">
        <f>IF(C16&gt;0,CONCATENATE(I16," X ",J16,"m"),"")</f>
        <v/>
      </c>
      <c r="H43" s="247" t="str">
        <f>Z16</f>
        <v/>
      </c>
      <c r="I43" s="247" t="str">
        <f t="shared" si="50"/>
        <v/>
      </c>
      <c r="J43" s="248" t="str">
        <f>IF(H43="","",VLOOKUP(G43,'Materials Price List'!$A$12:$B$46,2))</f>
        <v/>
      </c>
      <c r="K43" s="248" t="str">
        <f t="shared" si="49"/>
        <v/>
      </c>
      <c r="L43" s="244"/>
      <c r="M43" s="244"/>
      <c r="N43" s="244"/>
      <c r="O43" s="244"/>
      <c r="P43" s="244"/>
      <c r="Q43" s="244"/>
      <c r="R43" s="244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86"/>
      <c r="BF43" s="86"/>
      <c r="BG43" s="86"/>
      <c r="BH43" s="86"/>
      <c r="BI43" s="86"/>
    </row>
    <row r="44" spans="1:61" ht="16.5" customHeight="1">
      <c r="A44" s="37"/>
      <c r="B44" s="244"/>
      <c r="C44" s="244"/>
      <c r="D44" s="244"/>
      <c r="E44" s="244"/>
      <c r="F44" s="249" t="str">
        <f>F43</f>
        <v/>
      </c>
      <c r="G44" s="246" t="str">
        <f>IF(C16&gt;0,CONCATENATE(N16," X ",O16,"m"),"")</f>
        <v/>
      </c>
      <c r="H44" s="247" t="str">
        <f>AA16</f>
        <v/>
      </c>
      <c r="I44" s="247" t="str">
        <f t="shared" si="50"/>
        <v/>
      </c>
      <c r="J44" s="248" t="str">
        <f>IF(H44="","",VLOOKUP(G44,'Materials Price List'!$A$12:$B$46,2))</f>
        <v/>
      </c>
      <c r="K44" s="248" t="str">
        <f t="shared" si="49"/>
        <v/>
      </c>
      <c r="L44" s="244"/>
      <c r="M44" s="244"/>
      <c r="N44" s="244"/>
      <c r="O44" s="244"/>
      <c r="P44" s="244"/>
      <c r="Q44" s="244"/>
      <c r="R44" s="244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86"/>
      <c r="BF44" s="86"/>
      <c r="BG44" s="86"/>
      <c r="BH44" s="86"/>
      <c r="BI44" s="86"/>
    </row>
    <row r="45" spans="1:61" ht="16.5" customHeight="1">
      <c r="A45" s="37"/>
      <c r="B45" s="244"/>
      <c r="C45" s="244"/>
      <c r="D45" s="244"/>
      <c r="E45" s="244"/>
      <c r="F45" s="245" t="str">
        <f>IF(C17&gt;0,B17,"")</f>
        <v/>
      </c>
      <c r="G45" s="246" t="str">
        <f>IF(C17&gt;0,CONCATENATE(I17," X ",J17,"m"),"")</f>
        <v/>
      </c>
      <c r="H45" s="247" t="str">
        <f>Z17</f>
        <v/>
      </c>
      <c r="I45" s="247" t="str">
        <f t="shared" si="50"/>
        <v/>
      </c>
      <c r="J45" s="248" t="str">
        <f>IF(H45="","",VLOOKUP(G45,'Materials Price List'!$A$12:$B$46,2))</f>
        <v/>
      </c>
      <c r="K45" s="248" t="str">
        <f t="shared" si="49"/>
        <v/>
      </c>
      <c r="L45" s="244"/>
      <c r="M45" s="244"/>
      <c r="N45" s="244"/>
      <c r="O45" s="244"/>
      <c r="P45" s="244"/>
      <c r="Q45" s="244"/>
      <c r="R45" s="244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86"/>
      <c r="BF45" s="86"/>
      <c r="BG45" s="86"/>
      <c r="BH45" s="86"/>
      <c r="BI45" s="86"/>
    </row>
    <row r="46" spans="1:61" ht="16.5" customHeight="1">
      <c r="A46" s="37"/>
      <c r="B46" s="244"/>
      <c r="C46" s="244"/>
      <c r="D46" s="244"/>
      <c r="E46" s="244"/>
      <c r="F46" s="249" t="str">
        <f>F45</f>
        <v/>
      </c>
      <c r="G46" s="246" t="str">
        <f>IF(C17&gt;0,CONCATENATE(N17," X ",O17,"m"),"")</f>
        <v/>
      </c>
      <c r="H46" s="247" t="str">
        <f>AA17</f>
        <v/>
      </c>
      <c r="I46" s="247" t="str">
        <f t="shared" si="50"/>
        <v/>
      </c>
      <c r="J46" s="248" t="str">
        <f>IF(H46="","",VLOOKUP(G46,'Materials Price List'!$A$12:$B$46,2))</f>
        <v/>
      </c>
      <c r="K46" s="248" t="str">
        <f t="shared" si="49"/>
        <v/>
      </c>
      <c r="L46" s="244"/>
      <c r="M46" s="244"/>
      <c r="N46" s="244"/>
      <c r="O46" s="244"/>
      <c r="P46" s="244"/>
      <c r="Q46" s="244"/>
      <c r="R46" s="244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86"/>
      <c r="BF46" s="86"/>
      <c r="BG46" s="86"/>
      <c r="BH46" s="86"/>
      <c r="BI46" s="86"/>
    </row>
    <row r="47" spans="1:61" ht="16.5" customHeight="1">
      <c r="A47" s="37"/>
      <c r="B47" s="244"/>
      <c r="C47" s="244"/>
      <c r="D47" s="244"/>
      <c r="E47" s="244"/>
      <c r="F47" s="245" t="str">
        <f>IF(C18&gt;0,B18,"")</f>
        <v/>
      </c>
      <c r="G47" s="246" t="str">
        <f>IF(C18&gt;0,CONCATENATE(I18," X ",J18,"m"),"")</f>
        <v/>
      </c>
      <c r="H47" s="247" t="str">
        <f>Z18</f>
        <v/>
      </c>
      <c r="I47" s="247" t="str">
        <f t="shared" si="50"/>
        <v/>
      </c>
      <c r="J47" s="248" t="str">
        <f>IF(H47="","",VLOOKUP(G47,'Materials Price List'!$A$12:$B$46,2))</f>
        <v/>
      </c>
      <c r="K47" s="248" t="str">
        <f t="shared" si="49"/>
        <v/>
      </c>
      <c r="L47" s="244"/>
      <c r="M47" s="244"/>
      <c r="N47" s="244"/>
      <c r="O47" s="244"/>
      <c r="P47" s="244"/>
      <c r="Q47" s="244"/>
      <c r="R47" s="244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86"/>
      <c r="BF47" s="86"/>
      <c r="BG47" s="86"/>
      <c r="BH47" s="86"/>
      <c r="BI47" s="86"/>
    </row>
    <row r="48" spans="1:61" ht="16.5" customHeight="1">
      <c r="A48" s="37"/>
      <c r="B48" s="244"/>
      <c r="C48" s="244"/>
      <c r="D48" s="244"/>
      <c r="E48" s="244"/>
      <c r="F48" s="249" t="str">
        <f>F47</f>
        <v/>
      </c>
      <c r="G48" s="246" t="str">
        <f>IF(C18&gt;0,CONCATENATE(N18," X ",O18,"m"),"")</f>
        <v/>
      </c>
      <c r="H48" s="247" t="str">
        <f>AA18</f>
        <v/>
      </c>
      <c r="I48" s="247" t="str">
        <f t="shared" si="50"/>
        <v/>
      </c>
      <c r="J48" s="248" t="str">
        <f>IF(H48="","",VLOOKUP(G48,'Materials Price List'!$A$12:$B$46,2))</f>
        <v/>
      </c>
      <c r="K48" s="248" t="str">
        <f t="shared" si="49"/>
        <v/>
      </c>
      <c r="L48" s="244"/>
      <c r="M48" s="244"/>
      <c r="N48" s="244"/>
      <c r="O48" s="244"/>
      <c r="P48" s="244"/>
      <c r="Q48" s="244"/>
      <c r="R48" s="244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86"/>
      <c r="BF48" s="86"/>
      <c r="BG48" s="86"/>
      <c r="BH48" s="86"/>
      <c r="BI48" s="86"/>
    </row>
    <row r="49" spans="1:61" ht="16.5" customHeight="1">
      <c r="A49" s="37"/>
      <c r="B49" s="244"/>
      <c r="C49" s="244"/>
      <c r="D49" s="244"/>
      <c r="E49" s="244"/>
      <c r="F49" s="245" t="str">
        <f>IF(C19&gt;0,B19,"")</f>
        <v/>
      </c>
      <c r="G49" s="246" t="str">
        <f>IF(C19&gt;0,CONCATENATE(I19," X ",J19,"m"),"")</f>
        <v/>
      </c>
      <c r="H49" s="247" t="str">
        <f>Z19</f>
        <v/>
      </c>
      <c r="I49" s="247" t="str">
        <f t="shared" si="50"/>
        <v/>
      </c>
      <c r="J49" s="248" t="str">
        <f>IF(H49="","",VLOOKUP(G49,'Materials Price List'!$A$12:$B$46,2))</f>
        <v/>
      </c>
      <c r="K49" s="248" t="str">
        <f t="shared" si="49"/>
        <v/>
      </c>
      <c r="L49" s="244"/>
      <c r="M49" s="244"/>
      <c r="N49" s="244"/>
      <c r="O49" s="244"/>
      <c r="P49" s="244"/>
      <c r="Q49" s="244"/>
      <c r="R49" s="244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86"/>
      <c r="BF49" s="86"/>
      <c r="BG49" s="86"/>
      <c r="BH49" s="86"/>
      <c r="BI49" s="86"/>
    </row>
    <row r="50" spans="1:61" ht="16.5" customHeight="1">
      <c r="A50" s="37"/>
      <c r="B50" s="244"/>
      <c r="C50" s="244"/>
      <c r="D50" s="244"/>
      <c r="E50" s="244"/>
      <c r="F50" s="249" t="str">
        <f>F49</f>
        <v/>
      </c>
      <c r="G50" s="246" t="str">
        <f>IF(C19&gt;0,CONCATENATE(N19," X ",O19,"m"),"")</f>
        <v/>
      </c>
      <c r="H50" s="247" t="str">
        <f>AA19</f>
        <v/>
      </c>
      <c r="I50" s="247" t="str">
        <f t="shared" si="50"/>
        <v/>
      </c>
      <c r="J50" s="248" t="str">
        <f>IF(H50="","",VLOOKUP(G50,'Materials Price List'!$A$12:$B$46,2))</f>
        <v/>
      </c>
      <c r="K50" s="248" t="str">
        <f t="shared" si="49"/>
        <v/>
      </c>
      <c r="L50" s="244"/>
      <c r="M50" s="244"/>
      <c r="N50" s="244"/>
      <c r="O50" s="244"/>
      <c r="P50" s="244"/>
      <c r="Q50" s="244"/>
      <c r="R50" s="244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86"/>
      <c r="BF50" s="86"/>
      <c r="BG50" s="86"/>
      <c r="BH50" s="86"/>
      <c r="BI50" s="86"/>
    </row>
    <row r="51" spans="1:61" ht="16.5" customHeight="1">
      <c r="A51" s="37"/>
      <c r="B51" s="244"/>
      <c r="C51" s="244"/>
      <c r="D51" s="244"/>
      <c r="E51" s="244"/>
      <c r="F51" s="245" t="str">
        <f>IF(C20&gt;0,B20,"")</f>
        <v/>
      </c>
      <c r="G51" s="246" t="str">
        <f>IF(C20&gt;0,CONCATENATE(I20," X ",J20,"m"),"")</f>
        <v/>
      </c>
      <c r="H51" s="247" t="str">
        <f>Z20</f>
        <v/>
      </c>
      <c r="I51" s="247" t="str">
        <f t="shared" si="50"/>
        <v/>
      </c>
      <c r="J51" s="248" t="str">
        <f>IF(H51="","",VLOOKUP(G51,'Materials Price List'!$A$12:$B$46,2))</f>
        <v/>
      </c>
      <c r="K51" s="248" t="str">
        <f t="shared" si="49"/>
        <v/>
      </c>
      <c r="L51" s="244"/>
      <c r="M51" s="244"/>
      <c r="N51" s="244"/>
      <c r="O51" s="244"/>
      <c r="P51" s="244"/>
      <c r="Q51" s="244"/>
      <c r="R51" s="244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86"/>
      <c r="BF51" s="86"/>
      <c r="BG51" s="86"/>
      <c r="BH51" s="86"/>
      <c r="BI51" s="86"/>
    </row>
    <row r="52" spans="1:61" ht="16.5" customHeight="1">
      <c r="A52" s="37"/>
      <c r="B52" s="244"/>
      <c r="C52" s="244"/>
      <c r="D52" s="244"/>
      <c r="E52" s="244"/>
      <c r="F52" s="249" t="str">
        <f>F51</f>
        <v/>
      </c>
      <c r="G52" s="246" t="str">
        <f>IF(C20&gt;0,CONCATENATE(N20," X ",O20,"m"),"")</f>
        <v/>
      </c>
      <c r="H52" s="247" t="str">
        <f>AA20</f>
        <v/>
      </c>
      <c r="I52" s="247" t="str">
        <f t="shared" si="50"/>
        <v/>
      </c>
      <c r="J52" s="248" t="str">
        <f>IF(H52="","",VLOOKUP(G52,'Materials Price List'!$A$12:$B$46,2))</f>
        <v/>
      </c>
      <c r="K52" s="248" t="str">
        <f t="shared" si="49"/>
        <v/>
      </c>
      <c r="L52" s="244"/>
      <c r="M52" s="244"/>
      <c r="N52" s="244"/>
      <c r="O52" s="244"/>
      <c r="P52" s="244"/>
      <c r="Q52" s="244"/>
      <c r="R52" s="244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86"/>
      <c r="BF52" s="86"/>
      <c r="BG52" s="86"/>
      <c r="BH52" s="86"/>
      <c r="BI52" s="86"/>
    </row>
    <row r="53" spans="1:61" ht="16.5" customHeight="1">
      <c r="A53" s="3"/>
      <c r="B53" s="174"/>
      <c r="C53" s="174"/>
      <c r="D53" s="174"/>
      <c r="E53" s="174"/>
      <c r="F53" s="250" t="s">
        <v>65</v>
      </c>
      <c r="G53" s="251"/>
      <c r="H53" s="251"/>
      <c r="I53" s="251"/>
      <c r="J53" s="252"/>
      <c r="K53" s="253">
        <f>SUM(K25:K52)</f>
        <v>72589.10911091548</v>
      </c>
      <c r="L53" s="174"/>
      <c r="M53" s="174"/>
      <c r="N53" s="174"/>
      <c r="O53" s="174"/>
      <c r="P53" s="174"/>
      <c r="Q53" s="174"/>
      <c r="R53" s="17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25"/>
      <c r="BF53" s="25"/>
      <c r="BG53" s="25"/>
      <c r="BH53" s="25"/>
      <c r="BI53" s="25"/>
    </row>
    <row r="54" spans="1:61" ht="16.5" customHeight="1">
      <c r="A54" s="3"/>
      <c r="B54" s="174"/>
      <c r="C54" s="174"/>
      <c r="D54" s="174"/>
      <c r="E54" s="174"/>
      <c r="F54" s="254" t="s">
        <v>66</v>
      </c>
      <c r="G54" s="183"/>
      <c r="H54" s="183"/>
      <c r="I54" s="184"/>
      <c r="J54" s="255">
        <v>0.35</v>
      </c>
      <c r="K54" s="256">
        <f>J54*K53</f>
        <v>25406.188188820415</v>
      </c>
      <c r="L54" s="174"/>
      <c r="M54" s="174"/>
      <c r="N54" s="174"/>
      <c r="O54" s="174"/>
      <c r="P54" s="174"/>
      <c r="Q54" s="174"/>
      <c r="R54" s="17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25"/>
      <c r="BF54" s="25"/>
      <c r="BG54" s="25"/>
      <c r="BH54" s="25"/>
      <c r="BI54" s="25"/>
    </row>
    <row r="55" spans="1:61" ht="16.5" customHeight="1">
      <c r="A55" s="3"/>
      <c r="B55" s="174"/>
      <c r="C55" s="174"/>
      <c r="D55" s="174"/>
      <c r="E55" s="174"/>
      <c r="F55" s="170"/>
      <c r="G55" s="170"/>
      <c r="H55" s="170"/>
      <c r="I55" s="170"/>
      <c r="J55" s="170"/>
      <c r="K55" s="170"/>
      <c r="L55" s="174"/>
      <c r="M55" s="174"/>
      <c r="N55" s="174"/>
      <c r="O55" s="174"/>
      <c r="P55" s="174"/>
      <c r="Q55" s="174"/>
      <c r="R55" s="17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25"/>
      <c r="BF55" s="25"/>
      <c r="BG55" s="25"/>
      <c r="BH55" s="25"/>
      <c r="BI55" s="25"/>
    </row>
    <row r="56" spans="1:61" ht="16.5" customHeight="1">
      <c r="A56" s="3"/>
      <c r="B56" s="174"/>
      <c r="C56" s="174"/>
      <c r="D56" s="174"/>
      <c r="E56" s="174"/>
      <c r="F56" s="416" t="s">
        <v>149</v>
      </c>
      <c r="G56" s="196"/>
      <c r="H56" s="196"/>
      <c r="I56" s="196"/>
      <c r="J56" s="196"/>
      <c r="K56" s="196"/>
      <c r="L56" s="174"/>
      <c r="M56" s="174"/>
      <c r="N56" s="174"/>
      <c r="O56" s="174"/>
      <c r="P56" s="174"/>
      <c r="Q56" s="174"/>
      <c r="R56" s="17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25"/>
      <c r="BF56" s="25"/>
      <c r="BG56" s="25"/>
      <c r="BH56" s="25"/>
      <c r="BI56" s="25"/>
    </row>
    <row r="57" spans="1:61" ht="16.5" customHeight="1">
      <c r="A57" s="3"/>
      <c r="B57" s="174"/>
      <c r="C57" s="174"/>
      <c r="D57" s="174"/>
      <c r="E57" s="174"/>
      <c r="F57" s="260" t="s">
        <v>150</v>
      </c>
      <c r="G57" s="176"/>
      <c r="H57" s="261">
        <f>BE21</f>
        <v>33.166800000000002</v>
      </c>
      <c r="I57" s="262" t="s">
        <v>151</v>
      </c>
      <c r="J57" s="417">
        <v>300</v>
      </c>
      <c r="K57" s="418" t="s">
        <v>152</v>
      </c>
      <c r="L57" s="174"/>
      <c r="M57" s="174"/>
      <c r="N57" s="174"/>
      <c r="O57" s="174"/>
      <c r="P57" s="174"/>
      <c r="Q57" s="174"/>
      <c r="R57" s="17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25"/>
      <c r="BF57" s="25"/>
      <c r="BG57" s="25"/>
      <c r="BH57" s="25"/>
      <c r="BI57" s="25"/>
    </row>
    <row r="58" spans="1:61" ht="16.5" customHeight="1">
      <c r="A58" s="3"/>
      <c r="B58" s="174"/>
      <c r="C58" s="174"/>
      <c r="D58" s="174"/>
      <c r="E58" s="174"/>
      <c r="F58" s="257"/>
      <c r="G58" s="257" t="s">
        <v>153</v>
      </c>
      <c r="H58" s="419">
        <f>CEILING(H57*90/(9*6),1)</f>
        <v>56</v>
      </c>
      <c r="I58" s="420" t="s">
        <v>120</v>
      </c>
      <c r="J58" s="258"/>
      <c r="K58" s="176"/>
      <c r="L58" s="174"/>
      <c r="M58" s="174"/>
      <c r="N58" s="174"/>
      <c r="O58" s="174"/>
      <c r="P58" s="174"/>
      <c r="Q58" s="174"/>
      <c r="R58" s="17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25"/>
      <c r="BF58" s="25"/>
      <c r="BG58" s="25"/>
      <c r="BH58" s="25"/>
      <c r="BI58" s="25"/>
    </row>
    <row r="59" spans="1:61" ht="16.5" customHeight="1">
      <c r="A59" s="3"/>
      <c r="B59" s="174"/>
      <c r="C59" s="174"/>
      <c r="D59" s="174"/>
      <c r="E59" s="174"/>
      <c r="F59" s="257"/>
      <c r="G59" s="257"/>
      <c r="H59" s="419"/>
      <c r="I59" s="420"/>
      <c r="J59" s="258"/>
      <c r="K59" s="259"/>
      <c r="L59" s="174"/>
      <c r="M59" s="174"/>
      <c r="N59" s="174"/>
      <c r="O59" s="174"/>
      <c r="P59" s="174"/>
      <c r="Q59" s="174"/>
      <c r="R59" s="17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25"/>
      <c r="BF59" s="25"/>
      <c r="BG59" s="25"/>
      <c r="BH59" s="25"/>
      <c r="BI59" s="25"/>
    </row>
    <row r="60" spans="1:61" ht="16.5" customHeight="1">
      <c r="A60" s="3"/>
      <c r="B60" s="174"/>
      <c r="C60" s="174"/>
      <c r="D60" s="174"/>
      <c r="E60" s="174"/>
      <c r="F60" s="264" t="s">
        <v>154</v>
      </c>
      <c r="G60" s="251"/>
      <c r="H60" s="251"/>
      <c r="I60" s="251"/>
      <c r="J60" s="252"/>
      <c r="K60" s="265">
        <f>J57*H58</f>
        <v>16800</v>
      </c>
      <c r="L60" s="174"/>
      <c r="M60" s="174"/>
      <c r="N60" s="174"/>
      <c r="O60" s="174"/>
      <c r="P60" s="174"/>
      <c r="Q60" s="174"/>
      <c r="R60" s="17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25"/>
      <c r="BF60" s="25"/>
      <c r="BG60" s="25"/>
      <c r="BH60" s="25"/>
      <c r="BI60" s="25"/>
    </row>
    <row r="61" spans="1:61" ht="16.5" customHeight="1">
      <c r="A61" s="3"/>
      <c r="B61" s="174"/>
      <c r="C61" s="174"/>
      <c r="D61" s="174"/>
      <c r="E61" s="174"/>
      <c r="F61" s="257"/>
      <c r="G61" s="257"/>
      <c r="H61" s="257"/>
      <c r="I61" s="257"/>
      <c r="J61" s="258"/>
      <c r="K61" s="259"/>
      <c r="L61" s="174"/>
      <c r="M61" s="174"/>
      <c r="N61" s="174"/>
      <c r="O61" s="174"/>
      <c r="P61" s="174"/>
      <c r="Q61" s="174"/>
      <c r="R61" s="17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25"/>
      <c r="BF61" s="25"/>
      <c r="BG61" s="25"/>
      <c r="BH61" s="25"/>
      <c r="BI61" s="25"/>
    </row>
    <row r="62" spans="1:61" ht="16.5" customHeight="1">
      <c r="A62" s="3"/>
      <c r="B62" s="174"/>
      <c r="C62" s="174"/>
      <c r="D62" s="174"/>
      <c r="E62" s="174"/>
      <c r="F62" s="260" t="s">
        <v>72</v>
      </c>
      <c r="G62" s="176"/>
      <c r="H62" s="176"/>
      <c r="I62" s="176"/>
      <c r="J62" s="268">
        <v>8</v>
      </c>
      <c r="K62" s="269" t="s">
        <v>73</v>
      </c>
      <c r="L62" s="174"/>
      <c r="M62" s="174"/>
      <c r="N62" s="174"/>
      <c r="O62" s="174"/>
      <c r="P62" s="174"/>
      <c r="Q62" s="174"/>
      <c r="R62" s="17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25"/>
      <c r="BF62" s="25"/>
      <c r="BG62" s="25"/>
      <c r="BH62" s="25"/>
      <c r="BI62" s="25"/>
    </row>
    <row r="63" spans="1:61" ht="16.5" customHeight="1">
      <c r="A63" s="3"/>
      <c r="B63" s="174"/>
      <c r="C63" s="174"/>
      <c r="D63" s="174"/>
      <c r="E63" s="174"/>
      <c r="F63" s="260" t="s">
        <v>74</v>
      </c>
      <c r="G63" s="176"/>
      <c r="H63" s="176"/>
      <c r="I63" s="176"/>
      <c r="J63" s="270">
        <f>CEILING(SUM(AL11:AL20)/J62,1)</f>
        <v>1</v>
      </c>
      <c r="K63" s="269" t="s">
        <v>75</v>
      </c>
      <c r="L63" s="174"/>
      <c r="M63" s="174"/>
      <c r="N63" s="174"/>
      <c r="O63" s="174"/>
      <c r="P63" s="174"/>
      <c r="Q63" s="174"/>
      <c r="R63" s="17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25"/>
      <c r="BF63" s="25"/>
      <c r="BG63" s="25"/>
      <c r="BH63" s="25"/>
      <c r="BI63" s="25"/>
    </row>
    <row r="64" spans="1:61" ht="16.5" customHeight="1">
      <c r="A64" s="3"/>
      <c r="B64" s="174"/>
      <c r="C64" s="174"/>
      <c r="D64" s="174"/>
      <c r="E64" s="174"/>
      <c r="F64" s="260" t="s">
        <v>76</v>
      </c>
      <c r="G64" s="176"/>
      <c r="H64" s="176"/>
      <c r="I64" s="176"/>
      <c r="J64" s="271">
        <f>'Materials Price List'!B47</f>
        <v>1200</v>
      </c>
      <c r="K64" s="272" t="s">
        <v>77</v>
      </c>
      <c r="L64" s="174"/>
      <c r="M64" s="174"/>
      <c r="N64" s="174"/>
      <c r="O64" s="174"/>
      <c r="P64" s="174"/>
      <c r="Q64" s="174"/>
      <c r="R64" s="17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25"/>
      <c r="BF64" s="25"/>
      <c r="BG64" s="25"/>
      <c r="BH64" s="25"/>
      <c r="BI64" s="25"/>
    </row>
    <row r="65" spans="1:61" ht="16.5" customHeight="1">
      <c r="A65" s="3"/>
      <c r="B65" s="174"/>
      <c r="C65" s="174"/>
      <c r="D65" s="174"/>
      <c r="E65" s="174"/>
      <c r="F65" s="273" t="s">
        <v>78</v>
      </c>
      <c r="G65" s="183"/>
      <c r="H65" s="183"/>
      <c r="I65" s="183"/>
      <c r="J65" s="184"/>
      <c r="K65" s="274">
        <f>J64*J63</f>
        <v>1200</v>
      </c>
      <c r="L65" s="174"/>
      <c r="M65" s="174"/>
      <c r="N65" s="174"/>
      <c r="O65" s="174"/>
      <c r="P65" s="174"/>
      <c r="Q65" s="174"/>
      <c r="R65" s="17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25"/>
      <c r="BF65" s="25"/>
      <c r="BG65" s="25"/>
      <c r="BH65" s="25"/>
      <c r="BI65" s="25"/>
    </row>
    <row r="66" spans="1:61" ht="16.5" customHeight="1">
      <c r="A66" s="3"/>
      <c r="B66" s="174"/>
      <c r="C66" s="174"/>
      <c r="D66" s="174"/>
      <c r="E66" s="174"/>
      <c r="F66" s="174"/>
      <c r="G66" s="174"/>
      <c r="H66" s="174"/>
      <c r="I66" s="174"/>
      <c r="J66" s="174"/>
      <c r="K66" s="275"/>
      <c r="L66" s="174"/>
      <c r="M66" s="174"/>
      <c r="N66" s="174"/>
      <c r="O66" s="174"/>
      <c r="P66" s="174"/>
      <c r="Q66" s="174"/>
      <c r="R66" s="17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25"/>
      <c r="BF66" s="25"/>
      <c r="BG66" s="25"/>
      <c r="BH66" s="25"/>
      <c r="BI66" s="25"/>
    </row>
    <row r="67" spans="1:61" ht="16.5" customHeight="1">
      <c r="A67" s="3"/>
      <c r="B67" s="174"/>
      <c r="C67" s="174"/>
      <c r="D67" s="174"/>
      <c r="E67" s="174"/>
      <c r="F67" s="174"/>
      <c r="G67" s="174"/>
      <c r="H67" s="260" t="s">
        <v>79</v>
      </c>
      <c r="I67" s="176"/>
      <c r="J67" s="176"/>
      <c r="K67" s="276">
        <f>K53+K54+K65+K60</f>
        <v>115995.29729973589</v>
      </c>
      <c r="L67" s="174"/>
      <c r="M67" s="174"/>
      <c r="N67" s="174"/>
      <c r="O67" s="174"/>
      <c r="P67" s="174"/>
      <c r="Q67" s="174"/>
      <c r="R67" s="17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25"/>
      <c r="BF67" s="25"/>
      <c r="BG67" s="25"/>
      <c r="BH67" s="25"/>
      <c r="BI67" s="25"/>
    </row>
    <row r="68" spans="1:61" ht="16.5" customHeight="1">
      <c r="A68" s="3"/>
      <c r="B68" s="174"/>
      <c r="C68" s="174"/>
      <c r="D68" s="174"/>
      <c r="E68" s="174"/>
      <c r="F68" s="174"/>
      <c r="G68" s="275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25"/>
      <c r="BF68" s="25"/>
      <c r="BG68" s="25"/>
      <c r="BH68" s="25"/>
      <c r="BI68" s="25"/>
    </row>
    <row r="69" spans="1:61" ht="16.5" hidden="1" customHeight="1">
      <c r="A69" s="3"/>
      <c r="B69" s="174"/>
      <c r="C69" s="174"/>
      <c r="D69" s="174"/>
      <c r="E69" s="174"/>
      <c r="F69" s="174"/>
      <c r="G69" s="275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25"/>
      <c r="BF69" s="25"/>
      <c r="BG69" s="25"/>
      <c r="BH69" s="25"/>
      <c r="BI69" s="25"/>
    </row>
    <row r="70" spans="1:61" ht="16.5" hidden="1" customHeight="1">
      <c r="A70" s="3"/>
      <c r="B70" s="174"/>
      <c r="C70" s="174"/>
      <c r="D70" s="174"/>
      <c r="E70" s="174"/>
      <c r="F70" s="174"/>
      <c r="G70" s="275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25"/>
      <c r="BF70" s="25"/>
      <c r="BG70" s="25"/>
      <c r="BH70" s="25"/>
      <c r="BI70" s="25"/>
    </row>
    <row r="71" spans="1:61" ht="16.5" hidden="1" customHeight="1">
      <c r="A71" s="3"/>
      <c r="B71" s="174"/>
      <c r="C71" s="174"/>
      <c r="D71" s="174"/>
      <c r="E71" s="174"/>
      <c r="F71" s="174"/>
      <c r="G71" s="275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25"/>
      <c r="BF71" s="25"/>
      <c r="BG71" s="25"/>
      <c r="BH71" s="25"/>
      <c r="BI71" s="25"/>
    </row>
    <row r="72" spans="1:61" ht="16.5" hidden="1" customHeight="1">
      <c r="A72" s="3"/>
      <c r="B72" s="174"/>
      <c r="C72" s="174"/>
      <c r="D72" s="174"/>
      <c r="E72" s="174"/>
      <c r="F72" s="174"/>
      <c r="G72" s="275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25"/>
      <c r="BF72" s="25"/>
      <c r="BG72" s="25"/>
      <c r="BH72" s="25"/>
      <c r="BI72" s="25"/>
    </row>
    <row r="73" spans="1:61" ht="16.5" hidden="1" customHeight="1">
      <c r="A73" s="3"/>
      <c r="B73" s="174"/>
      <c r="C73" s="174"/>
      <c r="D73" s="174"/>
      <c r="E73" s="174"/>
      <c r="F73" s="174"/>
      <c r="G73" s="275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25"/>
      <c r="BF73" s="25"/>
      <c r="BG73" s="25"/>
      <c r="BH73" s="25"/>
      <c r="BI73" s="25"/>
    </row>
    <row r="74" spans="1:61" ht="16.5" hidden="1" customHeight="1">
      <c r="A74" s="3"/>
      <c r="B74" s="174"/>
      <c r="C74" s="174"/>
      <c r="D74" s="174"/>
      <c r="E74" s="174"/>
      <c r="F74" s="174"/>
      <c r="G74" s="275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25"/>
      <c r="BF74" s="25"/>
      <c r="BG74" s="25"/>
      <c r="BH74" s="25"/>
      <c r="BI74" s="25"/>
    </row>
    <row r="75" spans="1:61" ht="16.5" hidden="1" customHeight="1">
      <c r="A75" s="3"/>
      <c r="B75" s="174"/>
      <c r="C75" s="174"/>
      <c r="D75" s="174"/>
      <c r="E75" s="174"/>
      <c r="F75" s="174"/>
      <c r="G75" s="275"/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25"/>
      <c r="BF75" s="25"/>
      <c r="BG75" s="25"/>
      <c r="BH75" s="25"/>
      <c r="BI75" s="25"/>
    </row>
    <row r="76" spans="1:61" ht="16.5" hidden="1" customHeight="1">
      <c r="A76" s="3"/>
      <c r="B76" s="174"/>
      <c r="C76" s="174"/>
      <c r="D76" s="174"/>
      <c r="E76" s="174"/>
      <c r="F76" s="174"/>
      <c r="G76" s="275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25"/>
      <c r="BF76" s="25"/>
      <c r="BG76" s="25"/>
      <c r="BH76" s="25"/>
      <c r="BI76" s="25"/>
    </row>
    <row r="77" spans="1:61" ht="16.5" hidden="1" customHeight="1">
      <c r="A77" s="3"/>
      <c r="B77" s="174"/>
      <c r="C77" s="174"/>
      <c r="D77" s="174"/>
      <c r="E77" s="174"/>
      <c r="F77" s="174"/>
      <c r="G77" s="275"/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25"/>
      <c r="BF77" s="25"/>
      <c r="BG77" s="25"/>
      <c r="BH77" s="25"/>
      <c r="BI77" s="25"/>
    </row>
    <row r="78" spans="1:61" ht="16.5" hidden="1" customHeight="1">
      <c r="A78" s="3"/>
      <c r="B78" s="174"/>
      <c r="C78" s="174"/>
      <c r="D78" s="174"/>
      <c r="E78" s="174"/>
      <c r="F78" s="174"/>
      <c r="G78" s="275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25"/>
      <c r="BF78" s="25"/>
      <c r="BG78" s="25"/>
      <c r="BH78" s="25"/>
      <c r="BI78" s="25"/>
    </row>
    <row r="79" spans="1:61" ht="16.5" hidden="1" customHeight="1">
      <c r="A79" s="3"/>
      <c r="B79" s="174"/>
      <c r="C79" s="174"/>
      <c r="D79" s="174"/>
      <c r="E79" s="174"/>
      <c r="F79" s="174"/>
      <c r="G79" s="275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25"/>
      <c r="BF79" s="25"/>
      <c r="BG79" s="25"/>
      <c r="BH79" s="25"/>
      <c r="BI79" s="25"/>
    </row>
    <row r="80" spans="1:61" ht="16.5" hidden="1" customHeight="1">
      <c r="A80" s="3"/>
      <c r="B80" s="174"/>
      <c r="C80" s="174"/>
      <c r="D80" s="174"/>
      <c r="E80" s="174"/>
      <c r="F80" s="174"/>
      <c r="G80" s="275"/>
      <c r="H80" s="174"/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25"/>
      <c r="BF80" s="25"/>
      <c r="BG80" s="25"/>
      <c r="BH80" s="25"/>
      <c r="BI80" s="25"/>
    </row>
    <row r="81" spans="1:61" ht="16.5" hidden="1" customHeight="1">
      <c r="A81" s="3"/>
      <c r="B81" s="174"/>
      <c r="C81" s="174"/>
      <c r="D81" s="174"/>
      <c r="E81" s="174"/>
      <c r="F81" s="174"/>
      <c r="G81" s="275"/>
      <c r="H81" s="174"/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25"/>
      <c r="BF81" s="25"/>
      <c r="BG81" s="25"/>
      <c r="BH81" s="25"/>
      <c r="BI81" s="25"/>
    </row>
    <row r="82" spans="1:61" ht="16.5" hidden="1" customHeight="1">
      <c r="A82" s="3"/>
      <c r="B82" s="174"/>
      <c r="C82" s="174"/>
      <c r="D82" s="174"/>
      <c r="E82" s="174"/>
      <c r="F82" s="174"/>
      <c r="G82" s="275"/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25"/>
      <c r="BF82" s="25"/>
      <c r="BG82" s="25"/>
      <c r="BH82" s="25"/>
      <c r="BI82" s="25"/>
    </row>
    <row r="83" spans="1:61" ht="16.5" hidden="1" customHeight="1">
      <c r="A83" s="3"/>
      <c r="B83" s="174"/>
      <c r="C83" s="174"/>
      <c r="D83" s="174"/>
      <c r="E83" s="174"/>
      <c r="F83" s="174"/>
      <c r="G83" s="275"/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25"/>
      <c r="BF83" s="25"/>
      <c r="BG83" s="25"/>
      <c r="BH83" s="25"/>
      <c r="BI83" s="25"/>
    </row>
    <row r="84" spans="1:61" ht="16.5" hidden="1" customHeight="1">
      <c r="A84" s="3"/>
      <c r="B84" s="174"/>
      <c r="C84" s="174"/>
      <c r="D84" s="174"/>
      <c r="E84" s="174"/>
      <c r="F84" s="174"/>
      <c r="G84" s="275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25"/>
      <c r="BF84" s="25"/>
      <c r="BG84" s="25"/>
      <c r="BH84" s="25"/>
      <c r="BI84" s="25"/>
    </row>
    <row r="85" spans="1:61" ht="16.5" hidden="1" customHeight="1">
      <c r="A85" s="3"/>
      <c r="B85" s="174"/>
      <c r="C85" s="174"/>
      <c r="D85" s="174"/>
      <c r="E85" s="174"/>
      <c r="F85" s="174"/>
      <c r="G85" s="275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25"/>
      <c r="BF85" s="25"/>
      <c r="BG85" s="25"/>
      <c r="BH85" s="25"/>
      <c r="BI85" s="25"/>
    </row>
    <row r="86" spans="1:61" ht="16.5" hidden="1" customHeight="1">
      <c r="A86" s="3"/>
      <c r="B86" s="174"/>
      <c r="C86" s="174"/>
      <c r="D86" s="174"/>
      <c r="E86" s="174"/>
      <c r="F86" s="174"/>
      <c r="G86" s="275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25"/>
      <c r="BF86" s="25"/>
      <c r="BG86" s="25"/>
      <c r="BH86" s="25"/>
      <c r="BI86" s="25"/>
    </row>
    <row r="87" spans="1:61" ht="16.5" hidden="1" customHeight="1">
      <c r="A87" s="3"/>
      <c r="B87" s="174"/>
      <c r="C87" s="174"/>
      <c r="D87" s="174"/>
      <c r="E87" s="174"/>
      <c r="F87" s="174"/>
      <c r="G87" s="275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25"/>
      <c r="BF87" s="25"/>
      <c r="BG87" s="25"/>
      <c r="BH87" s="25"/>
      <c r="BI87" s="25"/>
    </row>
    <row r="88" spans="1:61" ht="16.5" hidden="1" customHeight="1">
      <c r="A88" s="3"/>
      <c r="B88" s="174"/>
      <c r="C88" s="174"/>
      <c r="D88" s="174"/>
      <c r="E88" s="174"/>
      <c r="F88" s="174"/>
      <c r="G88" s="275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25"/>
      <c r="BF88" s="25"/>
      <c r="BG88" s="25"/>
      <c r="BH88" s="25"/>
      <c r="BI88" s="25"/>
    </row>
    <row r="89" spans="1:61" ht="16.5" hidden="1" customHeight="1">
      <c r="A89" s="3"/>
      <c r="B89" s="174"/>
      <c r="C89" s="174"/>
      <c r="D89" s="174"/>
      <c r="E89" s="174"/>
      <c r="F89" s="174"/>
      <c r="G89" s="275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25"/>
      <c r="BF89" s="25"/>
      <c r="BG89" s="25"/>
      <c r="BH89" s="25"/>
      <c r="BI89" s="25"/>
    </row>
    <row r="90" spans="1:61" ht="16.5" hidden="1" customHeight="1">
      <c r="A90" s="3"/>
      <c r="B90" s="174"/>
      <c r="C90" s="174"/>
      <c r="D90" s="174"/>
      <c r="E90" s="174"/>
      <c r="F90" s="174"/>
      <c r="G90" s="275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25"/>
      <c r="BF90" s="25"/>
      <c r="BG90" s="25"/>
      <c r="BH90" s="25"/>
      <c r="BI90" s="25"/>
    </row>
    <row r="91" spans="1:61" ht="16.5" hidden="1" customHeight="1">
      <c r="A91" s="3"/>
      <c r="B91" s="174"/>
      <c r="C91" s="174"/>
      <c r="D91" s="174"/>
      <c r="E91" s="174"/>
      <c r="F91" s="174"/>
      <c r="G91" s="275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25"/>
      <c r="BF91" s="25"/>
      <c r="BG91" s="25"/>
      <c r="BH91" s="25"/>
      <c r="BI91" s="25"/>
    </row>
    <row r="92" spans="1:61" ht="16.5" hidden="1" customHeight="1">
      <c r="A92" s="3"/>
      <c r="B92" s="174"/>
      <c r="C92" s="174"/>
      <c r="D92" s="174"/>
      <c r="E92" s="174"/>
      <c r="F92" s="174"/>
      <c r="G92" s="275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25"/>
      <c r="BF92" s="25"/>
      <c r="BG92" s="25"/>
      <c r="BH92" s="25"/>
      <c r="BI92" s="25"/>
    </row>
    <row r="93" spans="1:61" ht="16.5" hidden="1" customHeight="1">
      <c r="A93" s="3"/>
      <c r="B93" s="174"/>
      <c r="C93" s="174"/>
      <c r="D93" s="174"/>
      <c r="E93" s="174"/>
      <c r="F93" s="174"/>
      <c r="G93" s="275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25"/>
      <c r="BF93" s="25"/>
      <c r="BG93" s="25"/>
      <c r="BH93" s="25"/>
      <c r="BI93" s="25"/>
    </row>
    <row r="94" spans="1:61" ht="16.5" customHeight="1">
      <c r="A94" s="3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25"/>
      <c r="BF94" s="25"/>
      <c r="BG94" s="25"/>
      <c r="BH94" s="25"/>
      <c r="BI94" s="25"/>
    </row>
    <row r="95" spans="1:61" ht="16.5" customHeight="1">
      <c r="A95" s="3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25"/>
      <c r="BF95" s="25"/>
      <c r="BG95" s="25"/>
      <c r="BH95" s="25"/>
      <c r="BI95" s="25"/>
    </row>
    <row r="96" spans="1:61" ht="16.5" customHeight="1">
      <c r="A96" s="3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25"/>
      <c r="BF96" s="25"/>
      <c r="BG96" s="25"/>
      <c r="BH96" s="25"/>
      <c r="BI96" s="25"/>
    </row>
    <row r="97" spans="1:61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25"/>
      <c r="BF97" s="25"/>
      <c r="BG97" s="25"/>
      <c r="BH97" s="25"/>
      <c r="BI97" s="25"/>
    </row>
    <row r="98" spans="1:61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25"/>
      <c r="BF98" s="25"/>
      <c r="BG98" s="25"/>
      <c r="BH98" s="25"/>
      <c r="BI98" s="25"/>
    </row>
    <row r="99" spans="1:61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25"/>
      <c r="BF99" s="25"/>
      <c r="BG99" s="25"/>
      <c r="BH99" s="25"/>
      <c r="BI99" s="25"/>
    </row>
    <row r="100" spans="1:61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25"/>
      <c r="BF100" s="25"/>
      <c r="BG100" s="25"/>
      <c r="BH100" s="25"/>
      <c r="BI100" s="25"/>
    </row>
    <row r="101" spans="1:6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25"/>
      <c r="BF101" s="25"/>
      <c r="BG101" s="25"/>
      <c r="BH101" s="25"/>
      <c r="BI101" s="25"/>
    </row>
    <row r="102" spans="1:61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25"/>
      <c r="BF102" s="25"/>
      <c r="BG102" s="25"/>
      <c r="BH102" s="25"/>
      <c r="BI102" s="25"/>
    </row>
    <row r="103" spans="1:61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25"/>
      <c r="BF103" s="25"/>
      <c r="BG103" s="25"/>
      <c r="BH103" s="25"/>
      <c r="BI103" s="25"/>
    </row>
    <row r="104" spans="1:61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25"/>
      <c r="BF104" s="25"/>
      <c r="BG104" s="25"/>
      <c r="BH104" s="25"/>
      <c r="BI104" s="25"/>
    </row>
    <row r="105" spans="1:61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25"/>
      <c r="BF105" s="25"/>
      <c r="BG105" s="25"/>
      <c r="BH105" s="25"/>
      <c r="BI105" s="25"/>
    </row>
    <row r="106" spans="1:61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25"/>
      <c r="BF106" s="25"/>
      <c r="BG106" s="25"/>
      <c r="BH106" s="25"/>
      <c r="BI106" s="25"/>
    </row>
    <row r="107" spans="1:61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25"/>
      <c r="BF107" s="25"/>
      <c r="BG107" s="25"/>
      <c r="BH107" s="25"/>
      <c r="BI107" s="25"/>
    </row>
    <row r="108" spans="1:61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25"/>
      <c r="BF108" s="25"/>
      <c r="BG108" s="25"/>
      <c r="BH108" s="25"/>
      <c r="BI108" s="25"/>
    </row>
    <row r="109" spans="1:61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25"/>
      <c r="BF109" s="25"/>
      <c r="BG109" s="25"/>
      <c r="BH109" s="25"/>
      <c r="BI109" s="25"/>
    </row>
    <row r="110" spans="1:61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25"/>
      <c r="BF110" s="25"/>
      <c r="BG110" s="25"/>
      <c r="BH110" s="25"/>
      <c r="BI110" s="25"/>
    </row>
    <row r="111" spans="1:6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25"/>
      <c r="BF111" s="25"/>
      <c r="BG111" s="25"/>
      <c r="BH111" s="25"/>
      <c r="BI111" s="25"/>
    </row>
    <row r="112" spans="1:61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25"/>
      <c r="BF112" s="25"/>
      <c r="BG112" s="25"/>
      <c r="BH112" s="25"/>
      <c r="BI112" s="25"/>
    </row>
    <row r="113" spans="1:61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25"/>
      <c r="BF113" s="25"/>
      <c r="BG113" s="25"/>
      <c r="BH113" s="25"/>
      <c r="BI113" s="25"/>
    </row>
    <row r="114" spans="1:61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25"/>
      <c r="BF114" s="25"/>
      <c r="BG114" s="25"/>
      <c r="BH114" s="25"/>
      <c r="BI114" s="25"/>
    </row>
    <row r="115" spans="1:61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25"/>
      <c r="BF115" s="25"/>
      <c r="BG115" s="25"/>
      <c r="BH115" s="25"/>
      <c r="BI115" s="25"/>
    </row>
    <row r="116" spans="1:61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25"/>
      <c r="BF116" s="25"/>
      <c r="BG116" s="25"/>
      <c r="BH116" s="25"/>
      <c r="BI116" s="25"/>
    </row>
    <row r="117" spans="1:61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25"/>
      <c r="BF117" s="25"/>
      <c r="BG117" s="25"/>
      <c r="BH117" s="25"/>
      <c r="BI117" s="25"/>
    </row>
    <row r="118" spans="1:61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25"/>
      <c r="BF118" s="25"/>
      <c r="BG118" s="25"/>
      <c r="BH118" s="25"/>
      <c r="BI118" s="25"/>
    </row>
    <row r="119" spans="1:61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25"/>
      <c r="BF119" s="25"/>
      <c r="BG119" s="25"/>
      <c r="BH119" s="25"/>
      <c r="BI119" s="25"/>
    </row>
    <row r="120" spans="1:61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25"/>
      <c r="BF120" s="25"/>
      <c r="BG120" s="25"/>
      <c r="BH120" s="25"/>
      <c r="BI120" s="25"/>
    </row>
    <row r="121" spans="1:6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25"/>
      <c r="BF121" s="25"/>
      <c r="BG121" s="25"/>
      <c r="BH121" s="25"/>
      <c r="BI121" s="25"/>
    </row>
    <row r="122" spans="1:61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25"/>
      <c r="BF122" s="25"/>
      <c r="BG122" s="25"/>
      <c r="BH122" s="25"/>
      <c r="BI122" s="25"/>
    </row>
    <row r="123" spans="1:61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25"/>
      <c r="BF123" s="25"/>
      <c r="BG123" s="25"/>
      <c r="BH123" s="25"/>
      <c r="BI123" s="25"/>
    </row>
    <row r="124" spans="1:61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25"/>
      <c r="BF124" s="25"/>
      <c r="BG124" s="25"/>
      <c r="BH124" s="25"/>
      <c r="BI124" s="25"/>
    </row>
    <row r="125" spans="1:61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25"/>
      <c r="BF125" s="25"/>
      <c r="BG125" s="25"/>
      <c r="BH125" s="25"/>
      <c r="BI125" s="25"/>
    </row>
    <row r="126" spans="1:61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25"/>
      <c r="BF126" s="25"/>
      <c r="BG126" s="25"/>
      <c r="BH126" s="25"/>
      <c r="BI126" s="25"/>
    </row>
    <row r="127" spans="1:61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25"/>
      <c r="BF127" s="25"/>
      <c r="BG127" s="25"/>
      <c r="BH127" s="25"/>
      <c r="BI127" s="25"/>
    </row>
    <row r="128" spans="1:61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25"/>
      <c r="BF128" s="25"/>
      <c r="BG128" s="25"/>
      <c r="BH128" s="25"/>
      <c r="BI128" s="25"/>
    </row>
    <row r="129" spans="1:61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25"/>
      <c r="BF129" s="25"/>
      <c r="BG129" s="25"/>
      <c r="BH129" s="25"/>
      <c r="BI129" s="25"/>
    </row>
    <row r="130" spans="1:61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25"/>
      <c r="BF130" s="25"/>
      <c r="BG130" s="25"/>
      <c r="BH130" s="25"/>
      <c r="BI130" s="25"/>
    </row>
    <row r="131" spans="1:6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25"/>
      <c r="BF131" s="25"/>
      <c r="BG131" s="25"/>
      <c r="BH131" s="25"/>
      <c r="BI131" s="25"/>
    </row>
    <row r="132" spans="1:61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25"/>
      <c r="BF132" s="25"/>
      <c r="BG132" s="25"/>
      <c r="BH132" s="25"/>
      <c r="BI132" s="25"/>
    </row>
    <row r="133" spans="1:61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25"/>
      <c r="BF133" s="25"/>
      <c r="BG133" s="25"/>
      <c r="BH133" s="25"/>
      <c r="BI133" s="25"/>
    </row>
    <row r="134" spans="1:61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25"/>
      <c r="BF134" s="25"/>
      <c r="BG134" s="25"/>
      <c r="BH134" s="25"/>
      <c r="BI134" s="25"/>
    </row>
    <row r="135" spans="1:61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25"/>
      <c r="BF135" s="25"/>
      <c r="BG135" s="25"/>
      <c r="BH135" s="25"/>
      <c r="BI135" s="25"/>
    </row>
    <row r="136" spans="1:61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25"/>
      <c r="BF136" s="25"/>
      <c r="BG136" s="25"/>
      <c r="BH136" s="25"/>
      <c r="BI136" s="25"/>
    </row>
    <row r="137" spans="1:61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25"/>
      <c r="BF137" s="25"/>
      <c r="BG137" s="25"/>
      <c r="BH137" s="25"/>
      <c r="BI137" s="25"/>
    </row>
    <row r="138" spans="1:61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25"/>
      <c r="BF138" s="25"/>
      <c r="BG138" s="25"/>
      <c r="BH138" s="25"/>
      <c r="BI138" s="25"/>
    </row>
    <row r="139" spans="1:61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25"/>
      <c r="BF139" s="25"/>
      <c r="BG139" s="25"/>
      <c r="BH139" s="25"/>
      <c r="BI139" s="25"/>
    </row>
    <row r="140" spans="1:61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25"/>
      <c r="BF140" s="25"/>
      <c r="BG140" s="25"/>
      <c r="BH140" s="25"/>
      <c r="BI140" s="25"/>
    </row>
    <row r="141" spans="1:6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25"/>
      <c r="BF141" s="25"/>
      <c r="BG141" s="25"/>
      <c r="BH141" s="25"/>
      <c r="BI141" s="25"/>
    </row>
    <row r="142" spans="1:61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25"/>
      <c r="BF142" s="25"/>
      <c r="BG142" s="25"/>
      <c r="BH142" s="25"/>
      <c r="BI142" s="25"/>
    </row>
    <row r="143" spans="1:61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25"/>
      <c r="BF143" s="25"/>
      <c r="BG143" s="25"/>
      <c r="BH143" s="25"/>
      <c r="BI143" s="25"/>
    </row>
    <row r="144" spans="1:61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25"/>
      <c r="BF144" s="25"/>
      <c r="BG144" s="25"/>
      <c r="BH144" s="25"/>
      <c r="BI144" s="25"/>
    </row>
    <row r="145" spans="1:61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25"/>
      <c r="BF145" s="25"/>
      <c r="BG145" s="25"/>
      <c r="BH145" s="25"/>
      <c r="BI145" s="25"/>
    </row>
    <row r="146" spans="1:61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25"/>
      <c r="BF146" s="25"/>
      <c r="BG146" s="25"/>
      <c r="BH146" s="25"/>
      <c r="BI146" s="25"/>
    </row>
    <row r="147" spans="1:61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25"/>
      <c r="BF147" s="25"/>
      <c r="BG147" s="25"/>
      <c r="BH147" s="25"/>
      <c r="BI147" s="25"/>
    </row>
    <row r="148" spans="1:61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25"/>
      <c r="BF148" s="25"/>
      <c r="BG148" s="25"/>
      <c r="BH148" s="25"/>
      <c r="BI148" s="25"/>
    </row>
    <row r="149" spans="1:61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25"/>
      <c r="BF149" s="25"/>
      <c r="BG149" s="25"/>
      <c r="BH149" s="25"/>
      <c r="BI149" s="25"/>
    </row>
    <row r="150" spans="1:61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25"/>
      <c r="BF150" s="25"/>
      <c r="BG150" s="25"/>
      <c r="BH150" s="25"/>
      <c r="BI150" s="25"/>
    </row>
    <row r="151" spans="1:6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25"/>
      <c r="BF151" s="25"/>
      <c r="BG151" s="25"/>
      <c r="BH151" s="25"/>
      <c r="BI151" s="25"/>
    </row>
    <row r="152" spans="1:61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25"/>
      <c r="BF152" s="25"/>
      <c r="BG152" s="25"/>
      <c r="BH152" s="25"/>
      <c r="BI152" s="25"/>
    </row>
    <row r="153" spans="1:61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25"/>
      <c r="BF153" s="25"/>
      <c r="BG153" s="25"/>
      <c r="BH153" s="25"/>
      <c r="BI153" s="25"/>
    </row>
    <row r="154" spans="1:61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25"/>
      <c r="BF154" s="25"/>
      <c r="BG154" s="25"/>
      <c r="BH154" s="25"/>
      <c r="BI154" s="25"/>
    </row>
    <row r="155" spans="1:61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25"/>
      <c r="BF155" s="25"/>
      <c r="BG155" s="25"/>
      <c r="BH155" s="25"/>
      <c r="BI155" s="25"/>
    </row>
    <row r="156" spans="1:61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25"/>
      <c r="BF156" s="25"/>
      <c r="BG156" s="25"/>
      <c r="BH156" s="25"/>
      <c r="BI156" s="25"/>
    </row>
    <row r="157" spans="1:61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25"/>
      <c r="BF157" s="25"/>
      <c r="BG157" s="25"/>
      <c r="BH157" s="25"/>
      <c r="BI157" s="25"/>
    </row>
    <row r="158" spans="1:61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25"/>
      <c r="BF158" s="25"/>
      <c r="BG158" s="25"/>
      <c r="BH158" s="25"/>
      <c r="BI158" s="25"/>
    </row>
    <row r="159" spans="1:61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25"/>
      <c r="BF159" s="25"/>
      <c r="BG159" s="25"/>
      <c r="BH159" s="25"/>
      <c r="BI159" s="25"/>
    </row>
    <row r="160" spans="1:61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25"/>
      <c r="BF160" s="25"/>
      <c r="BG160" s="25"/>
      <c r="BH160" s="25"/>
      <c r="BI160" s="25"/>
    </row>
    <row r="161" spans="1: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25"/>
      <c r="BF161" s="25"/>
      <c r="BG161" s="25"/>
      <c r="BH161" s="25"/>
      <c r="BI161" s="25"/>
    </row>
    <row r="162" spans="1:61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25"/>
      <c r="BF162" s="25"/>
      <c r="BG162" s="25"/>
      <c r="BH162" s="25"/>
      <c r="BI162" s="25"/>
    </row>
    <row r="163" spans="1:61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25"/>
      <c r="BF163" s="25"/>
      <c r="BG163" s="25"/>
      <c r="BH163" s="25"/>
      <c r="BI163" s="25"/>
    </row>
    <row r="164" spans="1:61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25"/>
      <c r="BF164" s="25"/>
      <c r="BG164" s="25"/>
      <c r="BH164" s="25"/>
      <c r="BI164" s="25"/>
    </row>
    <row r="165" spans="1:61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25"/>
      <c r="BF165" s="25"/>
      <c r="BG165" s="25"/>
      <c r="BH165" s="25"/>
      <c r="BI165" s="25"/>
    </row>
    <row r="166" spans="1:61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25"/>
      <c r="BF166" s="25"/>
      <c r="BG166" s="25"/>
      <c r="BH166" s="25"/>
      <c r="BI166" s="25"/>
    </row>
    <row r="167" spans="1:61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25"/>
      <c r="BF167" s="25"/>
      <c r="BG167" s="25"/>
      <c r="BH167" s="25"/>
      <c r="BI167" s="25"/>
    </row>
    <row r="168" spans="1:61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25"/>
      <c r="BF168" s="25"/>
      <c r="BG168" s="25"/>
      <c r="BH168" s="25"/>
      <c r="BI168" s="25"/>
    </row>
    <row r="169" spans="1:61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25"/>
      <c r="BF169" s="25"/>
      <c r="BG169" s="25"/>
      <c r="BH169" s="25"/>
      <c r="BI169" s="25"/>
    </row>
    <row r="170" spans="1:61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25"/>
      <c r="BF170" s="25"/>
      <c r="BG170" s="25"/>
      <c r="BH170" s="25"/>
      <c r="BI170" s="25"/>
    </row>
    <row r="171" spans="1:6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25"/>
      <c r="BF171" s="25"/>
      <c r="BG171" s="25"/>
      <c r="BH171" s="25"/>
      <c r="BI171" s="25"/>
    </row>
    <row r="172" spans="1:61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25"/>
      <c r="BF172" s="25"/>
      <c r="BG172" s="25"/>
      <c r="BH172" s="25"/>
      <c r="BI172" s="25"/>
    </row>
    <row r="173" spans="1:61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25"/>
      <c r="BF173" s="25"/>
      <c r="BG173" s="25"/>
      <c r="BH173" s="25"/>
      <c r="BI173" s="25"/>
    </row>
    <row r="174" spans="1:61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25"/>
      <c r="BF174" s="25"/>
      <c r="BG174" s="25"/>
      <c r="BH174" s="25"/>
      <c r="BI174" s="25"/>
    </row>
    <row r="175" spans="1:61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25"/>
      <c r="BF175" s="25"/>
      <c r="BG175" s="25"/>
      <c r="BH175" s="25"/>
      <c r="BI175" s="25"/>
    </row>
    <row r="176" spans="1:61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25"/>
      <c r="BF176" s="25"/>
      <c r="BG176" s="25"/>
      <c r="BH176" s="25"/>
      <c r="BI176" s="25"/>
    </row>
    <row r="177" spans="1:61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25"/>
      <c r="BF177" s="25"/>
      <c r="BG177" s="25"/>
      <c r="BH177" s="25"/>
      <c r="BI177" s="25"/>
    </row>
    <row r="178" spans="1:61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25"/>
      <c r="BF178" s="25"/>
      <c r="BG178" s="25"/>
      <c r="BH178" s="25"/>
      <c r="BI178" s="25"/>
    </row>
    <row r="179" spans="1:61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25"/>
      <c r="BF179" s="25"/>
      <c r="BG179" s="25"/>
      <c r="BH179" s="25"/>
      <c r="BI179" s="25"/>
    </row>
    <row r="180" spans="1:61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25"/>
      <c r="BF180" s="25"/>
      <c r="BG180" s="25"/>
      <c r="BH180" s="25"/>
      <c r="BI180" s="25"/>
    </row>
    <row r="181" spans="1:6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25"/>
      <c r="BF181" s="25"/>
      <c r="BG181" s="25"/>
      <c r="BH181" s="25"/>
      <c r="BI181" s="25"/>
    </row>
    <row r="182" spans="1:61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25"/>
      <c r="BF182" s="25"/>
      <c r="BG182" s="25"/>
      <c r="BH182" s="25"/>
      <c r="BI182" s="25"/>
    </row>
    <row r="183" spans="1:61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25"/>
      <c r="BF183" s="25"/>
      <c r="BG183" s="25"/>
      <c r="BH183" s="25"/>
      <c r="BI183" s="25"/>
    </row>
    <row r="184" spans="1:61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25"/>
      <c r="BF184" s="25"/>
      <c r="BG184" s="25"/>
      <c r="BH184" s="25"/>
      <c r="BI184" s="25"/>
    </row>
    <row r="185" spans="1:61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25"/>
      <c r="BF185" s="25"/>
      <c r="BG185" s="25"/>
      <c r="BH185" s="25"/>
      <c r="BI185" s="25"/>
    </row>
    <row r="186" spans="1:61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25"/>
      <c r="BF186" s="25"/>
      <c r="BG186" s="25"/>
      <c r="BH186" s="25"/>
      <c r="BI186" s="25"/>
    </row>
    <row r="187" spans="1:61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25"/>
      <c r="BF187" s="25"/>
      <c r="BG187" s="25"/>
      <c r="BH187" s="25"/>
      <c r="BI187" s="25"/>
    </row>
    <row r="188" spans="1:61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25"/>
      <c r="BF188" s="25"/>
      <c r="BG188" s="25"/>
      <c r="BH188" s="25"/>
      <c r="BI188" s="25"/>
    </row>
    <row r="189" spans="1:61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25"/>
      <c r="BF189" s="25"/>
      <c r="BG189" s="25"/>
      <c r="BH189" s="25"/>
      <c r="BI189" s="25"/>
    </row>
    <row r="190" spans="1:61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25"/>
      <c r="BF190" s="25"/>
      <c r="BG190" s="25"/>
      <c r="BH190" s="25"/>
      <c r="BI190" s="25"/>
    </row>
    <row r="191" spans="1:6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25"/>
      <c r="BF191" s="25"/>
      <c r="BG191" s="25"/>
      <c r="BH191" s="25"/>
      <c r="BI191" s="25"/>
    </row>
    <row r="192" spans="1:61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25"/>
      <c r="BF192" s="25"/>
      <c r="BG192" s="25"/>
      <c r="BH192" s="25"/>
      <c r="BI192" s="25"/>
    </row>
    <row r="193" spans="1:61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25"/>
      <c r="BF193" s="25"/>
      <c r="BG193" s="25"/>
      <c r="BH193" s="25"/>
      <c r="BI193" s="25"/>
    </row>
    <row r="194" spans="1:61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25"/>
      <c r="BF194" s="25"/>
      <c r="BG194" s="25"/>
      <c r="BH194" s="25"/>
      <c r="BI194" s="25"/>
    </row>
    <row r="195" spans="1:61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25"/>
      <c r="BF195" s="25"/>
      <c r="BG195" s="25"/>
      <c r="BH195" s="25"/>
      <c r="BI195" s="25"/>
    </row>
    <row r="196" spans="1:61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25"/>
      <c r="BF196" s="25"/>
      <c r="BG196" s="25"/>
      <c r="BH196" s="25"/>
      <c r="BI196" s="25"/>
    </row>
    <row r="197" spans="1:61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25"/>
      <c r="BF197" s="25"/>
      <c r="BG197" s="25"/>
      <c r="BH197" s="25"/>
      <c r="BI197" s="25"/>
    </row>
    <row r="198" spans="1:61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25"/>
      <c r="BF198" s="25"/>
      <c r="BG198" s="25"/>
      <c r="BH198" s="25"/>
      <c r="BI198" s="25"/>
    </row>
    <row r="199" spans="1:61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25"/>
      <c r="BF199" s="25"/>
      <c r="BG199" s="25"/>
      <c r="BH199" s="25"/>
      <c r="BI199" s="25"/>
    </row>
    <row r="200" spans="1:61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25"/>
      <c r="BF200" s="25"/>
      <c r="BG200" s="25"/>
      <c r="BH200" s="25"/>
      <c r="BI200" s="25"/>
    </row>
    <row r="201" spans="1:6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25"/>
      <c r="BF201" s="25"/>
      <c r="BG201" s="25"/>
      <c r="BH201" s="25"/>
      <c r="BI201" s="25"/>
    </row>
    <row r="202" spans="1:61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25"/>
      <c r="BF202" s="25"/>
      <c r="BG202" s="25"/>
      <c r="BH202" s="25"/>
      <c r="BI202" s="25"/>
    </row>
    <row r="203" spans="1:61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25"/>
      <c r="BF203" s="25"/>
      <c r="BG203" s="25"/>
      <c r="BH203" s="25"/>
      <c r="BI203" s="25"/>
    </row>
    <row r="204" spans="1:61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25"/>
      <c r="BF204" s="25"/>
      <c r="BG204" s="25"/>
      <c r="BH204" s="25"/>
      <c r="BI204" s="25"/>
    </row>
    <row r="205" spans="1:61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25"/>
      <c r="BF205" s="25"/>
      <c r="BG205" s="25"/>
      <c r="BH205" s="25"/>
      <c r="BI205" s="25"/>
    </row>
    <row r="206" spans="1:61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25"/>
      <c r="BF206" s="25"/>
      <c r="BG206" s="25"/>
      <c r="BH206" s="25"/>
      <c r="BI206" s="25"/>
    </row>
    <row r="207" spans="1:61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25"/>
      <c r="BF207" s="25"/>
      <c r="BG207" s="25"/>
      <c r="BH207" s="25"/>
      <c r="BI207" s="25"/>
    </row>
    <row r="208" spans="1:61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25"/>
      <c r="BF208" s="25"/>
      <c r="BG208" s="25"/>
      <c r="BH208" s="25"/>
      <c r="BI208" s="25"/>
    </row>
    <row r="209" spans="1:61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25"/>
      <c r="BF209" s="25"/>
      <c r="BG209" s="25"/>
      <c r="BH209" s="25"/>
      <c r="BI209" s="25"/>
    </row>
    <row r="210" spans="1:61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25"/>
      <c r="BF210" s="25"/>
      <c r="BG210" s="25"/>
      <c r="BH210" s="25"/>
      <c r="BI210" s="25"/>
    </row>
    <row r="211" spans="1:6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25"/>
      <c r="BF211" s="25"/>
      <c r="BG211" s="25"/>
      <c r="BH211" s="25"/>
      <c r="BI211" s="25"/>
    </row>
    <row r="212" spans="1:61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25"/>
      <c r="BF212" s="25"/>
      <c r="BG212" s="25"/>
      <c r="BH212" s="25"/>
      <c r="BI212" s="25"/>
    </row>
    <row r="213" spans="1:61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25"/>
      <c r="BF213" s="25"/>
      <c r="BG213" s="25"/>
      <c r="BH213" s="25"/>
      <c r="BI213" s="25"/>
    </row>
    <row r="214" spans="1:61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25"/>
      <c r="BF214" s="25"/>
      <c r="BG214" s="25"/>
      <c r="BH214" s="25"/>
      <c r="BI214" s="25"/>
    </row>
    <row r="215" spans="1:61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25"/>
      <c r="BF215" s="25"/>
      <c r="BG215" s="25"/>
      <c r="BH215" s="25"/>
      <c r="BI215" s="25"/>
    </row>
    <row r="216" spans="1:61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25"/>
      <c r="BF216" s="25"/>
      <c r="BG216" s="25"/>
      <c r="BH216" s="25"/>
      <c r="BI216" s="25"/>
    </row>
    <row r="217" spans="1:61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25"/>
      <c r="BF217" s="25"/>
      <c r="BG217" s="25"/>
      <c r="BH217" s="25"/>
      <c r="BI217" s="25"/>
    </row>
    <row r="218" spans="1:61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25"/>
      <c r="BF218" s="25"/>
      <c r="BG218" s="25"/>
      <c r="BH218" s="25"/>
      <c r="BI218" s="25"/>
    </row>
    <row r="219" spans="1:61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25"/>
      <c r="BF219" s="25"/>
      <c r="BG219" s="25"/>
      <c r="BH219" s="25"/>
      <c r="BI219" s="25"/>
    </row>
    <row r="220" spans="1:61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25"/>
      <c r="BF220" s="25"/>
      <c r="BG220" s="25"/>
      <c r="BH220" s="25"/>
      <c r="BI220" s="25"/>
    </row>
    <row r="221" spans="1:6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25"/>
      <c r="BF221" s="25"/>
      <c r="BG221" s="25"/>
      <c r="BH221" s="25"/>
      <c r="BI221" s="25"/>
    </row>
    <row r="222" spans="1:61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25"/>
      <c r="BF222" s="25"/>
      <c r="BG222" s="25"/>
      <c r="BH222" s="25"/>
      <c r="BI222" s="25"/>
    </row>
    <row r="223" spans="1:61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25"/>
      <c r="BF223" s="25"/>
      <c r="BG223" s="25"/>
      <c r="BH223" s="25"/>
      <c r="BI223" s="25"/>
    </row>
    <row r="224" spans="1:61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25"/>
      <c r="BF224" s="25"/>
      <c r="BG224" s="25"/>
      <c r="BH224" s="25"/>
      <c r="BI224" s="25"/>
    </row>
    <row r="225" spans="1:61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25"/>
      <c r="BF225" s="25"/>
      <c r="BG225" s="25"/>
      <c r="BH225" s="25"/>
      <c r="BI225" s="25"/>
    </row>
    <row r="226" spans="1:61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25"/>
      <c r="BF226" s="25"/>
      <c r="BG226" s="25"/>
      <c r="BH226" s="25"/>
      <c r="BI226" s="25"/>
    </row>
    <row r="227" spans="1:61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25"/>
      <c r="BF227" s="25"/>
      <c r="BG227" s="25"/>
      <c r="BH227" s="25"/>
      <c r="BI227" s="25"/>
    </row>
    <row r="228" spans="1:61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25"/>
      <c r="BF228" s="25"/>
      <c r="BG228" s="25"/>
      <c r="BH228" s="25"/>
      <c r="BI228" s="25"/>
    </row>
    <row r="229" spans="1:61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25"/>
      <c r="BF229" s="25"/>
      <c r="BG229" s="25"/>
      <c r="BH229" s="25"/>
      <c r="BI229" s="25"/>
    </row>
    <row r="230" spans="1:61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25"/>
      <c r="BF230" s="25"/>
      <c r="BG230" s="25"/>
      <c r="BH230" s="25"/>
      <c r="BI230" s="25"/>
    </row>
    <row r="231" spans="1:6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25"/>
      <c r="BF231" s="25"/>
      <c r="BG231" s="25"/>
      <c r="BH231" s="25"/>
      <c r="BI231" s="25"/>
    </row>
    <row r="232" spans="1:61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25"/>
      <c r="BF232" s="25"/>
      <c r="BG232" s="25"/>
      <c r="BH232" s="25"/>
      <c r="BI232" s="25"/>
    </row>
    <row r="233" spans="1:61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25"/>
      <c r="BF233" s="25"/>
      <c r="BG233" s="25"/>
      <c r="BH233" s="25"/>
      <c r="BI233" s="25"/>
    </row>
    <row r="234" spans="1:61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25"/>
      <c r="BF234" s="25"/>
      <c r="BG234" s="25"/>
      <c r="BH234" s="25"/>
      <c r="BI234" s="25"/>
    </row>
    <row r="235" spans="1:61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25"/>
      <c r="BF235" s="25"/>
      <c r="BG235" s="25"/>
      <c r="BH235" s="25"/>
      <c r="BI235" s="25"/>
    </row>
    <row r="236" spans="1:61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25"/>
      <c r="BF236" s="25"/>
      <c r="BG236" s="25"/>
      <c r="BH236" s="25"/>
      <c r="BI236" s="25"/>
    </row>
    <row r="237" spans="1:61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25"/>
      <c r="BF237" s="25"/>
      <c r="BG237" s="25"/>
      <c r="BH237" s="25"/>
      <c r="BI237" s="25"/>
    </row>
    <row r="238" spans="1:61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25"/>
      <c r="BF238" s="25"/>
      <c r="BG238" s="25"/>
      <c r="BH238" s="25"/>
      <c r="BI238" s="25"/>
    </row>
    <row r="239" spans="1:61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25"/>
      <c r="BF239" s="25"/>
      <c r="BG239" s="25"/>
      <c r="BH239" s="25"/>
      <c r="BI239" s="25"/>
    </row>
    <row r="240" spans="1:61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25"/>
      <c r="BF240" s="25"/>
      <c r="BG240" s="25"/>
      <c r="BH240" s="25"/>
      <c r="BI240" s="25"/>
    </row>
    <row r="241" spans="1:6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25"/>
      <c r="BF241" s="25"/>
      <c r="BG241" s="25"/>
      <c r="BH241" s="25"/>
      <c r="BI241" s="25"/>
    </row>
    <row r="242" spans="1:61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25"/>
      <c r="BF242" s="25"/>
      <c r="BG242" s="25"/>
      <c r="BH242" s="25"/>
      <c r="BI242" s="25"/>
    </row>
    <row r="243" spans="1:61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25"/>
      <c r="BF243" s="25"/>
      <c r="BG243" s="25"/>
      <c r="BH243" s="25"/>
      <c r="BI243" s="25"/>
    </row>
    <row r="244" spans="1:61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25"/>
      <c r="BF244" s="25"/>
      <c r="BG244" s="25"/>
      <c r="BH244" s="25"/>
      <c r="BI244" s="25"/>
    </row>
    <row r="245" spans="1:61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25"/>
      <c r="BF245" s="25"/>
      <c r="BG245" s="25"/>
      <c r="BH245" s="25"/>
      <c r="BI245" s="25"/>
    </row>
    <row r="246" spans="1:61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25"/>
      <c r="BF246" s="25"/>
      <c r="BG246" s="25"/>
      <c r="BH246" s="25"/>
      <c r="BI246" s="25"/>
    </row>
    <row r="247" spans="1:61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25"/>
      <c r="BF247" s="25"/>
      <c r="BG247" s="25"/>
      <c r="BH247" s="25"/>
      <c r="BI247" s="25"/>
    </row>
    <row r="248" spans="1:61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25"/>
      <c r="BF248" s="25"/>
      <c r="BG248" s="25"/>
      <c r="BH248" s="25"/>
      <c r="BI248" s="25"/>
    </row>
    <row r="249" spans="1:61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25"/>
      <c r="BF249" s="25"/>
      <c r="BG249" s="25"/>
      <c r="BH249" s="25"/>
      <c r="BI249" s="25"/>
    </row>
    <row r="250" spans="1:61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25"/>
      <c r="BF250" s="25"/>
      <c r="BG250" s="25"/>
      <c r="BH250" s="25"/>
      <c r="BI250" s="25"/>
    </row>
    <row r="251" spans="1:6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25"/>
      <c r="BF251" s="25"/>
      <c r="BG251" s="25"/>
      <c r="BH251" s="25"/>
      <c r="BI251" s="25"/>
    </row>
    <row r="252" spans="1:61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25"/>
      <c r="BF252" s="25"/>
      <c r="BG252" s="25"/>
      <c r="BH252" s="25"/>
      <c r="BI252" s="25"/>
    </row>
    <row r="253" spans="1:61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25"/>
      <c r="BF253" s="25"/>
      <c r="BG253" s="25"/>
      <c r="BH253" s="25"/>
      <c r="BI253" s="25"/>
    </row>
    <row r="254" spans="1:61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25"/>
      <c r="BF254" s="25"/>
      <c r="BG254" s="25"/>
      <c r="BH254" s="25"/>
      <c r="BI254" s="25"/>
    </row>
    <row r="255" spans="1:61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25"/>
      <c r="BF255" s="25"/>
      <c r="BG255" s="25"/>
      <c r="BH255" s="25"/>
      <c r="BI255" s="25"/>
    </row>
    <row r="256" spans="1:61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25"/>
      <c r="BF256" s="25"/>
      <c r="BG256" s="25"/>
      <c r="BH256" s="25"/>
      <c r="BI256" s="25"/>
    </row>
    <row r="257" spans="1:61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25"/>
      <c r="BF257" s="25"/>
      <c r="BG257" s="25"/>
      <c r="BH257" s="25"/>
      <c r="BI257" s="25"/>
    </row>
    <row r="258" spans="1:61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25"/>
      <c r="BF258" s="25"/>
      <c r="BG258" s="25"/>
      <c r="BH258" s="25"/>
      <c r="BI258" s="25"/>
    </row>
    <row r="259" spans="1:61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25"/>
      <c r="BF259" s="25"/>
      <c r="BG259" s="25"/>
      <c r="BH259" s="25"/>
      <c r="BI259" s="25"/>
    </row>
    <row r="260" spans="1:61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25"/>
      <c r="BF260" s="25"/>
      <c r="BG260" s="25"/>
      <c r="BH260" s="25"/>
      <c r="BI260" s="25"/>
    </row>
    <row r="261" spans="1: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25"/>
      <c r="BF261" s="25"/>
      <c r="BG261" s="25"/>
      <c r="BH261" s="25"/>
      <c r="BI261" s="25"/>
    </row>
    <row r="262" spans="1:61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25"/>
      <c r="BF262" s="25"/>
      <c r="BG262" s="25"/>
      <c r="BH262" s="25"/>
      <c r="BI262" s="25"/>
    </row>
    <row r="263" spans="1:61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25"/>
      <c r="BF263" s="25"/>
      <c r="BG263" s="25"/>
      <c r="BH263" s="25"/>
      <c r="BI263" s="25"/>
    </row>
    <row r="264" spans="1:61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25"/>
      <c r="BF264" s="25"/>
      <c r="BG264" s="25"/>
      <c r="BH264" s="25"/>
      <c r="BI264" s="25"/>
    </row>
    <row r="265" spans="1:61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25"/>
      <c r="BF265" s="25"/>
      <c r="BG265" s="25"/>
      <c r="BH265" s="25"/>
      <c r="BI265" s="25"/>
    </row>
    <row r="266" spans="1:61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25"/>
      <c r="BF266" s="25"/>
      <c r="BG266" s="25"/>
      <c r="BH266" s="25"/>
      <c r="BI266" s="25"/>
    </row>
    <row r="267" spans="1:61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25"/>
      <c r="BF267" s="25"/>
      <c r="BG267" s="25"/>
      <c r="BH267" s="25"/>
      <c r="BI267" s="25"/>
    </row>
    <row r="268" spans="1:61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25"/>
      <c r="BF268" s="25"/>
      <c r="BG268" s="25"/>
      <c r="BH268" s="25"/>
      <c r="BI268" s="25"/>
    </row>
    <row r="269" spans="1:61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25"/>
      <c r="BF269" s="25"/>
      <c r="BG269" s="25"/>
      <c r="BH269" s="25"/>
      <c r="BI269" s="25"/>
    </row>
    <row r="270" spans="1:61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25"/>
      <c r="BF270" s="25"/>
      <c r="BG270" s="25"/>
      <c r="BH270" s="25"/>
      <c r="BI270" s="25"/>
    </row>
    <row r="271" spans="1:6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25"/>
      <c r="BF271" s="25"/>
      <c r="BG271" s="25"/>
      <c r="BH271" s="25"/>
      <c r="BI271" s="25"/>
    </row>
    <row r="272" spans="1:61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25"/>
      <c r="BF272" s="25"/>
      <c r="BG272" s="25"/>
      <c r="BH272" s="25"/>
      <c r="BI272" s="25"/>
    </row>
    <row r="273" spans="1:61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25"/>
      <c r="BF273" s="25"/>
      <c r="BG273" s="25"/>
      <c r="BH273" s="25"/>
      <c r="BI273" s="25"/>
    </row>
    <row r="274" spans="1:61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25"/>
      <c r="BF274" s="25"/>
      <c r="BG274" s="25"/>
      <c r="BH274" s="25"/>
      <c r="BI274" s="25"/>
    </row>
    <row r="275" spans="1:61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25"/>
      <c r="BF275" s="25"/>
      <c r="BG275" s="25"/>
      <c r="BH275" s="25"/>
      <c r="BI275" s="25"/>
    </row>
    <row r="276" spans="1:61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25"/>
      <c r="BF276" s="25"/>
      <c r="BG276" s="25"/>
      <c r="BH276" s="25"/>
      <c r="BI276" s="25"/>
    </row>
    <row r="277" spans="1:61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25"/>
      <c r="BF277" s="25"/>
      <c r="BG277" s="25"/>
      <c r="BH277" s="25"/>
      <c r="BI277" s="25"/>
    </row>
    <row r="278" spans="1:61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25"/>
      <c r="BF278" s="25"/>
      <c r="BG278" s="25"/>
      <c r="BH278" s="25"/>
      <c r="BI278" s="25"/>
    </row>
    <row r="279" spans="1:61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25"/>
      <c r="BF279" s="25"/>
      <c r="BG279" s="25"/>
      <c r="BH279" s="25"/>
      <c r="BI279" s="25"/>
    </row>
    <row r="280" spans="1:61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25"/>
      <c r="BF280" s="25"/>
      <c r="BG280" s="25"/>
      <c r="BH280" s="25"/>
      <c r="BI280" s="25"/>
    </row>
    <row r="281" spans="1:6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25"/>
      <c r="BF281" s="25"/>
      <c r="BG281" s="25"/>
      <c r="BH281" s="25"/>
      <c r="BI281" s="25"/>
    </row>
    <row r="282" spans="1:61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25"/>
      <c r="BF282" s="25"/>
      <c r="BG282" s="25"/>
      <c r="BH282" s="25"/>
      <c r="BI282" s="25"/>
    </row>
    <row r="283" spans="1:61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25"/>
      <c r="BF283" s="25"/>
      <c r="BG283" s="25"/>
      <c r="BH283" s="25"/>
      <c r="BI283" s="25"/>
    </row>
    <row r="284" spans="1:61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25"/>
      <c r="BF284" s="25"/>
      <c r="BG284" s="25"/>
      <c r="BH284" s="25"/>
      <c r="BI284" s="25"/>
    </row>
    <row r="285" spans="1:61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25"/>
      <c r="BF285" s="25"/>
      <c r="BG285" s="25"/>
      <c r="BH285" s="25"/>
      <c r="BI285" s="25"/>
    </row>
    <row r="286" spans="1:61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25"/>
      <c r="BF286" s="25"/>
      <c r="BG286" s="25"/>
      <c r="BH286" s="25"/>
      <c r="BI286" s="25"/>
    </row>
    <row r="287" spans="1:61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25"/>
      <c r="BF287" s="25"/>
      <c r="BG287" s="25"/>
      <c r="BH287" s="25"/>
      <c r="BI287" s="25"/>
    </row>
    <row r="288" spans="1:61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25"/>
      <c r="BF288" s="25"/>
      <c r="BG288" s="25"/>
      <c r="BH288" s="25"/>
      <c r="BI288" s="25"/>
    </row>
    <row r="289" spans="1:61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25"/>
      <c r="BF289" s="25"/>
      <c r="BG289" s="25"/>
      <c r="BH289" s="25"/>
      <c r="BI289" s="25"/>
    </row>
    <row r="290" spans="1:61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25"/>
      <c r="BF290" s="25"/>
      <c r="BG290" s="25"/>
      <c r="BH290" s="25"/>
      <c r="BI290" s="25"/>
    </row>
    <row r="291" spans="1:6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25"/>
      <c r="BF291" s="25"/>
      <c r="BG291" s="25"/>
      <c r="BH291" s="25"/>
      <c r="BI291" s="25"/>
    </row>
    <row r="292" spans="1:61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25"/>
      <c r="BF292" s="25"/>
      <c r="BG292" s="25"/>
      <c r="BH292" s="25"/>
      <c r="BI292" s="25"/>
    </row>
    <row r="293" spans="1:61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25"/>
      <c r="BF293" s="25"/>
      <c r="BG293" s="25"/>
      <c r="BH293" s="25"/>
      <c r="BI293" s="25"/>
    </row>
    <row r="294" spans="1:61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25"/>
      <c r="BF294" s="25"/>
      <c r="BG294" s="25"/>
      <c r="BH294" s="25"/>
      <c r="BI294" s="25"/>
    </row>
    <row r="295" spans="1:61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25"/>
      <c r="BF295" s="25"/>
      <c r="BG295" s="25"/>
      <c r="BH295" s="25"/>
      <c r="BI295" s="25"/>
    </row>
    <row r="296" spans="1:61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25"/>
      <c r="BF296" s="25"/>
      <c r="BG296" s="25"/>
      <c r="BH296" s="25"/>
      <c r="BI296" s="25"/>
    </row>
    <row r="297" spans="1:61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25"/>
      <c r="BF297" s="25"/>
      <c r="BG297" s="25"/>
      <c r="BH297" s="25"/>
      <c r="BI297" s="25"/>
    </row>
    <row r="298" spans="1:61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25"/>
      <c r="BF298" s="25"/>
      <c r="BG298" s="25"/>
      <c r="BH298" s="25"/>
      <c r="BI298" s="25"/>
    </row>
    <row r="299" spans="1:61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25"/>
      <c r="BF299" s="25"/>
      <c r="BG299" s="25"/>
      <c r="BH299" s="25"/>
      <c r="BI299" s="25"/>
    </row>
    <row r="300" spans="1:61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25"/>
      <c r="BF300" s="25"/>
      <c r="BG300" s="25"/>
      <c r="BH300" s="25"/>
      <c r="BI300" s="25"/>
    </row>
    <row r="301" spans="1:6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25"/>
      <c r="BF301" s="25"/>
      <c r="BG301" s="25"/>
      <c r="BH301" s="25"/>
      <c r="BI301" s="25"/>
    </row>
    <row r="302" spans="1:61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25"/>
      <c r="BF302" s="25"/>
      <c r="BG302" s="25"/>
      <c r="BH302" s="25"/>
      <c r="BI302" s="25"/>
    </row>
    <row r="303" spans="1:61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25"/>
      <c r="BF303" s="25"/>
      <c r="BG303" s="25"/>
      <c r="BH303" s="25"/>
      <c r="BI303" s="25"/>
    </row>
    <row r="304" spans="1:61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25"/>
      <c r="BF304" s="25"/>
      <c r="BG304" s="25"/>
      <c r="BH304" s="25"/>
      <c r="BI304" s="25"/>
    </row>
    <row r="305" spans="1:61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25"/>
      <c r="BF305" s="25"/>
      <c r="BG305" s="25"/>
      <c r="BH305" s="25"/>
      <c r="BI305" s="25"/>
    </row>
    <row r="306" spans="1:61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25"/>
      <c r="BF306" s="25"/>
      <c r="BG306" s="25"/>
      <c r="BH306" s="25"/>
      <c r="BI306" s="25"/>
    </row>
    <row r="307" spans="1:61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25"/>
      <c r="BF307" s="25"/>
      <c r="BG307" s="25"/>
      <c r="BH307" s="25"/>
      <c r="BI307" s="25"/>
    </row>
    <row r="308" spans="1:61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25"/>
      <c r="BF308" s="25"/>
      <c r="BG308" s="25"/>
      <c r="BH308" s="25"/>
      <c r="BI308" s="25"/>
    </row>
    <row r="309" spans="1:61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25"/>
      <c r="BF309" s="25"/>
      <c r="BG309" s="25"/>
      <c r="BH309" s="25"/>
      <c r="BI309" s="25"/>
    </row>
    <row r="310" spans="1:61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25"/>
      <c r="BF310" s="25"/>
      <c r="BG310" s="25"/>
      <c r="BH310" s="25"/>
      <c r="BI310" s="25"/>
    </row>
    <row r="311" spans="1:6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25"/>
      <c r="BF311" s="25"/>
      <c r="BG311" s="25"/>
      <c r="BH311" s="25"/>
      <c r="BI311" s="25"/>
    </row>
    <row r="312" spans="1:61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25"/>
      <c r="BF312" s="25"/>
      <c r="BG312" s="25"/>
      <c r="BH312" s="25"/>
      <c r="BI312" s="25"/>
    </row>
    <row r="313" spans="1:61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25"/>
      <c r="BF313" s="25"/>
      <c r="BG313" s="25"/>
      <c r="BH313" s="25"/>
      <c r="BI313" s="25"/>
    </row>
    <row r="314" spans="1:61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25"/>
      <c r="BF314" s="25"/>
      <c r="BG314" s="25"/>
      <c r="BH314" s="25"/>
      <c r="BI314" s="25"/>
    </row>
    <row r="315" spans="1:61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25"/>
      <c r="BF315" s="25"/>
      <c r="BG315" s="25"/>
      <c r="BH315" s="25"/>
      <c r="BI315" s="25"/>
    </row>
    <row r="316" spans="1:61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25"/>
      <c r="BF316" s="25"/>
      <c r="BG316" s="25"/>
      <c r="BH316" s="25"/>
      <c r="BI316" s="25"/>
    </row>
    <row r="317" spans="1:61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25"/>
      <c r="BF317" s="25"/>
      <c r="BG317" s="25"/>
      <c r="BH317" s="25"/>
      <c r="BI317" s="25"/>
    </row>
    <row r="318" spans="1:61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25"/>
      <c r="BF318" s="25"/>
      <c r="BG318" s="25"/>
      <c r="BH318" s="25"/>
      <c r="BI318" s="25"/>
    </row>
    <row r="319" spans="1:61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25"/>
      <c r="BF319" s="25"/>
      <c r="BG319" s="25"/>
      <c r="BH319" s="25"/>
      <c r="BI319" s="25"/>
    </row>
    <row r="320" spans="1:61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25"/>
      <c r="BF320" s="25"/>
      <c r="BG320" s="25"/>
      <c r="BH320" s="25"/>
      <c r="BI320" s="25"/>
    </row>
    <row r="321" spans="1:6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25"/>
      <c r="BF321" s="25"/>
      <c r="BG321" s="25"/>
      <c r="BH321" s="25"/>
      <c r="BI321" s="25"/>
    </row>
    <row r="322" spans="1:61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25"/>
      <c r="BF322" s="25"/>
      <c r="BG322" s="25"/>
      <c r="BH322" s="25"/>
      <c r="BI322" s="25"/>
    </row>
    <row r="323" spans="1:61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25"/>
      <c r="BF323" s="25"/>
      <c r="BG323" s="25"/>
      <c r="BH323" s="25"/>
      <c r="BI323" s="25"/>
    </row>
    <row r="324" spans="1:61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25"/>
      <c r="BF324" s="25"/>
      <c r="BG324" s="25"/>
      <c r="BH324" s="25"/>
      <c r="BI324" s="25"/>
    </row>
    <row r="325" spans="1:61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25"/>
      <c r="BF325" s="25"/>
      <c r="BG325" s="25"/>
      <c r="BH325" s="25"/>
      <c r="BI325" s="25"/>
    </row>
    <row r="326" spans="1:61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25"/>
      <c r="BF326" s="25"/>
      <c r="BG326" s="25"/>
      <c r="BH326" s="25"/>
      <c r="BI326" s="25"/>
    </row>
    <row r="327" spans="1:61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25"/>
      <c r="BF327" s="25"/>
      <c r="BG327" s="25"/>
      <c r="BH327" s="25"/>
      <c r="BI327" s="25"/>
    </row>
    <row r="328" spans="1:61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25"/>
      <c r="BF328" s="25"/>
      <c r="BG328" s="25"/>
      <c r="BH328" s="25"/>
      <c r="BI328" s="25"/>
    </row>
    <row r="329" spans="1:61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25"/>
      <c r="BF329" s="25"/>
      <c r="BG329" s="25"/>
      <c r="BH329" s="25"/>
      <c r="BI329" s="25"/>
    </row>
    <row r="330" spans="1:61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25"/>
      <c r="BF330" s="25"/>
      <c r="BG330" s="25"/>
      <c r="BH330" s="25"/>
      <c r="BI330" s="25"/>
    </row>
    <row r="331" spans="1:6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25"/>
      <c r="BF331" s="25"/>
      <c r="BG331" s="25"/>
      <c r="BH331" s="25"/>
      <c r="BI331" s="25"/>
    </row>
    <row r="332" spans="1:61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25"/>
      <c r="BF332" s="25"/>
      <c r="BG332" s="25"/>
      <c r="BH332" s="25"/>
      <c r="BI332" s="25"/>
    </row>
    <row r="333" spans="1:61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25"/>
      <c r="BF333" s="25"/>
      <c r="BG333" s="25"/>
      <c r="BH333" s="25"/>
      <c r="BI333" s="25"/>
    </row>
    <row r="334" spans="1:61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25"/>
      <c r="BF334" s="25"/>
      <c r="BG334" s="25"/>
      <c r="BH334" s="25"/>
      <c r="BI334" s="25"/>
    </row>
    <row r="335" spans="1:61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25"/>
      <c r="BF335" s="25"/>
      <c r="BG335" s="25"/>
      <c r="BH335" s="25"/>
      <c r="BI335" s="25"/>
    </row>
    <row r="336" spans="1:61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25"/>
      <c r="BF336" s="25"/>
      <c r="BG336" s="25"/>
      <c r="BH336" s="25"/>
      <c r="BI336" s="25"/>
    </row>
    <row r="337" spans="1:61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25"/>
      <c r="BF337" s="25"/>
      <c r="BG337" s="25"/>
      <c r="BH337" s="25"/>
      <c r="BI337" s="25"/>
    </row>
    <row r="338" spans="1:61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25"/>
      <c r="BF338" s="25"/>
      <c r="BG338" s="25"/>
      <c r="BH338" s="25"/>
      <c r="BI338" s="25"/>
    </row>
    <row r="339" spans="1:61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25"/>
      <c r="BF339" s="25"/>
      <c r="BG339" s="25"/>
      <c r="BH339" s="25"/>
      <c r="BI339" s="25"/>
    </row>
    <row r="340" spans="1:61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25"/>
      <c r="BF340" s="25"/>
      <c r="BG340" s="25"/>
      <c r="BH340" s="25"/>
      <c r="BI340" s="25"/>
    </row>
    <row r="341" spans="1:6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25"/>
      <c r="BF341" s="25"/>
      <c r="BG341" s="25"/>
      <c r="BH341" s="25"/>
      <c r="BI341" s="25"/>
    </row>
    <row r="342" spans="1:61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25"/>
      <c r="BF342" s="25"/>
      <c r="BG342" s="25"/>
      <c r="BH342" s="25"/>
      <c r="BI342" s="25"/>
    </row>
    <row r="343" spans="1:61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25"/>
      <c r="BF343" s="25"/>
      <c r="BG343" s="25"/>
      <c r="BH343" s="25"/>
      <c r="BI343" s="25"/>
    </row>
    <row r="344" spans="1:61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25"/>
      <c r="BF344" s="25"/>
      <c r="BG344" s="25"/>
      <c r="BH344" s="25"/>
      <c r="BI344" s="25"/>
    </row>
    <row r="345" spans="1:61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25"/>
      <c r="BF345" s="25"/>
      <c r="BG345" s="25"/>
      <c r="BH345" s="25"/>
      <c r="BI345" s="25"/>
    </row>
    <row r="346" spans="1:61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25"/>
      <c r="BF346" s="25"/>
      <c r="BG346" s="25"/>
      <c r="BH346" s="25"/>
      <c r="BI346" s="25"/>
    </row>
    <row r="347" spans="1:61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25"/>
      <c r="BF347" s="25"/>
      <c r="BG347" s="25"/>
      <c r="BH347" s="25"/>
      <c r="BI347" s="25"/>
    </row>
    <row r="348" spans="1:61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25"/>
      <c r="BF348" s="25"/>
      <c r="BG348" s="25"/>
      <c r="BH348" s="25"/>
      <c r="BI348" s="25"/>
    </row>
    <row r="349" spans="1:61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25"/>
      <c r="BF349" s="25"/>
      <c r="BG349" s="25"/>
      <c r="BH349" s="25"/>
      <c r="BI349" s="25"/>
    </row>
    <row r="350" spans="1:61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25"/>
      <c r="BF350" s="25"/>
      <c r="BG350" s="25"/>
      <c r="BH350" s="25"/>
      <c r="BI350" s="25"/>
    </row>
    <row r="351" spans="1:6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25"/>
      <c r="BF351" s="25"/>
      <c r="BG351" s="25"/>
      <c r="BH351" s="25"/>
      <c r="BI351" s="25"/>
    </row>
    <row r="352" spans="1:61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25"/>
      <c r="BF352" s="25"/>
      <c r="BG352" s="25"/>
      <c r="BH352" s="25"/>
      <c r="BI352" s="25"/>
    </row>
    <row r="353" spans="1:61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25"/>
      <c r="BF353" s="25"/>
      <c r="BG353" s="25"/>
      <c r="BH353" s="25"/>
      <c r="BI353" s="25"/>
    </row>
    <row r="354" spans="1:61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25"/>
      <c r="BF354" s="25"/>
      <c r="BG354" s="25"/>
      <c r="BH354" s="25"/>
      <c r="BI354" s="25"/>
    </row>
    <row r="355" spans="1:61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25"/>
      <c r="BF355" s="25"/>
      <c r="BG355" s="25"/>
      <c r="BH355" s="25"/>
      <c r="BI355" s="25"/>
    </row>
    <row r="356" spans="1:61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25"/>
      <c r="BF356" s="25"/>
      <c r="BG356" s="25"/>
      <c r="BH356" s="25"/>
      <c r="BI356" s="25"/>
    </row>
    <row r="357" spans="1:61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25"/>
      <c r="BF357" s="25"/>
      <c r="BG357" s="25"/>
      <c r="BH357" s="25"/>
      <c r="BI357" s="25"/>
    </row>
    <row r="358" spans="1:61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25"/>
      <c r="BF358" s="25"/>
      <c r="BG358" s="25"/>
      <c r="BH358" s="25"/>
      <c r="BI358" s="25"/>
    </row>
    <row r="359" spans="1:61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25"/>
      <c r="BF359" s="25"/>
      <c r="BG359" s="25"/>
      <c r="BH359" s="25"/>
      <c r="BI359" s="25"/>
    </row>
    <row r="360" spans="1:61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25"/>
      <c r="BF360" s="25"/>
      <c r="BG360" s="25"/>
      <c r="BH360" s="25"/>
      <c r="BI360" s="25"/>
    </row>
    <row r="361" spans="1: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25"/>
      <c r="BF361" s="25"/>
      <c r="BG361" s="25"/>
      <c r="BH361" s="25"/>
      <c r="BI361" s="25"/>
    </row>
    <row r="362" spans="1:61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25"/>
      <c r="BF362" s="25"/>
      <c r="BG362" s="25"/>
      <c r="BH362" s="25"/>
      <c r="BI362" s="25"/>
    </row>
    <row r="363" spans="1:61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25"/>
      <c r="BF363" s="25"/>
      <c r="BG363" s="25"/>
      <c r="BH363" s="25"/>
      <c r="BI363" s="25"/>
    </row>
    <row r="364" spans="1:61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25"/>
      <c r="BF364" s="25"/>
      <c r="BG364" s="25"/>
      <c r="BH364" s="25"/>
      <c r="BI364" s="25"/>
    </row>
    <row r="365" spans="1:61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25"/>
      <c r="BF365" s="25"/>
      <c r="BG365" s="25"/>
      <c r="BH365" s="25"/>
      <c r="BI365" s="25"/>
    </row>
    <row r="366" spans="1:61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25"/>
      <c r="BF366" s="25"/>
      <c r="BG366" s="25"/>
      <c r="BH366" s="25"/>
      <c r="BI366" s="25"/>
    </row>
    <row r="367" spans="1:61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25"/>
      <c r="BF367" s="25"/>
      <c r="BG367" s="25"/>
      <c r="BH367" s="25"/>
      <c r="BI367" s="25"/>
    </row>
    <row r="368" spans="1:61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25"/>
      <c r="BF368" s="25"/>
      <c r="BG368" s="25"/>
      <c r="BH368" s="25"/>
      <c r="BI368" s="25"/>
    </row>
    <row r="369" spans="1:61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25"/>
      <c r="BF369" s="25"/>
      <c r="BG369" s="25"/>
      <c r="BH369" s="25"/>
      <c r="BI369" s="25"/>
    </row>
    <row r="370" spans="1:61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25"/>
      <c r="BF370" s="25"/>
      <c r="BG370" s="25"/>
      <c r="BH370" s="25"/>
      <c r="BI370" s="25"/>
    </row>
    <row r="371" spans="1:6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25"/>
      <c r="BF371" s="25"/>
      <c r="BG371" s="25"/>
      <c r="BH371" s="25"/>
      <c r="BI371" s="25"/>
    </row>
    <row r="372" spans="1:61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25"/>
      <c r="BF372" s="25"/>
      <c r="BG372" s="25"/>
      <c r="BH372" s="25"/>
      <c r="BI372" s="25"/>
    </row>
    <row r="373" spans="1:61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25"/>
      <c r="BF373" s="25"/>
      <c r="BG373" s="25"/>
      <c r="BH373" s="25"/>
      <c r="BI373" s="25"/>
    </row>
    <row r="374" spans="1:61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25"/>
      <c r="BF374" s="25"/>
      <c r="BG374" s="25"/>
      <c r="BH374" s="25"/>
      <c r="BI374" s="25"/>
    </row>
    <row r="375" spans="1:61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25"/>
      <c r="BF375" s="25"/>
      <c r="BG375" s="25"/>
      <c r="BH375" s="25"/>
      <c r="BI375" s="25"/>
    </row>
    <row r="376" spans="1:61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25"/>
      <c r="BF376" s="25"/>
      <c r="BG376" s="25"/>
      <c r="BH376" s="25"/>
      <c r="BI376" s="25"/>
    </row>
    <row r="377" spans="1:61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25"/>
      <c r="BF377" s="25"/>
      <c r="BG377" s="25"/>
      <c r="BH377" s="25"/>
      <c r="BI377" s="25"/>
    </row>
    <row r="378" spans="1:61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25"/>
      <c r="BF378" s="25"/>
      <c r="BG378" s="25"/>
      <c r="BH378" s="25"/>
      <c r="BI378" s="25"/>
    </row>
    <row r="379" spans="1:61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25"/>
      <c r="BF379" s="25"/>
      <c r="BG379" s="25"/>
      <c r="BH379" s="25"/>
      <c r="BI379" s="25"/>
    </row>
    <row r="380" spans="1:61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25"/>
      <c r="BF380" s="25"/>
      <c r="BG380" s="25"/>
      <c r="BH380" s="25"/>
      <c r="BI380" s="25"/>
    </row>
    <row r="381" spans="1:6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25"/>
      <c r="BF381" s="25"/>
      <c r="BG381" s="25"/>
      <c r="BH381" s="25"/>
      <c r="BI381" s="25"/>
    </row>
    <row r="382" spans="1:61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25"/>
      <c r="BF382" s="25"/>
      <c r="BG382" s="25"/>
      <c r="BH382" s="25"/>
      <c r="BI382" s="25"/>
    </row>
    <row r="383" spans="1:61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25"/>
      <c r="BF383" s="25"/>
      <c r="BG383" s="25"/>
      <c r="BH383" s="25"/>
      <c r="BI383" s="25"/>
    </row>
    <row r="384" spans="1:61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25"/>
      <c r="BF384" s="25"/>
      <c r="BG384" s="25"/>
      <c r="BH384" s="25"/>
      <c r="BI384" s="25"/>
    </row>
    <row r="385" spans="1:61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25"/>
      <c r="BF385" s="25"/>
      <c r="BG385" s="25"/>
      <c r="BH385" s="25"/>
      <c r="BI385" s="25"/>
    </row>
    <row r="386" spans="1:61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25"/>
      <c r="BF386" s="25"/>
      <c r="BG386" s="25"/>
      <c r="BH386" s="25"/>
      <c r="BI386" s="25"/>
    </row>
    <row r="387" spans="1:61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25"/>
      <c r="BF387" s="25"/>
      <c r="BG387" s="25"/>
      <c r="BH387" s="25"/>
      <c r="BI387" s="25"/>
    </row>
    <row r="388" spans="1:61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25"/>
      <c r="BF388" s="25"/>
      <c r="BG388" s="25"/>
      <c r="BH388" s="25"/>
      <c r="BI388" s="25"/>
    </row>
    <row r="389" spans="1:61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25"/>
      <c r="BF389" s="25"/>
      <c r="BG389" s="25"/>
      <c r="BH389" s="25"/>
      <c r="BI389" s="25"/>
    </row>
    <row r="390" spans="1:61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25"/>
      <c r="BF390" s="25"/>
      <c r="BG390" s="25"/>
      <c r="BH390" s="25"/>
      <c r="BI390" s="25"/>
    </row>
    <row r="391" spans="1:6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25"/>
      <c r="BF391" s="25"/>
      <c r="BG391" s="25"/>
      <c r="BH391" s="25"/>
      <c r="BI391" s="25"/>
    </row>
    <row r="392" spans="1:61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25"/>
      <c r="BF392" s="25"/>
      <c r="BG392" s="25"/>
      <c r="BH392" s="25"/>
      <c r="BI392" s="25"/>
    </row>
    <row r="393" spans="1:61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25"/>
      <c r="BF393" s="25"/>
      <c r="BG393" s="25"/>
      <c r="BH393" s="25"/>
      <c r="BI393" s="25"/>
    </row>
    <row r="394" spans="1:61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25"/>
      <c r="BF394" s="25"/>
      <c r="BG394" s="25"/>
      <c r="BH394" s="25"/>
      <c r="BI394" s="25"/>
    </row>
    <row r="395" spans="1:61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25"/>
      <c r="BF395" s="25"/>
      <c r="BG395" s="25"/>
      <c r="BH395" s="25"/>
      <c r="BI395" s="25"/>
    </row>
    <row r="396" spans="1:61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25"/>
      <c r="BF396" s="25"/>
      <c r="BG396" s="25"/>
      <c r="BH396" s="25"/>
      <c r="BI396" s="25"/>
    </row>
    <row r="397" spans="1:61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25"/>
      <c r="BF397" s="25"/>
      <c r="BG397" s="25"/>
      <c r="BH397" s="25"/>
      <c r="BI397" s="25"/>
    </row>
    <row r="398" spans="1:61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25"/>
      <c r="BF398" s="25"/>
      <c r="BG398" s="25"/>
      <c r="BH398" s="25"/>
      <c r="BI398" s="25"/>
    </row>
    <row r="399" spans="1:61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25"/>
      <c r="BF399" s="25"/>
      <c r="BG399" s="25"/>
      <c r="BH399" s="25"/>
      <c r="BI399" s="25"/>
    </row>
    <row r="400" spans="1:61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25"/>
      <c r="BF400" s="25"/>
      <c r="BG400" s="25"/>
      <c r="BH400" s="25"/>
      <c r="BI400" s="25"/>
    </row>
    <row r="401" spans="1:6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25"/>
      <c r="BF401" s="25"/>
      <c r="BG401" s="25"/>
      <c r="BH401" s="25"/>
      <c r="BI401" s="25"/>
    </row>
    <row r="402" spans="1:61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25"/>
      <c r="BF402" s="25"/>
      <c r="BG402" s="25"/>
      <c r="BH402" s="25"/>
      <c r="BI402" s="25"/>
    </row>
    <row r="403" spans="1:61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25"/>
      <c r="BF403" s="25"/>
      <c r="BG403" s="25"/>
      <c r="BH403" s="25"/>
      <c r="BI403" s="25"/>
    </row>
    <row r="404" spans="1:61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25"/>
      <c r="BF404" s="25"/>
      <c r="BG404" s="25"/>
      <c r="BH404" s="25"/>
      <c r="BI404" s="25"/>
    </row>
    <row r="405" spans="1:61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25"/>
      <c r="BF405" s="25"/>
      <c r="BG405" s="25"/>
      <c r="BH405" s="25"/>
      <c r="BI405" s="25"/>
    </row>
    <row r="406" spans="1:61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25"/>
      <c r="BF406" s="25"/>
      <c r="BG406" s="25"/>
      <c r="BH406" s="25"/>
      <c r="BI406" s="25"/>
    </row>
    <row r="407" spans="1:61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25"/>
      <c r="BF407" s="25"/>
      <c r="BG407" s="25"/>
      <c r="BH407" s="25"/>
      <c r="BI407" s="25"/>
    </row>
    <row r="408" spans="1:61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25"/>
      <c r="BF408" s="25"/>
      <c r="BG408" s="25"/>
      <c r="BH408" s="25"/>
      <c r="BI408" s="25"/>
    </row>
    <row r="409" spans="1:61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25"/>
      <c r="BF409" s="25"/>
      <c r="BG409" s="25"/>
      <c r="BH409" s="25"/>
      <c r="BI409" s="25"/>
    </row>
    <row r="410" spans="1:61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25"/>
      <c r="BF410" s="25"/>
      <c r="BG410" s="25"/>
      <c r="BH410" s="25"/>
      <c r="BI410" s="25"/>
    </row>
    <row r="411" spans="1:6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25"/>
      <c r="BF411" s="25"/>
      <c r="BG411" s="25"/>
      <c r="BH411" s="25"/>
      <c r="BI411" s="25"/>
    </row>
    <row r="412" spans="1:61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25"/>
      <c r="BF412" s="25"/>
      <c r="BG412" s="25"/>
      <c r="BH412" s="25"/>
      <c r="BI412" s="25"/>
    </row>
    <row r="413" spans="1:61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25"/>
      <c r="BF413" s="25"/>
      <c r="BG413" s="25"/>
      <c r="BH413" s="25"/>
      <c r="BI413" s="25"/>
    </row>
    <row r="414" spans="1:61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25"/>
      <c r="BF414" s="25"/>
      <c r="BG414" s="25"/>
      <c r="BH414" s="25"/>
      <c r="BI414" s="25"/>
    </row>
    <row r="415" spans="1:61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25"/>
      <c r="BF415" s="25"/>
      <c r="BG415" s="25"/>
      <c r="BH415" s="25"/>
      <c r="BI415" s="25"/>
    </row>
    <row r="416" spans="1:61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25"/>
      <c r="BF416" s="25"/>
      <c r="BG416" s="25"/>
      <c r="BH416" s="25"/>
      <c r="BI416" s="25"/>
    </row>
    <row r="417" spans="1:61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25"/>
      <c r="BF417" s="25"/>
      <c r="BG417" s="25"/>
      <c r="BH417" s="25"/>
      <c r="BI417" s="25"/>
    </row>
    <row r="418" spans="1:61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25"/>
      <c r="BF418" s="25"/>
      <c r="BG418" s="25"/>
      <c r="BH418" s="25"/>
      <c r="BI418" s="25"/>
    </row>
    <row r="419" spans="1:61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25"/>
      <c r="BF419" s="25"/>
      <c r="BG419" s="25"/>
      <c r="BH419" s="25"/>
      <c r="BI419" s="25"/>
    </row>
    <row r="420" spans="1:61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25"/>
      <c r="BF420" s="25"/>
      <c r="BG420" s="25"/>
      <c r="BH420" s="25"/>
      <c r="BI420" s="25"/>
    </row>
    <row r="421" spans="1:6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25"/>
      <c r="BF421" s="25"/>
      <c r="BG421" s="25"/>
      <c r="BH421" s="25"/>
      <c r="BI421" s="25"/>
    </row>
    <row r="422" spans="1:61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25"/>
      <c r="BF422" s="25"/>
      <c r="BG422" s="25"/>
      <c r="BH422" s="25"/>
      <c r="BI422" s="25"/>
    </row>
    <row r="423" spans="1:61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25"/>
      <c r="BF423" s="25"/>
      <c r="BG423" s="25"/>
      <c r="BH423" s="25"/>
      <c r="BI423" s="25"/>
    </row>
    <row r="424" spans="1:61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25"/>
      <c r="BF424" s="25"/>
      <c r="BG424" s="25"/>
      <c r="BH424" s="25"/>
      <c r="BI424" s="25"/>
    </row>
    <row r="425" spans="1:61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25"/>
      <c r="BF425" s="25"/>
      <c r="BG425" s="25"/>
      <c r="BH425" s="25"/>
      <c r="BI425" s="25"/>
    </row>
    <row r="426" spans="1:61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25"/>
      <c r="BF426" s="25"/>
      <c r="BG426" s="25"/>
      <c r="BH426" s="25"/>
      <c r="BI426" s="25"/>
    </row>
    <row r="427" spans="1:61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25"/>
      <c r="BF427" s="25"/>
      <c r="BG427" s="25"/>
      <c r="BH427" s="25"/>
      <c r="BI427" s="25"/>
    </row>
    <row r="428" spans="1:61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25"/>
      <c r="BF428" s="25"/>
      <c r="BG428" s="25"/>
      <c r="BH428" s="25"/>
      <c r="BI428" s="25"/>
    </row>
    <row r="429" spans="1:61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25"/>
      <c r="BF429" s="25"/>
      <c r="BG429" s="25"/>
      <c r="BH429" s="25"/>
      <c r="BI429" s="25"/>
    </row>
    <row r="430" spans="1:61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25"/>
      <c r="BF430" s="25"/>
      <c r="BG430" s="25"/>
      <c r="BH430" s="25"/>
      <c r="BI430" s="25"/>
    </row>
    <row r="431" spans="1:6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25"/>
      <c r="BF431" s="25"/>
      <c r="BG431" s="25"/>
      <c r="BH431" s="25"/>
      <c r="BI431" s="25"/>
    </row>
    <row r="432" spans="1:61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25"/>
      <c r="BF432" s="25"/>
      <c r="BG432" s="25"/>
      <c r="BH432" s="25"/>
      <c r="BI432" s="25"/>
    </row>
    <row r="433" spans="1:61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25"/>
      <c r="BF433" s="25"/>
      <c r="BG433" s="25"/>
      <c r="BH433" s="25"/>
      <c r="BI433" s="25"/>
    </row>
    <row r="434" spans="1:61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25"/>
      <c r="BF434" s="25"/>
      <c r="BG434" s="25"/>
      <c r="BH434" s="25"/>
      <c r="BI434" s="25"/>
    </row>
    <row r="435" spans="1:61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25"/>
      <c r="BF435" s="25"/>
      <c r="BG435" s="25"/>
      <c r="BH435" s="25"/>
      <c r="BI435" s="25"/>
    </row>
    <row r="436" spans="1:61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25"/>
      <c r="BF436" s="25"/>
      <c r="BG436" s="25"/>
      <c r="BH436" s="25"/>
      <c r="BI436" s="25"/>
    </row>
    <row r="437" spans="1:61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25"/>
      <c r="BF437" s="25"/>
      <c r="BG437" s="25"/>
      <c r="BH437" s="25"/>
      <c r="BI437" s="25"/>
    </row>
    <row r="438" spans="1:61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25"/>
      <c r="BF438" s="25"/>
      <c r="BG438" s="25"/>
      <c r="BH438" s="25"/>
      <c r="BI438" s="25"/>
    </row>
    <row r="439" spans="1:61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25"/>
      <c r="BF439" s="25"/>
      <c r="BG439" s="25"/>
      <c r="BH439" s="25"/>
      <c r="BI439" s="25"/>
    </row>
    <row r="440" spans="1:61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25"/>
      <c r="BF440" s="25"/>
      <c r="BG440" s="25"/>
      <c r="BH440" s="25"/>
      <c r="BI440" s="25"/>
    </row>
    <row r="441" spans="1:6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25"/>
      <c r="BF441" s="25"/>
      <c r="BG441" s="25"/>
      <c r="BH441" s="25"/>
      <c r="BI441" s="25"/>
    </row>
    <row r="442" spans="1:61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25"/>
      <c r="BF442" s="25"/>
      <c r="BG442" s="25"/>
      <c r="BH442" s="25"/>
      <c r="BI442" s="25"/>
    </row>
    <row r="443" spans="1:61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25"/>
      <c r="BF443" s="25"/>
      <c r="BG443" s="25"/>
      <c r="BH443" s="25"/>
      <c r="BI443" s="25"/>
    </row>
    <row r="444" spans="1:61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25"/>
      <c r="BF444" s="25"/>
      <c r="BG444" s="25"/>
      <c r="BH444" s="25"/>
      <c r="BI444" s="25"/>
    </row>
    <row r="445" spans="1:61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25"/>
      <c r="BF445" s="25"/>
      <c r="BG445" s="25"/>
      <c r="BH445" s="25"/>
      <c r="BI445" s="25"/>
    </row>
    <row r="446" spans="1:61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25"/>
      <c r="BF446" s="25"/>
      <c r="BG446" s="25"/>
      <c r="BH446" s="25"/>
      <c r="BI446" s="25"/>
    </row>
    <row r="447" spans="1:61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25"/>
      <c r="BF447" s="25"/>
      <c r="BG447" s="25"/>
      <c r="BH447" s="25"/>
      <c r="BI447" s="25"/>
    </row>
    <row r="448" spans="1:61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25"/>
      <c r="BF448" s="25"/>
      <c r="BG448" s="25"/>
      <c r="BH448" s="25"/>
      <c r="BI448" s="25"/>
    </row>
    <row r="449" spans="1:61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25"/>
      <c r="BF449" s="25"/>
      <c r="BG449" s="25"/>
      <c r="BH449" s="25"/>
      <c r="BI449" s="25"/>
    </row>
    <row r="450" spans="1:61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25"/>
      <c r="BF450" s="25"/>
      <c r="BG450" s="25"/>
      <c r="BH450" s="25"/>
      <c r="BI450" s="25"/>
    </row>
    <row r="451" spans="1:6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25"/>
      <c r="BF451" s="25"/>
      <c r="BG451" s="25"/>
      <c r="BH451" s="25"/>
      <c r="BI451" s="25"/>
    </row>
    <row r="452" spans="1:61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25"/>
      <c r="BF452" s="25"/>
      <c r="BG452" s="25"/>
      <c r="BH452" s="25"/>
      <c r="BI452" s="25"/>
    </row>
    <row r="453" spans="1:61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25"/>
      <c r="BF453" s="25"/>
      <c r="BG453" s="25"/>
      <c r="BH453" s="25"/>
      <c r="BI453" s="25"/>
    </row>
    <row r="454" spans="1:61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25"/>
      <c r="BF454" s="25"/>
      <c r="BG454" s="25"/>
      <c r="BH454" s="25"/>
      <c r="BI454" s="25"/>
    </row>
    <row r="455" spans="1:61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25"/>
      <c r="BF455" s="25"/>
      <c r="BG455" s="25"/>
      <c r="BH455" s="25"/>
      <c r="BI455" s="25"/>
    </row>
    <row r="456" spans="1:61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25"/>
      <c r="BF456" s="25"/>
      <c r="BG456" s="25"/>
      <c r="BH456" s="25"/>
      <c r="BI456" s="25"/>
    </row>
    <row r="457" spans="1:61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25"/>
      <c r="BF457" s="25"/>
      <c r="BG457" s="25"/>
      <c r="BH457" s="25"/>
      <c r="BI457" s="25"/>
    </row>
    <row r="458" spans="1:61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25"/>
      <c r="BF458" s="25"/>
      <c r="BG458" s="25"/>
      <c r="BH458" s="25"/>
      <c r="BI458" s="25"/>
    </row>
    <row r="459" spans="1:61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25"/>
      <c r="BF459" s="25"/>
      <c r="BG459" s="25"/>
      <c r="BH459" s="25"/>
      <c r="BI459" s="25"/>
    </row>
    <row r="460" spans="1:61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25"/>
      <c r="BF460" s="25"/>
      <c r="BG460" s="25"/>
      <c r="BH460" s="25"/>
      <c r="BI460" s="25"/>
    </row>
    <row r="461" spans="1: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25"/>
      <c r="BF461" s="25"/>
      <c r="BG461" s="25"/>
      <c r="BH461" s="25"/>
      <c r="BI461" s="25"/>
    </row>
    <row r="462" spans="1:61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25"/>
      <c r="BF462" s="25"/>
      <c r="BG462" s="25"/>
      <c r="BH462" s="25"/>
      <c r="BI462" s="25"/>
    </row>
    <row r="463" spans="1:61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25"/>
      <c r="BF463" s="25"/>
      <c r="BG463" s="25"/>
      <c r="BH463" s="25"/>
      <c r="BI463" s="25"/>
    </row>
    <row r="464" spans="1:61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25"/>
      <c r="BF464" s="25"/>
      <c r="BG464" s="25"/>
      <c r="BH464" s="25"/>
      <c r="BI464" s="25"/>
    </row>
    <row r="465" spans="1:61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25"/>
      <c r="BF465" s="25"/>
      <c r="BG465" s="25"/>
      <c r="BH465" s="25"/>
      <c r="BI465" s="25"/>
    </row>
    <row r="466" spans="1:61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25"/>
      <c r="BF466" s="25"/>
      <c r="BG466" s="25"/>
      <c r="BH466" s="25"/>
      <c r="BI466" s="25"/>
    </row>
    <row r="467" spans="1:61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25"/>
      <c r="BF467" s="25"/>
      <c r="BG467" s="25"/>
      <c r="BH467" s="25"/>
      <c r="BI467" s="25"/>
    </row>
    <row r="468" spans="1:61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25"/>
      <c r="BF468" s="25"/>
      <c r="BG468" s="25"/>
      <c r="BH468" s="25"/>
      <c r="BI468" s="25"/>
    </row>
    <row r="469" spans="1:61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25"/>
      <c r="BF469" s="25"/>
      <c r="BG469" s="25"/>
      <c r="BH469" s="25"/>
      <c r="BI469" s="25"/>
    </row>
    <row r="470" spans="1:61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25"/>
      <c r="BF470" s="25"/>
      <c r="BG470" s="25"/>
      <c r="BH470" s="25"/>
      <c r="BI470" s="25"/>
    </row>
    <row r="471" spans="1:6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25"/>
      <c r="BF471" s="25"/>
      <c r="BG471" s="25"/>
      <c r="BH471" s="25"/>
      <c r="BI471" s="25"/>
    </row>
    <row r="472" spans="1:61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25"/>
      <c r="BF472" s="25"/>
      <c r="BG472" s="25"/>
      <c r="BH472" s="25"/>
      <c r="BI472" s="25"/>
    </row>
    <row r="473" spans="1:61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25"/>
      <c r="BF473" s="25"/>
      <c r="BG473" s="25"/>
      <c r="BH473" s="25"/>
      <c r="BI473" s="25"/>
    </row>
    <row r="474" spans="1:61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25"/>
      <c r="BF474" s="25"/>
      <c r="BG474" s="25"/>
      <c r="BH474" s="25"/>
      <c r="BI474" s="25"/>
    </row>
    <row r="475" spans="1:61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25"/>
      <c r="BF475" s="25"/>
      <c r="BG475" s="25"/>
      <c r="BH475" s="25"/>
      <c r="BI475" s="25"/>
    </row>
    <row r="476" spans="1:61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25"/>
      <c r="BF476" s="25"/>
      <c r="BG476" s="25"/>
      <c r="BH476" s="25"/>
      <c r="BI476" s="25"/>
    </row>
    <row r="477" spans="1:61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25"/>
      <c r="BF477" s="25"/>
      <c r="BG477" s="25"/>
      <c r="BH477" s="25"/>
      <c r="BI477" s="25"/>
    </row>
    <row r="478" spans="1:61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25"/>
      <c r="BF478" s="25"/>
      <c r="BG478" s="25"/>
      <c r="BH478" s="25"/>
      <c r="BI478" s="25"/>
    </row>
    <row r="479" spans="1:61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25"/>
      <c r="BF479" s="25"/>
      <c r="BG479" s="25"/>
      <c r="BH479" s="25"/>
      <c r="BI479" s="25"/>
    </row>
    <row r="480" spans="1:61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25"/>
      <c r="BF480" s="25"/>
      <c r="BG480" s="25"/>
      <c r="BH480" s="25"/>
      <c r="BI480" s="25"/>
    </row>
    <row r="481" spans="1:6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25"/>
      <c r="BF481" s="25"/>
      <c r="BG481" s="25"/>
      <c r="BH481" s="25"/>
      <c r="BI481" s="25"/>
    </row>
    <row r="482" spans="1:61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25"/>
      <c r="BF482" s="25"/>
      <c r="BG482" s="25"/>
      <c r="BH482" s="25"/>
      <c r="BI482" s="25"/>
    </row>
    <row r="483" spans="1:61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25"/>
      <c r="BF483" s="25"/>
      <c r="BG483" s="25"/>
      <c r="BH483" s="25"/>
      <c r="BI483" s="25"/>
    </row>
    <row r="484" spans="1:61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25"/>
      <c r="BF484" s="25"/>
      <c r="BG484" s="25"/>
      <c r="BH484" s="25"/>
      <c r="BI484" s="25"/>
    </row>
    <row r="485" spans="1:61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25"/>
      <c r="BF485" s="25"/>
      <c r="BG485" s="25"/>
      <c r="BH485" s="25"/>
      <c r="BI485" s="25"/>
    </row>
    <row r="486" spans="1:61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25"/>
      <c r="BF486" s="25"/>
      <c r="BG486" s="25"/>
      <c r="BH486" s="25"/>
      <c r="BI486" s="25"/>
    </row>
    <row r="487" spans="1:61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25"/>
      <c r="BF487" s="25"/>
      <c r="BG487" s="25"/>
      <c r="BH487" s="25"/>
      <c r="BI487" s="25"/>
    </row>
    <row r="488" spans="1:61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25"/>
      <c r="BF488" s="25"/>
      <c r="BG488" s="25"/>
      <c r="BH488" s="25"/>
      <c r="BI488" s="25"/>
    </row>
    <row r="489" spans="1:61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25"/>
      <c r="BF489" s="25"/>
      <c r="BG489" s="25"/>
      <c r="BH489" s="25"/>
      <c r="BI489" s="25"/>
    </row>
    <row r="490" spans="1:61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25"/>
      <c r="BF490" s="25"/>
      <c r="BG490" s="25"/>
      <c r="BH490" s="25"/>
      <c r="BI490" s="25"/>
    </row>
    <row r="491" spans="1:6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25"/>
      <c r="BF491" s="25"/>
      <c r="BG491" s="25"/>
      <c r="BH491" s="25"/>
      <c r="BI491" s="25"/>
    </row>
    <row r="492" spans="1:61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25"/>
      <c r="BF492" s="25"/>
      <c r="BG492" s="25"/>
      <c r="BH492" s="25"/>
      <c r="BI492" s="25"/>
    </row>
    <row r="493" spans="1:61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25"/>
      <c r="BF493" s="25"/>
      <c r="BG493" s="25"/>
      <c r="BH493" s="25"/>
      <c r="BI493" s="25"/>
    </row>
    <row r="494" spans="1:61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25"/>
      <c r="BF494" s="25"/>
      <c r="BG494" s="25"/>
      <c r="BH494" s="25"/>
      <c r="BI494" s="25"/>
    </row>
    <row r="495" spans="1:61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25"/>
      <c r="BF495" s="25"/>
      <c r="BG495" s="25"/>
      <c r="BH495" s="25"/>
      <c r="BI495" s="25"/>
    </row>
    <row r="496" spans="1:61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25"/>
      <c r="BF496" s="25"/>
      <c r="BG496" s="25"/>
      <c r="BH496" s="25"/>
      <c r="BI496" s="25"/>
    </row>
    <row r="497" spans="1:61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25"/>
      <c r="BF497" s="25"/>
      <c r="BG497" s="25"/>
      <c r="BH497" s="25"/>
      <c r="BI497" s="25"/>
    </row>
    <row r="498" spans="1:61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25"/>
      <c r="BF498" s="25"/>
      <c r="BG498" s="25"/>
      <c r="BH498" s="25"/>
      <c r="BI498" s="25"/>
    </row>
    <row r="499" spans="1:61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25"/>
      <c r="BF499" s="25"/>
      <c r="BG499" s="25"/>
      <c r="BH499" s="25"/>
      <c r="BI499" s="25"/>
    </row>
    <row r="500" spans="1:61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25"/>
      <c r="BF500" s="25"/>
      <c r="BG500" s="25"/>
      <c r="BH500" s="25"/>
      <c r="BI500" s="25"/>
    </row>
    <row r="501" spans="1:6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25"/>
      <c r="BF501" s="25"/>
      <c r="BG501" s="25"/>
      <c r="BH501" s="25"/>
      <c r="BI501" s="25"/>
    </row>
    <row r="502" spans="1:61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25"/>
      <c r="BF502" s="25"/>
      <c r="BG502" s="25"/>
      <c r="BH502" s="25"/>
      <c r="BI502" s="25"/>
    </row>
    <row r="503" spans="1:61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25"/>
      <c r="BF503" s="25"/>
      <c r="BG503" s="25"/>
      <c r="BH503" s="25"/>
      <c r="BI503" s="25"/>
    </row>
    <row r="504" spans="1:61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25"/>
      <c r="BF504" s="25"/>
      <c r="BG504" s="25"/>
      <c r="BH504" s="25"/>
      <c r="BI504" s="25"/>
    </row>
    <row r="505" spans="1:61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25"/>
      <c r="BF505" s="25"/>
      <c r="BG505" s="25"/>
      <c r="BH505" s="25"/>
      <c r="BI505" s="25"/>
    </row>
    <row r="506" spans="1:61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25"/>
      <c r="BF506" s="25"/>
      <c r="BG506" s="25"/>
      <c r="BH506" s="25"/>
      <c r="BI506" s="25"/>
    </row>
    <row r="507" spans="1:61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25"/>
      <c r="BF507" s="25"/>
      <c r="BG507" s="25"/>
      <c r="BH507" s="25"/>
      <c r="BI507" s="25"/>
    </row>
    <row r="508" spans="1:61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25"/>
      <c r="BF508" s="25"/>
      <c r="BG508" s="25"/>
      <c r="BH508" s="25"/>
      <c r="BI508" s="25"/>
    </row>
    <row r="509" spans="1:61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25"/>
      <c r="BF509" s="25"/>
      <c r="BG509" s="25"/>
      <c r="BH509" s="25"/>
      <c r="BI509" s="25"/>
    </row>
    <row r="510" spans="1:61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25"/>
      <c r="BF510" s="25"/>
      <c r="BG510" s="25"/>
      <c r="BH510" s="25"/>
      <c r="BI510" s="25"/>
    </row>
    <row r="511" spans="1:6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25"/>
      <c r="BF511" s="25"/>
      <c r="BG511" s="25"/>
      <c r="BH511" s="25"/>
      <c r="BI511" s="25"/>
    </row>
    <row r="512" spans="1:61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25"/>
      <c r="BF512" s="25"/>
      <c r="BG512" s="25"/>
      <c r="BH512" s="25"/>
      <c r="BI512" s="25"/>
    </row>
    <row r="513" spans="1:61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25"/>
      <c r="BF513" s="25"/>
      <c r="BG513" s="25"/>
      <c r="BH513" s="25"/>
      <c r="BI513" s="25"/>
    </row>
    <row r="514" spans="1:61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25"/>
      <c r="BF514" s="25"/>
      <c r="BG514" s="25"/>
      <c r="BH514" s="25"/>
      <c r="BI514" s="25"/>
    </row>
    <row r="515" spans="1:61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25"/>
      <c r="BF515" s="25"/>
      <c r="BG515" s="25"/>
      <c r="BH515" s="25"/>
      <c r="BI515" s="25"/>
    </row>
    <row r="516" spans="1:61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25"/>
      <c r="BF516" s="25"/>
      <c r="BG516" s="25"/>
      <c r="BH516" s="25"/>
      <c r="BI516" s="25"/>
    </row>
    <row r="517" spans="1:61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25"/>
      <c r="BF517" s="25"/>
      <c r="BG517" s="25"/>
      <c r="BH517" s="25"/>
      <c r="BI517" s="25"/>
    </row>
    <row r="518" spans="1:61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25"/>
      <c r="BF518" s="25"/>
      <c r="BG518" s="25"/>
      <c r="BH518" s="25"/>
      <c r="BI518" s="25"/>
    </row>
    <row r="519" spans="1:61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25"/>
      <c r="BF519" s="25"/>
      <c r="BG519" s="25"/>
      <c r="BH519" s="25"/>
      <c r="BI519" s="25"/>
    </row>
    <row r="520" spans="1:61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25"/>
      <c r="BF520" s="25"/>
      <c r="BG520" s="25"/>
      <c r="BH520" s="25"/>
      <c r="BI520" s="25"/>
    </row>
    <row r="521" spans="1:6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25"/>
      <c r="BF521" s="25"/>
      <c r="BG521" s="25"/>
      <c r="BH521" s="25"/>
      <c r="BI521" s="25"/>
    </row>
    <row r="522" spans="1:61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25"/>
      <c r="BF522" s="25"/>
      <c r="BG522" s="25"/>
      <c r="BH522" s="25"/>
      <c r="BI522" s="25"/>
    </row>
    <row r="523" spans="1:61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25"/>
      <c r="BF523" s="25"/>
      <c r="BG523" s="25"/>
      <c r="BH523" s="25"/>
      <c r="BI523" s="25"/>
    </row>
    <row r="524" spans="1:61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25"/>
      <c r="BF524" s="25"/>
      <c r="BG524" s="25"/>
      <c r="BH524" s="25"/>
      <c r="BI524" s="25"/>
    </row>
    <row r="525" spans="1:61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25"/>
      <c r="BF525" s="25"/>
      <c r="BG525" s="25"/>
      <c r="BH525" s="25"/>
      <c r="BI525" s="25"/>
    </row>
    <row r="526" spans="1:61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25"/>
      <c r="BF526" s="25"/>
      <c r="BG526" s="25"/>
      <c r="BH526" s="25"/>
      <c r="BI526" s="25"/>
    </row>
    <row r="527" spans="1:61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25"/>
      <c r="BF527" s="25"/>
      <c r="BG527" s="25"/>
      <c r="BH527" s="25"/>
      <c r="BI527" s="25"/>
    </row>
    <row r="528" spans="1:61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25"/>
      <c r="BF528" s="25"/>
      <c r="BG528" s="25"/>
      <c r="BH528" s="25"/>
      <c r="BI528" s="25"/>
    </row>
    <row r="529" spans="1:61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25"/>
      <c r="BF529" s="25"/>
      <c r="BG529" s="25"/>
      <c r="BH529" s="25"/>
      <c r="BI529" s="25"/>
    </row>
    <row r="530" spans="1:61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25"/>
      <c r="BF530" s="25"/>
      <c r="BG530" s="25"/>
      <c r="BH530" s="25"/>
      <c r="BI530" s="25"/>
    </row>
    <row r="531" spans="1:6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25"/>
      <c r="BF531" s="25"/>
      <c r="BG531" s="25"/>
      <c r="BH531" s="25"/>
      <c r="BI531" s="25"/>
    </row>
    <row r="532" spans="1:61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25"/>
      <c r="BF532" s="25"/>
      <c r="BG532" s="25"/>
      <c r="BH532" s="25"/>
      <c r="BI532" s="25"/>
    </row>
    <row r="533" spans="1:61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25"/>
      <c r="BF533" s="25"/>
      <c r="BG533" s="25"/>
      <c r="BH533" s="25"/>
      <c r="BI533" s="25"/>
    </row>
    <row r="534" spans="1:61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25"/>
      <c r="BF534" s="25"/>
      <c r="BG534" s="25"/>
      <c r="BH534" s="25"/>
      <c r="BI534" s="25"/>
    </row>
    <row r="535" spans="1:61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25"/>
      <c r="BF535" s="25"/>
      <c r="BG535" s="25"/>
      <c r="BH535" s="25"/>
      <c r="BI535" s="25"/>
    </row>
    <row r="536" spans="1:61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25"/>
      <c r="BF536" s="25"/>
      <c r="BG536" s="25"/>
      <c r="BH536" s="25"/>
      <c r="BI536" s="25"/>
    </row>
    <row r="537" spans="1:61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25"/>
      <c r="BF537" s="25"/>
      <c r="BG537" s="25"/>
      <c r="BH537" s="25"/>
      <c r="BI537" s="25"/>
    </row>
    <row r="538" spans="1:61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25"/>
      <c r="BF538" s="25"/>
      <c r="BG538" s="25"/>
      <c r="BH538" s="25"/>
      <c r="BI538" s="25"/>
    </row>
    <row r="539" spans="1:61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25"/>
      <c r="BF539" s="25"/>
      <c r="BG539" s="25"/>
      <c r="BH539" s="25"/>
      <c r="BI539" s="25"/>
    </row>
    <row r="540" spans="1:61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25"/>
      <c r="BF540" s="25"/>
      <c r="BG540" s="25"/>
      <c r="BH540" s="25"/>
      <c r="BI540" s="25"/>
    </row>
    <row r="541" spans="1:6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25"/>
      <c r="BF541" s="25"/>
      <c r="BG541" s="25"/>
      <c r="BH541" s="25"/>
      <c r="BI541" s="25"/>
    </row>
    <row r="542" spans="1:61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25"/>
      <c r="BF542" s="25"/>
      <c r="BG542" s="25"/>
      <c r="BH542" s="25"/>
      <c r="BI542" s="25"/>
    </row>
    <row r="543" spans="1:61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25"/>
      <c r="BF543" s="25"/>
      <c r="BG543" s="25"/>
      <c r="BH543" s="25"/>
      <c r="BI543" s="25"/>
    </row>
    <row r="544" spans="1:61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25"/>
      <c r="BF544" s="25"/>
      <c r="BG544" s="25"/>
      <c r="BH544" s="25"/>
      <c r="BI544" s="25"/>
    </row>
    <row r="545" spans="1:61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25"/>
      <c r="BF545" s="25"/>
      <c r="BG545" s="25"/>
      <c r="BH545" s="25"/>
      <c r="BI545" s="25"/>
    </row>
    <row r="546" spans="1:61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25"/>
      <c r="BF546" s="25"/>
      <c r="BG546" s="25"/>
      <c r="BH546" s="25"/>
      <c r="BI546" s="25"/>
    </row>
    <row r="547" spans="1:61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25"/>
      <c r="BF547" s="25"/>
      <c r="BG547" s="25"/>
      <c r="BH547" s="25"/>
      <c r="BI547" s="25"/>
    </row>
    <row r="548" spans="1:61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25"/>
      <c r="BF548" s="25"/>
      <c r="BG548" s="25"/>
      <c r="BH548" s="25"/>
      <c r="BI548" s="25"/>
    </row>
    <row r="549" spans="1:61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25"/>
      <c r="BF549" s="25"/>
      <c r="BG549" s="25"/>
      <c r="BH549" s="25"/>
      <c r="BI549" s="25"/>
    </row>
    <row r="550" spans="1:61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25"/>
      <c r="BF550" s="25"/>
      <c r="BG550" s="25"/>
      <c r="BH550" s="25"/>
      <c r="BI550" s="25"/>
    </row>
    <row r="551" spans="1:6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25"/>
      <c r="BF551" s="25"/>
      <c r="BG551" s="25"/>
      <c r="BH551" s="25"/>
      <c r="BI551" s="25"/>
    </row>
    <row r="552" spans="1:61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25"/>
      <c r="BF552" s="25"/>
      <c r="BG552" s="25"/>
      <c r="BH552" s="25"/>
      <c r="BI552" s="25"/>
    </row>
    <row r="553" spans="1:61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25"/>
      <c r="BF553" s="25"/>
      <c r="BG553" s="25"/>
      <c r="BH553" s="25"/>
      <c r="BI553" s="25"/>
    </row>
    <row r="554" spans="1:61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25"/>
      <c r="BF554" s="25"/>
      <c r="BG554" s="25"/>
      <c r="BH554" s="25"/>
      <c r="BI554" s="25"/>
    </row>
    <row r="555" spans="1:61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25"/>
      <c r="BF555" s="25"/>
      <c r="BG555" s="25"/>
      <c r="BH555" s="25"/>
      <c r="BI555" s="25"/>
    </row>
    <row r="556" spans="1:61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25"/>
      <c r="BF556" s="25"/>
      <c r="BG556" s="25"/>
      <c r="BH556" s="25"/>
      <c r="BI556" s="25"/>
    </row>
    <row r="557" spans="1:61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25"/>
      <c r="BF557" s="25"/>
      <c r="BG557" s="25"/>
      <c r="BH557" s="25"/>
      <c r="BI557" s="25"/>
    </row>
    <row r="558" spans="1:61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25"/>
      <c r="BF558" s="25"/>
      <c r="BG558" s="25"/>
      <c r="BH558" s="25"/>
      <c r="BI558" s="25"/>
    </row>
    <row r="559" spans="1:61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25"/>
      <c r="BF559" s="25"/>
      <c r="BG559" s="25"/>
      <c r="BH559" s="25"/>
      <c r="BI559" s="25"/>
    </row>
    <row r="560" spans="1:61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25"/>
      <c r="BF560" s="25"/>
      <c r="BG560" s="25"/>
      <c r="BH560" s="25"/>
      <c r="BI560" s="25"/>
    </row>
    <row r="561" spans="1: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25"/>
      <c r="BF561" s="25"/>
      <c r="BG561" s="25"/>
      <c r="BH561" s="25"/>
      <c r="BI561" s="25"/>
    </row>
    <row r="562" spans="1:61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25"/>
      <c r="BF562" s="25"/>
      <c r="BG562" s="25"/>
      <c r="BH562" s="25"/>
      <c r="BI562" s="25"/>
    </row>
    <row r="563" spans="1:61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25"/>
      <c r="BF563" s="25"/>
      <c r="BG563" s="25"/>
      <c r="BH563" s="25"/>
      <c r="BI563" s="25"/>
    </row>
    <row r="564" spans="1:61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25"/>
      <c r="BF564" s="25"/>
      <c r="BG564" s="25"/>
      <c r="BH564" s="25"/>
      <c r="BI564" s="25"/>
    </row>
    <row r="565" spans="1:61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25"/>
      <c r="BF565" s="25"/>
      <c r="BG565" s="25"/>
      <c r="BH565" s="25"/>
      <c r="BI565" s="25"/>
    </row>
    <row r="566" spans="1:61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25"/>
      <c r="BF566" s="25"/>
      <c r="BG566" s="25"/>
      <c r="BH566" s="25"/>
      <c r="BI566" s="25"/>
    </row>
    <row r="567" spans="1:61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25"/>
      <c r="BF567" s="25"/>
      <c r="BG567" s="25"/>
      <c r="BH567" s="25"/>
      <c r="BI567" s="25"/>
    </row>
    <row r="568" spans="1:61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25"/>
      <c r="BF568" s="25"/>
      <c r="BG568" s="25"/>
      <c r="BH568" s="25"/>
      <c r="BI568" s="25"/>
    </row>
    <row r="569" spans="1:61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25"/>
      <c r="BF569" s="25"/>
      <c r="BG569" s="25"/>
      <c r="BH569" s="25"/>
      <c r="BI569" s="25"/>
    </row>
    <row r="570" spans="1:61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25"/>
      <c r="BF570" s="25"/>
      <c r="BG570" s="25"/>
      <c r="BH570" s="25"/>
      <c r="BI570" s="25"/>
    </row>
    <row r="571" spans="1:6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25"/>
      <c r="BF571" s="25"/>
      <c r="BG571" s="25"/>
      <c r="BH571" s="25"/>
      <c r="BI571" s="25"/>
    </row>
    <row r="572" spans="1:61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25"/>
      <c r="BF572" s="25"/>
      <c r="BG572" s="25"/>
      <c r="BH572" s="25"/>
      <c r="BI572" s="25"/>
    </row>
    <row r="573" spans="1:61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25"/>
      <c r="BF573" s="25"/>
      <c r="BG573" s="25"/>
      <c r="BH573" s="25"/>
      <c r="BI573" s="25"/>
    </row>
    <row r="574" spans="1:61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25"/>
      <c r="BF574" s="25"/>
      <c r="BG574" s="25"/>
      <c r="BH574" s="25"/>
      <c r="BI574" s="25"/>
    </row>
    <row r="575" spans="1:61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25"/>
      <c r="BF575" s="25"/>
      <c r="BG575" s="25"/>
      <c r="BH575" s="25"/>
      <c r="BI575" s="25"/>
    </row>
    <row r="576" spans="1:61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25"/>
      <c r="BF576" s="25"/>
      <c r="BG576" s="25"/>
      <c r="BH576" s="25"/>
      <c r="BI576" s="25"/>
    </row>
    <row r="577" spans="1:61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25"/>
      <c r="BF577" s="25"/>
      <c r="BG577" s="25"/>
      <c r="BH577" s="25"/>
      <c r="BI577" s="25"/>
    </row>
    <row r="578" spans="1:61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25"/>
      <c r="BF578" s="25"/>
      <c r="BG578" s="25"/>
      <c r="BH578" s="25"/>
      <c r="BI578" s="25"/>
    </row>
    <row r="579" spans="1:61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25"/>
      <c r="BF579" s="25"/>
      <c r="BG579" s="25"/>
      <c r="BH579" s="25"/>
      <c r="BI579" s="25"/>
    </row>
    <row r="580" spans="1:61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25"/>
      <c r="BF580" s="25"/>
      <c r="BG580" s="25"/>
      <c r="BH580" s="25"/>
      <c r="BI580" s="25"/>
    </row>
    <row r="581" spans="1:6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25"/>
      <c r="BF581" s="25"/>
      <c r="BG581" s="25"/>
      <c r="BH581" s="25"/>
      <c r="BI581" s="25"/>
    </row>
    <row r="582" spans="1:61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25"/>
      <c r="BF582" s="25"/>
      <c r="BG582" s="25"/>
      <c r="BH582" s="25"/>
      <c r="BI582" s="25"/>
    </row>
    <row r="583" spans="1:61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25"/>
      <c r="BF583" s="25"/>
      <c r="BG583" s="25"/>
      <c r="BH583" s="25"/>
      <c r="BI583" s="25"/>
    </row>
    <row r="584" spans="1:61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25"/>
      <c r="BF584" s="25"/>
      <c r="BG584" s="25"/>
      <c r="BH584" s="25"/>
      <c r="BI584" s="25"/>
    </row>
    <row r="585" spans="1:61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25"/>
      <c r="BF585" s="25"/>
      <c r="BG585" s="25"/>
      <c r="BH585" s="25"/>
      <c r="BI585" s="25"/>
    </row>
    <row r="586" spans="1:61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25"/>
      <c r="BF586" s="25"/>
      <c r="BG586" s="25"/>
      <c r="BH586" s="25"/>
      <c r="BI586" s="25"/>
    </row>
    <row r="587" spans="1:61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25"/>
      <c r="BF587" s="25"/>
      <c r="BG587" s="25"/>
      <c r="BH587" s="25"/>
      <c r="BI587" s="25"/>
    </row>
    <row r="588" spans="1:61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25"/>
      <c r="BF588" s="25"/>
      <c r="BG588" s="25"/>
      <c r="BH588" s="25"/>
      <c r="BI588" s="25"/>
    </row>
    <row r="589" spans="1:61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25"/>
      <c r="BF589" s="25"/>
      <c r="BG589" s="25"/>
      <c r="BH589" s="25"/>
      <c r="BI589" s="25"/>
    </row>
    <row r="590" spans="1:61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25"/>
      <c r="BF590" s="25"/>
      <c r="BG590" s="25"/>
      <c r="BH590" s="25"/>
      <c r="BI590" s="25"/>
    </row>
    <row r="591" spans="1:6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25"/>
      <c r="BF591" s="25"/>
      <c r="BG591" s="25"/>
      <c r="BH591" s="25"/>
      <c r="BI591" s="25"/>
    </row>
    <row r="592" spans="1:61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25"/>
      <c r="BF592" s="25"/>
      <c r="BG592" s="25"/>
      <c r="BH592" s="25"/>
      <c r="BI592" s="25"/>
    </row>
    <row r="593" spans="1:61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25"/>
      <c r="BF593" s="25"/>
      <c r="BG593" s="25"/>
      <c r="BH593" s="25"/>
      <c r="BI593" s="25"/>
    </row>
    <row r="594" spans="1:61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25"/>
      <c r="BF594" s="25"/>
      <c r="BG594" s="25"/>
      <c r="BH594" s="25"/>
      <c r="BI594" s="25"/>
    </row>
    <row r="595" spans="1:61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25"/>
      <c r="BF595" s="25"/>
      <c r="BG595" s="25"/>
      <c r="BH595" s="25"/>
      <c r="BI595" s="25"/>
    </row>
    <row r="596" spans="1:61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25"/>
      <c r="BF596" s="25"/>
      <c r="BG596" s="25"/>
      <c r="BH596" s="25"/>
      <c r="BI596" s="25"/>
    </row>
    <row r="597" spans="1:61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25"/>
      <c r="BF597" s="25"/>
      <c r="BG597" s="25"/>
      <c r="BH597" s="25"/>
      <c r="BI597" s="25"/>
    </row>
    <row r="598" spans="1:61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25"/>
      <c r="BF598" s="25"/>
      <c r="BG598" s="25"/>
      <c r="BH598" s="25"/>
      <c r="BI598" s="25"/>
    </row>
    <row r="599" spans="1:61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25"/>
      <c r="BF599" s="25"/>
      <c r="BG599" s="25"/>
      <c r="BH599" s="25"/>
      <c r="BI599" s="25"/>
    </row>
    <row r="600" spans="1:61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25"/>
      <c r="BF600" s="25"/>
      <c r="BG600" s="25"/>
      <c r="BH600" s="25"/>
      <c r="BI600" s="25"/>
    </row>
    <row r="601" spans="1:6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25"/>
      <c r="BF601" s="25"/>
      <c r="BG601" s="25"/>
      <c r="BH601" s="25"/>
      <c r="BI601" s="25"/>
    </row>
    <row r="602" spans="1:61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25"/>
      <c r="BF602" s="25"/>
      <c r="BG602" s="25"/>
      <c r="BH602" s="25"/>
      <c r="BI602" s="25"/>
    </row>
    <row r="603" spans="1:61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25"/>
      <c r="BF603" s="25"/>
      <c r="BG603" s="25"/>
      <c r="BH603" s="25"/>
      <c r="BI603" s="25"/>
    </row>
    <row r="604" spans="1:61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25"/>
      <c r="BF604" s="25"/>
      <c r="BG604" s="25"/>
      <c r="BH604" s="25"/>
      <c r="BI604" s="25"/>
    </row>
    <row r="605" spans="1:61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25"/>
      <c r="BF605" s="25"/>
      <c r="BG605" s="25"/>
      <c r="BH605" s="25"/>
      <c r="BI605" s="25"/>
    </row>
    <row r="606" spans="1:61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25"/>
      <c r="BF606" s="25"/>
      <c r="BG606" s="25"/>
      <c r="BH606" s="25"/>
      <c r="BI606" s="25"/>
    </row>
    <row r="607" spans="1:61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25"/>
      <c r="BF607" s="25"/>
      <c r="BG607" s="25"/>
      <c r="BH607" s="25"/>
      <c r="BI607" s="25"/>
    </row>
    <row r="608" spans="1:61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25"/>
      <c r="BF608" s="25"/>
      <c r="BG608" s="25"/>
      <c r="BH608" s="25"/>
      <c r="BI608" s="25"/>
    </row>
    <row r="609" spans="1:61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25"/>
      <c r="BF609" s="25"/>
      <c r="BG609" s="25"/>
      <c r="BH609" s="25"/>
      <c r="BI609" s="25"/>
    </row>
    <row r="610" spans="1:61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25"/>
      <c r="BF610" s="25"/>
      <c r="BG610" s="25"/>
      <c r="BH610" s="25"/>
      <c r="BI610" s="25"/>
    </row>
    <row r="611" spans="1:6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25"/>
      <c r="BF611" s="25"/>
      <c r="BG611" s="25"/>
      <c r="BH611" s="25"/>
      <c r="BI611" s="25"/>
    </row>
    <row r="612" spans="1:61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25"/>
      <c r="BF612" s="25"/>
      <c r="BG612" s="25"/>
      <c r="BH612" s="25"/>
      <c r="BI612" s="25"/>
    </row>
    <row r="613" spans="1:61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25"/>
      <c r="BF613" s="25"/>
      <c r="BG613" s="25"/>
      <c r="BH613" s="25"/>
      <c r="BI613" s="25"/>
    </row>
    <row r="614" spans="1:61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25"/>
      <c r="BF614" s="25"/>
      <c r="BG614" s="25"/>
      <c r="BH614" s="25"/>
      <c r="BI614" s="25"/>
    </row>
    <row r="615" spans="1:61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25"/>
      <c r="BF615" s="25"/>
      <c r="BG615" s="25"/>
      <c r="BH615" s="25"/>
      <c r="BI615" s="25"/>
    </row>
    <row r="616" spans="1:61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25"/>
      <c r="BF616" s="25"/>
      <c r="BG616" s="25"/>
      <c r="BH616" s="25"/>
      <c r="BI616" s="25"/>
    </row>
    <row r="617" spans="1:61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25"/>
      <c r="BF617" s="25"/>
      <c r="BG617" s="25"/>
      <c r="BH617" s="25"/>
      <c r="BI617" s="25"/>
    </row>
    <row r="618" spans="1:61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25"/>
      <c r="BF618" s="25"/>
      <c r="BG618" s="25"/>
      <c r="BH618" s="25"/>
      <c r="BI618" s="25"/>
    </row>
    <row r="619" spans="1:61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25"/>
      <c r="BF619" s="25"/>
      <c r="BG619" s="25"/>
      <c r="BH619" s="25"/>
      <c r="BI619" s="25"/>
    </row>
    <row r="620" spans="1:61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25"/>
      <c r="BF620" s="25"/>
      <c r="BG620" s="25"/>
      <c r="BH620" s="25"/>
      <c r="BI620" s="25"/>
    </row>
    <row r="621" spans="1:6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25"/>
      <c r="BF621" s="25"/>
      <c r="BG621" s="25"/>
      <c r="BH621" s="25"/>
      <c r="BI621" s="25"/>
    </row>
    <row r="622" spans="1:61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25"/>
      <c r="BF622" s="25"/>
      <c r="BG622" s="25"/>
      <c r="BH622" s="25"/>
      <c r="BI622" s="25"/>
    </row>
    <row r="623" spans="1:61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25"/>
      <c r="BF623" s="25"/>
      <c r="BG623" s="25"/>
      <c r="BH623" s="25"/>
      <c r="BI623" s="25"/>
    </row>
    <row r="624" spans="1:61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25"/>
      <c r="BF624" s="25"/>
      <c r="BG624" s="25"/>
      <c r="BH624" s="25"/>
      <c r="BI624" s="25"/>
    </row>
    <row r="625" spans="1:61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25"/>
      <c r="BF625" s="25"/>
      <c r="BG625" s="25"/>
      <c r="BH625" s="25"/>
      <c r="BI625" s="25"/>
    </row>
    <row r="626" spans="1:61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25"/>
      <c r="BF626" s="25"/>
      <c r="BG626" s="25"/>
      <c r="BH626" s="25"/>
      <c r="BI626" s="25"/>
    </row>
    <row r="627" spans="1:61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25"/>
      <c r="BF627" s="25"/>
      <c r="BG627" s="25"/>
      <c r="BH627" s="25"/>
      <c r="BI627" s="25"/>
    </row>
    <row r="628" spans="1:61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25"/>
      <c r="BF628" s="25"/>
      <c r="BG628" s="25"/>
      <c r="BH628" s="25"/>
      <c r="BI628" s="25"/>
    </row>
    <row r="629" spans="1:61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25"/>
      <c r="BF629" s="25"/>
      <c r="BG629" s="25"/>
      <c r="BH629" s="25"/>
      <c r="BI629" s="25"/>
    </row>
    <row r="630" spans="1:61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25"/>
      <c r="BF630" s="25"/>
      <c r="BG630" s="25"/>
      <c r="BH630" s="25"/>
      <c r="BI630" s="25"/>
    </row>
    <row r="631" spans="1:6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25"/>
      <c r="BF631" s="25"/>
      <c r="BG631" s="25"/>
      <c r="BH631" s="25"/>
      <c r="BI631" s="25"/>
    </row>
    <row r="632" spans="1:61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25"/>
      <c r="BF632" s="25"/>
      <c r="BG632" s="25"/>
      <c r="BH632" s="25"/>
      <c r="BI632" s="25"/>
    </row>
    <row r="633" spans="1:61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25"/>
      <c r="BF633" s="25"/>
      <c r="BG633" s="25"/>
      <c r="BH633" s="25"/>
      <c r="BI633" s="25"/>
    </row>
    <row r="634" spans="1:61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25"/>
      <c r="BF634" s="25"/>
      <c r="BG634" s="25"/>
      <c r="BH634" s="25"/>
      <c r="BI634" s="25"/>
    </row>
    <row r="635" spans="1:61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25"/>
      <c r="BF635" s="25"/>
      <c r="BG635" s="25"/>
      <c r="BH635" s="25"/>
      <c r="BI635" s="25"/>
    </row>
    <row r="636" spans="1:61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25"/>
      <c r="BF636" s="25"/>
      <c r="BG636" s="25"/>
      <c r="BH636" s="25"/>
      <c r="BI636" s="25"/>
    </row>
    <row r="637" spans="1:61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25"/>
      <c r="BF637" s="25"/>
      <c r="BG637" s="25"/>
      <c r="BH637" s="25"/>
      <c r="BI637" s="25"/>
    </row>
    <row r="638" spans="1:61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25"/>
      <c r="BF638" s="25"/>
      <c r="BG638" s="25"/>
      <c r="BH638" s="25"/>
      <c r="BI638" s="25"/>
    </row>
    <row r="639" spans="1:61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25"/>
      <c r="BF639" s="25"/>
      <c r="BG639" s="25"/>
      <c r="BH639" s="25"/>
      <c r="BI639" s="25"/>
    </row>
    <row r="640" spans="1:61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25"/>
      <c r="BF640" s="25"/>
      <c r="BG640" s="25"/>
      <c r="BH640" s="25"/>
      <c r="BI640" s="25"/>
    </row>
    <row r="641" spans="1:6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25"/>
      <c r="BF641" s="25"/>
      <c r="BG641" s="25"/>
      <c r="BH641" s="25"/>
      <c r="BI641" s="25"/>
    </row>
    <row r="642" spans="1:61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25"/>
      <c r="BF642" s="25"/>
      <c r="BG642" s="25"/>
      <c r="BH642" s="25"/>
      <c r="BI642" s="25"/>
    </row>
    <row r="643" spans="1:61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25"/>
      <c r="BF643" s="25"/>
      <c r="BG643" s="25"/>
      <c r="BH643" s="25"/>
      <c r="BI643" s="25"/>
    </row>
    <row r="644" spans="1:61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25"/>
      <c r="BF644" s="25"/>
      <c r="BG644" s="25"/>
      <c r="BH644" s="25"/>
      <c r="BI644" s="25"/>
    </row>
    <row r="645" spans="1:61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25"/>
      <c r="BF645" s="25"/>
      <c r="BG645" s="25"/>
      <c r="BH645" s="25"/>
      <c r="BI645" s="25"/>
    </row>
    <row r="646" spans="1:61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25"/>
      <c r="BF646" s="25"/>
      <c r="BG646" s="25"/>
      <c r="BH646" s="25"/>
      <c r="BI646" s="25"/>
    </row>
    <row r="647" spans="1:61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25"/>
      <c r="BF647" s="25"/>
      <c r="BG647" s="25"/>
      <c r="BH647" s="25"/>
      <c r="BI647" s="25"/>
    </row>
    <row r="648" spans="1:61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25"/>
      <c r="BF648" s="25"/>
      <c r="BG648" s="25"/>
      <c r="BH648" s="25"/>
      <c r="BI648" s="25"/>
    </row>
    <row r="649" spans="1:61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25"/>
      <c r="BF649" s="25"/>
      <c r="BG649" s="25"/>
      <c r="BH649" s="25"/>
      <c r="BI649" s="25"/>
    </row>
    <row r="650" spans="1:61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25"/>
      <c r="BF650" s="25"/>
      <c r="BG650" s="25"/>
      <c r="BH650" s="25"/>
      <c r="BI650" s="25"/>
    </row>
    <row r="651" spans="1:6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25"/>
      <c r="BF651" s="25"/>
      <c r="BG651" s="25"/>
      <c r="BH651" s="25"/>
      <c r="BI651" s="25"/>
    </row>
    <row r="652" spans="1:61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25"/>
      <c r="BF652" s="25"/>
      <c r="BG652" s="25"/>
      <c r="BH652" s="25"/>
      <c r="BI652" s="25"/>
    </row>
    <row r="653" spans="1:61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25"/>
      <c r="BF653" s="25"/>
      <c r="BG653" s="25"/>
      <c r="BH653" s="25"/>
      <c r="BI653" s="25"/>
    </row>
    <row r="654" spans="1:61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25"/>
      <c r="BF654" s="25"/>
      <c r="BG654" s="25"/>
      <c r="BH654" s="25"/>
      <c r="BI654" s="25"/>
    </row>
    <row r="655" spans="1:61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25"/>
      <c r="BF655" s="25"/>
      <c r="BG655" s="25"/>
      <c r="BH655" s="25"/>
      <c r="BI655" s="25"/>
    </row>
    <row r="656" spans="1:61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25"/>
      <c r="BF656" s="25"/>
      <c r="BG656" s="25"/>
      <c r="BH656" s="25"/>
      <c r="BI656" s="25"/>
    </row>
    <row r="657" spans="1:61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25"/>
      <c r="BF657" s="25"/>
      <c r="BG657" s="25"/>
      <c r="BH657" s="25"/>
      <c r="BI657" s="25"/>
    </row>
    <row r="658" spans="1:61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25"/>
      <c r="BF658" s="25"/>
      <c r="BG658" s="25"/>
      <c r="BH658" s="25"/>
      <c r="BI658" s="25"/>
    </row>
    <row r="659" spans="1:61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25"/>
      <c r="BF659" s="25"/>
      <c r="BG659" s="25"/>
      <c r="BH659" s="25"/>
      <c r="BI659" s="25"/>
    </row>
    <row r="660" spans="1:61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25"/>
      <c r="BF660" s="25"/>
      <c r="BG660" s="25"/>
      <c r="BH660" s="25"/>
      <c r="BI660" s="25"/>
    </row>
    <row r="661" spans="1: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25"/>
      <c r="BF661" s="25"/>
      <c r="BG661" s="25"/>
      <c r="BH661" s="25"/>
      <c r="BI661" s="25"/>
    </row>
    <row r="662" spans="1:61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25"/>
      <c r="BF662" s="25"/>
      <c r="BG662" s="25"/>
      <c r="BH662" s="25"/>
      <c r="BI662" s="25"/>
    </row>
    <row r="663" spans="1:61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25"/>
      <c r="BF663" s="25"/>
      <c r="BG663" s="25"/>
      <c r="BH663" s="25"/>
      <c r="BI663" s="25"/>
    </row>
    <row r="664" spans="1:61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25"/>
      <c r="BF664" s="25"/>
      <c r="BG664" s="25"/>
      <c r="BH664" s="25"/>
      <c r="BI664" s="25"/>
    </row>
    <row r="665" spans="1:61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25"/>
      <c r="BF665" s="25"/>
      <c r="BG665" s="25"/>
      <c r="BH665" s="25"/>
      <c r="BI665" s="25"/>
    </row>
    <row r="666" spans="1:61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25"/>
      <c r="BF666" s="25"/>
      <c r="BG666" s="25"/>
      <c r="BH666" s="25"/>
      <c r="BI666" s="25"/>
    </row>
    <row r="667" spans="1:61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25"/>
      <c r="BF667" s="25"/>
      <c r="BG667" s="25"/>
      <c r="BH667" s="25"/>
      <c r="BI667" s="25"/>
    </row>
    <row r="668" spans="1:61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25"/>
      <c r="BF668" s="25"/>
      <c r="BG668" s="25"/>
      <c r="BH668" s="25"/>
      <c r="BI668" s="25"/>
    </row>
    <row r="669" spans="1:61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25"/>
      <c r="BF669" s="25"/>
      <c r="BG669" s="25"/>
      <c r="BH669" s="25"/>
      <c r="BI669" s="25"/>
    </row>
    <row r="670" spans="1:61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25"/>
      <c r="BF670" s="25"/>
      <c r="BG670" s="25"/>
      <c r="BH670" s="25"/>
      <c r="BI670" s="25"/>
    </row>
    <row r="671" spans="1:6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25"/>
      <c r="BF671" s="25"/>
      <c r="BG671" s="25"/>
      <c r="BH671" s="25"/>
      <c r="BI671" s="25"/>
    </row>
    <row r="672" spans="1:61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25"/>
      <c r="BF672" s="25"/>
      <c r="BG672" s="25"/>
      <c r="BH672" s="25"/>
      <c r="BI672" s="25"/>
    </row>
    <row r="673" spans="1:61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25"/>
      <c r="BF673" s="25"/>
      <c r="BG673" s="25"/>
      <c r="BH673" s="25"/>
      <c r="BI673" s="25"/>
    </row>
    <row r="674" spans="1:61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25"/>
      <c r="BF674" s="25"/>
      <c r="BG674" s="25"/>
      <c r="BH674" s="25"/>
      <c r="BI674" s="25"/>
    </row>
    <row r="675" spans="1:61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25"/>
      <c r="BF675" s="25"/>
      <c r="BG675" s="25"/>
      <c r="BH675" s="25"/>
      <c r="BI675" s="25"/>
    </row>
    <row r="676" spans="1:61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25"/>
      <c r="BF676" s="25"/>
      <c r="BG676" s="25"/>
      <c r="BH676" s="25"/>
      <c r="BI676" s="25"/>
    </row>
    <row r="677" spans="1:61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25"/>
      <c r="BF677" s="25"/>
      <c r="BG677" s="25"/>
      <c r="BH677" s="25"/>
      <c r="BI677" s="25"/>
    </row>
    <row r="678" spans="1:61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25"/>
      <c r="BF678" s="25"/>
      <c r="BG678" s="25"/>
      <c r="BH678" s="25"/>
      <c r="BI678" s="25"/>
    </row>
    <row r="679" spans="1:61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25"/>
      <c r="BF679" s="25"/>
      <c r="BG679" s="25"/>
      <c r="BH679" s="25"/>
      <c r="BI679" s="25"/>
    </row>
    <row r="680" spans="1:61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25"/>
      <c r="BF680" s="25"/>
      <c r="BG680" s="25"/>
      <c r="BH680" s="25"/>
      <c r="BI680" s="25"/>
    </row>
    <row r="681" spans="1:6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25"/>
      <c r="BF681" s="25"/>
      <c r="BG681" s="25"/>
      <c r="BH681" s="25"/>
      <c r="BI681" s="25"/>
    </row>
    <row r="682" spans="1:61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25"/>
      <c r="BF682" s="25"/>
      <c r="BG682" s="25"/>
      <c r="BH682" s="25"/>
      <c r="BI682" s="25"/>
    </row>
    <row r="683" spans="1:61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25"/>
      <c r="BF683" s="25"/>
      <c r="BG683" s="25"/>
      <c r="BH683" s="25"/>
      <c r="BI683" s="25"/>
    </row>
    <row r="684" spans="1:61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25"/>
      <c r="BF684" s="25"/>
      <c r="BG684" s="25"/>
      <c r="BH684" s="25"/>
      <c r="BI684" s="25"/>
    </row>
    <row r="685" spans="1:61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25"/>
      <c r="BF685" s="25"/>
      <c r="BG685" s="25"/>
      <c r="BH685" s="25"/>
      <c r="BI685" s="25"/>
    </row>
    <row r="686" spans="1:61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25"/>
      <c r="BF686" s="25"/>
      <c r="BG686" s="25"/>
      <c r="BH686" s="25"/>
      <c r="BI686" s="25"/>
    </row>
    <row r="687" spans="1:61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25"/>
      <c r="BF687" s="25"/>
      <c r="BG687" s="25"/>
      <c r="BH687" s="25"/>
      <c r="BI687" s="25"/>
    </row>
    <row r="688" spans="1:61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25"/>
      <c r="BF688" s="25"/>
      <c r="BG688" s="25"/>
      <c r="BH688" s="25"/>
      <c r="BI688" s="25"/>
    </row>
    <row r="689" spans="1:61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25"/>
      <c r="BF689" s="25"/>
      <c r="BG689" s="25"/>
      <c r="BH689" s="25"/>
      <c r="BI689" s="25"/>
    </row>
    <row r="690" spans="1:61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25"/>
      <c r="BF690" s="25"/>
      <c r="BG690" s="25"/>
      <c r="BH690" s="25"/>
      <c r="BI690" s="25"/>
    </row>
    <row r="691" spans="1:6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25"/>
      <c r="BF691" s="25"/>
      <c r="BG691" s="25"/>
      <c r="BH691" s="25"/>
      <c r="BI691" s="25"/>
    </row>
    <row r="692" spans="1:61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25"/>
      <c r="BF692" s="25"/>
      <c r="BG692" s="25"/>
      <c r="BH692" s="25"/>
      <c r="BI692" s="25"/>
    </row>
    <row r="693" spans="1:61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25"/>
      <c r="BF693" s="25"/>
      <c r="BG693" s="25"/>
      <c r="BH693" s="25"/>
      <c r="BI693" s="25"/>
    </row>
    <row r="694" spans="1:61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25"/>
      <c r="BF694" s="25"/>
      <c r="BG694" s="25"/>
      <c r="BH694" s="25"/>
      <c r="BI694" s="25"/>
    </row>
    <row r="695" spans="1:61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25"/>
      <c r="BF695" s="25"/>
      <c r="BG695" s="25"/>
      <c r="BH695" s="25"/>
      <c r="BI695" s="25"/>
    </row>
    <row r="696" spans="1:61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25"/>
      <c r="BF696" s="25"/>
      <c r="BG696" s="25"/>
      <c r="BH696" s="25"/>
      <c r="BI696" s="25"/>
    </row>
    <row r="697" spans="1:61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25"/>
      <c r="BF697" s="25"/>
      <c r="BG697" s="25"/>
      <c r="BH697" s="25"/>
      <c r="BI697" s="25"/>
    </row>
    <row r="698" spans="1:61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25"/>
      <c r="BF698" s="25"/>
      <c r="BG698" s="25"/>
      <c r="BH698" s="25"/>
      <c r="BI698" s="25"/>
    </row>
    <row r="699" spans="1:61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25"/>
      <c r="BF699" s="25"/>
      <c r="BG699" s="25"/>
      <c r="BH699" s="25"/>
      <c r="BI699" s="25"/>
    </row>
    <row r="700" spans="1:61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25"/>
      <c r="BF700" s="25"/>
      <c r="BG700" s="25"/>
      <c r="BH700" s="25"/>
      <c r="BI700" s="25"/>
    </row>
    <row r="701" spans="1:6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25"/>
      <c r="BF701" s="25"/>
      <c r="BG701" s="25"/>
      <c r="BH701" s="25"/>
      <c r="BI701" s="25"/>
    </row>
    <row r="702" spans="1:61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25"/>
      <c r="BF702" s="25"/>
      <c r="BG702" s="25"/>
      <c r="BH702" s="25"/>
      <c r="BI702" s="25"/>
    </row>
    <row r="703" spans="1:61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25"/>
      <c r="BF703" s="25"/>
      <c r="BG703" s="25"/>
      <c r="BH703" s="25"/>
      <c r="BI703" s="25"/>
    </row>
    <row r="704" spans="1:61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25"/>
      <c r="BF704" s="25"/>
      <c r="BG704" s="25"/>
      <c r="BH704" s="25"/>
      <c r="BI704" s="25"/>
    </row>
    <row r="705" spans="1:61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25"/>
      <c r="BF705" s="25"/>
      <c r="BG705" s="25"/>
      <c r="BH705" s="25"/>
      <c r="BI705" s="25"/>
    </row>
    <row r="706" spans="1:61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25"/>
      <c r="BF706" s="25"/>
      <c r="BG706" s="25"/>
      <c r="BH706" s="25"/>
      <c r="BI706" s="25"/>
    </row>
    <row r="707" spans="1:61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25"/>
      <c r="BF707" s="25"/>
      <c r="BG707" s="25"/>
      <c r="BH707" s="25"/>
      <c r="BI707" s="25"/>
    </row>
    <row r="708" spans="1:61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25"/>
      <c r="BF708" s="25"/>
      <c r="BG708" s="25"/>
      <c r="BH708" s="25"/>
      <c r="BI708" s="25"/>
    </row>
    <row r="709" spans="1:61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25"/>
      <c r="BF709" s="25"/>
      <c r="BG709" s="25"/>
      <c r="BH709" s="25"/>
      <c r="BI709" s="25"/>
    </row>
    <row r="710" spans="1:61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25"/>
      <c r="BF710" s="25"/>
      <c r="BG710" s="25"/>
      <c r="BH710" s="25"/>
      <c r="BI710" s="25"/>
    </row>
    <row r="711" spans="1:6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25"/>
      <c r="BF711" s="25"/>
      <c r="BG711" s="25"/>
      <c r="BH711" s="25"/>
      <c r="BI711" s="25"/>
    </row>
    <row r="712" spans="1:61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25"/>
      <c r="BF712" s="25"/>
      <c r="BG712" s="25"/>
      <c r="BH712" s="25"/>
      <c r="BI712" s="25"/>
    </row>
    <row r="713" spans="1:61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25"/>
      <c r="BF713" s="25"/>
      <c r="BG713" s="25"/>
      <c r="BH713" s="25"/>
      <c r="BI713" s="25"/>
    </row>
    <row r="714" spans="1:61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25"/>
      <c r="BF714" s="25"/>
      <c r="BG714" s="25"/>
      <c r="BH714" s="25"/>
      <c r="BI714" s="25"/>
    </row>
    <row r="715" spans="1:61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25"/>
      <c r="BF715" s="25"/>
      <c r="BG715" s="25"/>
      <c r="BH715" s="25"/>
      <c r="BI715" s="25"/>
    </row>
    <row r="716" spans="1:61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25"/>
      <c r="BF716" s="25"/>
      <c r="BG716" s="25"/>
      <c r="BH716" s="25"/>
      <c r="BI716" s="25"/>
    </row>
    <row r="717" spans="1:61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25"/>
      <c r="BF717" s="25"/>
      <c r="BG717" s="25"/>
      <c r="BH717" s="25"/>
      <c r="BI717" s="25"/>
    </row>
    <row r="718" spans="1:61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25"/>
      <c r="BF718" s="25"/>
      <c r="BG718" s="25"/>
      <c r="BH718" s="25"/>
      <c r="BI718" s="25"/>
    </row>
    <row r="719" spans="1:61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25"/>
      <c r="BF719" s="25"/>
      <c r="BG719" s="25"/>
      <c r="BH719" s="25"/>
      <c r="BI719" s="25"/>
    </row>
    <row r="720" spans="1:61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25"/>
      <c r="BF720" s="25"/>
      <c r="BG720" s="25"/>
      <c r="BH720" s="25"/>
      <c r="BI720" s="25"/>
    </row>
    <row r="721" spans="1:6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25"/>
      <c r="BF721" s="25"/>
      <c r="BG721" s="25"/>
      <c r="BH721" s="25"/>
      <c r="BI721" s="25"/>
    </row>
    <row r="722" spans="1:61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25"/>
      <c r="BF722" s="25"/>
      <c r="BG722" s="25"/>
      <c r="BH722" s="25"/>
      <c r="BI722" s="25"/>
    </row>
    <row r="723" spans="1:61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25"/>
      <c r="BF723" s="25"/>
      <c r="BG723" s="25"/>
      <c r="BH723" s="25"/>
      <c r="BI723" s="25"/>
    </row>
    <row r="724" spans="1:61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25"/>
      <c r="BF724" s="25"/>
      <c r="BG724" s="25"/>
      <c r="BH724" s="25"/>
      <c r="BI724" s="25"/>
    </row>
    <row r="725" spans="1:61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25"/>
      <c r="BF725" s="25"/>
      <c r="BG725" s="25"/>
      <c r="BH725" s="25"/>
      <c r="BI725" s="25"/>
    </row>
    <row r="726" spans="1:61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25"/>
      <c r="BF726" s="25"/>
      <c r="BG726" s="25"/>
      <c r="BH726" s="25"/>
      <c r="BI726" s="25"/>
    </row>
    <row r="727" spans="1:61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25"/>
      <c r="BF727" s="25"/>
      <c r="BG727" s="25"/>
      <c r="BH727" s="25"/>
      <c r="BI727" s="25"/>
    </row>
    <row r="728" spans="1:61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25"/>
      <c r="BF728" s="25"/>
      <c r="BG728" s="25"/>
      <c r="BH728" s="25"/>
      <c r="BI728" s="25"/>
    </row>
    <row r="729" spans="1:61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25"/>
      <c r="BF729" s="25"/>
      <c r="BG729" s="25"/>
      <c r="BH729" s="25"/>
      <c r="BI729" s="25"/>
    </row>
    <row r="730" spans="1:61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25"/>
      <c r="BF730" s="25"/>
      <c r="BG730" s="25"/>
      <c r="BH730" s="25"/>
      <c r="BI730" s="25"/>
    </row>
    <row r="731" spans="1:6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25"/>
      <c r="BF731" s="25"/>
      <c r="BG731" s="25"/>
      <c r="BH731" s="25"/>
      <c r="BI731" s="25"/>
    </row>
    <row r="732" spans="1:61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25"/>
      <c r="BF732" s="25"/>
      <c r="BG732" s="25"/>
      <c r="BH732" s="25"/>
      <c r="BI732" s="25"/>
    </row>
    <row r="733" spans="1:61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25"/>
      <c r="BF733" s="25"/>
      <c r="BG733" s="25"/>
      <c r="BH733" s="25"/>
      <c r="BI733" s="25"/>
    </row>
    <row r="734" spans="1:61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25"/>
      <c r="BF734" s="25"/>
      <c r="BG734" s="25"/>
      <c r="BH734" s="25"/>
      <c r="BI734" s="25"/>
    </row>
    <row r="735" spans="1:61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25"/>
      <c r="BF735" s="25"/>
      <c r="BG735" s="25"/>
      <c r="BH735" s="25"/>
      <c r="BI735" s="25"/>
    </row>
    <row r="736" spans="1:61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25"/>
      <c r="BF736" s="25"/>
      <c r="BG736" s="25"/>
      <c r="BH736" s="25"/>
      <c r="BI736" s="25"/>
    </row>
    <row r="737" spans="1:61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25"/>
      <c r="BF737" s="25"/>
      <c r="BG737" s="25"/>
      <c r="BH737" s="25"/>
      <c r="BI737" s="25"/>
    </row>
    <row r="738" spans="1:61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25"/>
      <c r="BF738" s="25"/>
      <c r="BG738" s="25"/>
      <c r="BH738" s="25"/>
      <c r="BI738" s="25"/>
    </row>
    <row r="739" spans="1:61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25"/>
      <c r="BF739" s="25"/>
      <c r="BG739" s="25"/>
      <c r="BH739" s="25"/>
      <c r="BI739" s="25"/>
    </row>
    <row r="740" spans="1:61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25"/>
      <c r="BF740" s="25"/>
      <c r="BG740" s="25"/>
      <c r="BH740" s="25"/>
      <c r="BI740" s="25"/>
    </row>
    <row r="741" spans="1:6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25"/>
      <c r="BF741" s="25"/>
      <c r="BG741" s="25"/>
      <c r="BH741" s="25"/>
      <c r="BI741" s="25"/>
    </row>
    <row r="742" spans="1:61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25"/>
      <c r="BF742" s="25"/>
      <c r="BG742" s="25"/>
      <c r="BH742" s="25"/>
      <c r="BI742" s="25"/>
    </row>
    <row r="743" spans="1:61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25"/>
      <c r="BF743" s="25"/>
      <c r="BG743" s="25"/>
      <c r="BH743" s="25"/>
      <c r="BI743" s="25"/>
    </row>
    <row r="744" spans="1:61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25"/>
      <c r="BF744" s="25"/>
      <c r="BG744" s="25"/>
      <c r="BH744" s="25"/>
      <c r="BI744" s="25"/>
    </row>
    <row r="745" spans="1:61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25"/>
      <c r="BF745" s="25"/>
      <c r="BG745" s="25"/>
      <c r="BH745" s="25"/>
      <c r="BI745" s="25"/>
    </row>
    <row r="746" spans="1:61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25"/>
      <c r="BF746" s="25"/>
      <c r="BG746" s="25"/>
      <c r="BH746" s="25"/>
      <c r="BI746" s="25"/>
    </row>
    <row r="747" spans="1:61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25"/>
      <c r="BF747" s="25"/>
      <c r="BG747" s="25"/>
      <c r="BH747" s="25"/>
      <c r="BI747" s="25"/>
    </row>
    <row r="748" spans="1:61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25"/>
      <c r="BF748" s="25"/>
      <c r="BG748" s="25"/>
      <c r="BH748" s="25"/>
      <c r="BI748" s="25"/>
    </row>
    <row r="749" spans="1:61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25"/>
      <c r="BF749" s="25"/>
      <c r="BG749" s="25"/>
      <c r="BH749" s="25"/>
      <c r="BI749" s="25"/>
    </row>
    <row r="750" spans="1:61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25"/>
      <c r="BF750" s="25"/>
      <c r="BG750" s="25"/>
      <c r="BH750" s="25"/>
      <c r="BI750" s="25"/>
    </row>
    <row r="751" spans="1:6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25"/>
      <c r="BF751" s="25"/>
      <c r="BG751" s="25"/>
      <c r="BH751" s="25"/>
      <c r="BI751" s="25"/>
    </row>
    <row r="752" spans="1:61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25"/>
      <c r="BF752" s="25"/>
      <c r="BG752" s="25"/>
      <c r="BH752" s="25"/>
      <c r="BI752" s="25"/>
    </row>
    <row r="753" spans="1:61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25"/>
      <c r="BF753" s="25"/>
      <c r="BG753" s="25"/>
      <c r="BH753" s="25"/>
      <c r="BI753" s="25"/>
    </row>
    <row r="754" spans="1:61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25"/>
      <c r="BF754" s="25"/>
      <c r="BG754" s="25"/>
      <c r="BH754" s="25"/>
      <c r="BI754" s="25"/>
    </row>
    <row r="755" spans="1:61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25"/>
      <c r="BF755" s="25"/>
      <c r="BG755" s="25"/>
      <c r="BH755" s="25"/>
      <c r="BI755" s="25"/>
    </row>
    <row r="756" spans="1:61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25"/>
      <c r="BF756" s="25"/>
      <c r="BG756" s="25"/>
      <c r="BH756" s="25"/>
      <c r="BI756" s="25"/>
    </row>
    <row r="757" spans="1:61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25"/>
      <c r="BF757" s="25"/>
      <c r="BG757" s="25"/>
      <c r="BH757" s="25"/>
      <c r="BI757" s="25"/>
    </row>
    <row r="758" spans="1:61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25"/>
      <c r="BF758" s="25"/>
      <c r="BG758" s="25"/>
      <c r="BH758" s="25"/>
      <c r="BI758" s="25"/>
    </row>
    <row r="759" spans="1:61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25"/>
      <c r="BF759" s="25"/>
      <c r="BG759" s="25"/>
      <c r="BH759" s="25"/>
      <c r="BI759" s="25"/>
    </row>
    <row r="760" spans="1:61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25"/>
      <c r="BF760" s="25"/>
      <c r="BG760" s="25"/>
      <c r="BH760" s="25"/>
      <c r="BI760" s="25"/>
    </row>
    <row r="761" spans="1: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25"/>
      <c r="BF761" s="25"/>
      <c r="BG761" s="25"/>
      <c r="BH761" s="25"/>
      <c r="BI761" s="25"/>
    </row>
    <row r="762" spans="1:61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25"/>
      <c r="BF762" s="25"/>
      <c r="BG762" s="25"/>
      <c r="BH762" s="25"/>
      <c r="BI762" s="25"/>
    </row>
    <row r="763" spans="1:61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25"/>
      <c r="BF763" s="25"/>
      <c r="BG763" s="25"/>
      <c r="BH763" s="25"/>
      <c r="BI763" s="25"/>
    </row>
    <row r="764" spans="1:61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25"/>
      <c r="BF764" s="25"/>
      <c r="BG764" s="25"/>
      <c r="BH764" s="25"/>
      <c r="BI764" s="25"/>
    </row>
    <row r="765" spans="1:61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25"/>
      <c r="BF765" s="25"/>
      <c r="BG765" s="25"/>
      <c r="BH765" s="25"/>
      <c r="BI765" s="25"/>
    </row>
    <row r="766" spans="1:61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25"/>
      <c r="BF766" s="25"/>
      <c r="BG766" s="25"/>
      <c r="BH766" s="25"/>
      <c r="BI766" s="25"/>
    </row>
    <row r="767" spans="1:61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25"/>
      <c r="BF767" s="25"/>
      <c r="BG767" s="25"/>
      <c r="BH767" s="25"/>
      <c r="BI767" s="25"/>
    </row>
    <row r="768" spans="1:61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25"/>
      <c r="BF768" s="25"/>
      <c r="BG768" s="25"/>
      <c r="BH768" s="25"/>
      <c r="BI768" s="25"/>
    </row>
    <row r="769" spans="1:61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25"/>
      <c r="BF769" s="25"/>
      <c r="BG769" s="25"/>
      <c r="BH769" s="25"/>
      <c r="BI769" s="25"/>
    </row>
    <row r="770" spans="1:61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25"/>
      <c r="BF770" s="25"/>
      <c r="BG770" s="25"/>
      <c r="BH770" s="25"/>
      <c r="BI770" s="25"/>
    </row>
    <row r="771" spans="1:6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25"/>
      <c r="BF771" s="25"/>
      <c r="BG771" s="25"/>
      <c r="BH771" s="25"/>
      <c r="BI771" s="25"/>
    </row>
    <row r="772" spans="1:61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25"/>
      <c r="BF772" s="25"/>
      <c r="BG772" s="25"/>
      <c r="BH772" s="25"/>
      <c r="BI772" s="25"/>
    </row>
    <row r="773" spans="1:61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25"/>
      <c r="BF773" s="25"/>
      <c r="BG773" s="25"/>
      <c r="BH773" s="25"/>
      <c r="BI773" s="25"/>
    </row>
    <row r="774" spans="1:61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25"/>
      <c r="BF774" s="25"/>
      <c r="BG774" s="25"/>
      <c r="BH774" s="25"/>
      <c r="BI774" s="25"/>
    </row>
    <row r="775" spans="1:61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25"/>
      <c r="BF775" s="25"/>
      <c r="BG775" s="25"/>
      <c r="BH775" s="25"/>
      <c r="BI775" s="25"/>
    </row>
    <row r="776" spans="1:61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25"/>
      <c r="BF776" s="25"/>
      <c r="BG776" s="25"/>
      <c r="BH776" s="25"/>
      <c r="BI776" s="25"/>
    </row>
    <row r="777" spans="1:61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25"/>
      <c r="BF777" s="25"/>
      <c r="BG777" s="25"/>
      <c r="BH777" s="25"/>
      <c r="BI777" s="25"/>
    </row>
    <row r="778" spans="1:61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25"/>
      <c r="BF778" s="25"/>
      <c r="BG778" s="25"/>
      <c r="BH778" s="25"/>
      <c r="BI778" s="25"/>
    </row>
    <row r="779" spans="1:61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25"/>
      <c r="BF779" s="25"/>
      <c r="BG779" s="25"/>
      <c r="BH779" s="25"/>
      <c r="BI779" s="25"/>
    </row>
    <row r="780" spans="1:61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25"/>
      <c r="BF780" s="25"/>
      <c r="BG780" s="25"/>
      <c r="BH780" s="25"/>
      <c r="BI780" s="25"/>
    </row>
    <row r="781" spans="1:6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25"/>
      <c r="BF781" s="25"/>
      <c r="BG781" s="25"/>
      <c r="BH781" s="25"/>
      <c r="BI781" s="25"/>
    </row>
    <row r="782" spans="1:61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25"/>
      <c r="BF782" s="25"/>
      <c r="BG782" s="25"/>
      <c r="BH782" s="25"/>
      <c r="BI782" s="25"/>
    </row>
    <row r="783" spans="1:61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25"/>
      <c r="BF783" s="25"/>
      <c r="BG783" s="25"/>
      <c r="BH783" s="25"/>
      <c r="BI783" s="25"/>
    </row>
    <row r="784" spans="1:61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25"/>
      <c r="BF784" s="25"/>
      <c r="BG784" s="25"/>
      <c r="BH784" s="25"/>
      <c r="BI784" s="25"/>
    </row>
    <row r="785" spans="1:61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25"/>
      <c r="BF785" s="25"/>
      <c r="BG785" s="25"/>
      <c r="BH785" s="25"/>
      <c r="BI785" s="25"/>
    </row>
    <row r="786" spans="1:61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25"/>
      <c r="BF786" s="25"/>
      <c r="BG786" s="25"/>
      <c r="BH786" s="25"/>
      <c r="BI786" s="25"/>
    </row>
    <row r="787" spans="1:61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25"/>
      <c r="BF787" s="25"/>
      <c r="BG787" s="25"/>
      <c r="BH787" s="25"/>
      <c r="BI787" s="25"/>
    </row>
    <row r="788" spans="1:61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25"/>
      <c r="BF788" s="25"/>
      <c r="BG788" s="25"/>
      <c r="BH788" s="25"/>
      <c r="BI788" s="25"/>
    </row>
    <row r="789" spans="1:61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25"/>
      <c r="BF789" s="25"/>
      <c r="BG789" s="25"/>
      <c r="BH789" s="25"/>
      <c r="BI789" s="25"/>
    </row>
    <row r="790" spans="1:61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25"/>
      <c r="BF790" s="25"/>
      <c r="BG790" s="25"/>
      <c r="BH790" s="25"/>
      <c r="BI790" s="25"/>
    </row>
    <row r="791" spans="1:6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25"/>
      <c r="BF791" s="25"/>
      <c r="BG791" s="25"/>
      <c r="BH791" s="25"/>
      <c r="BI791" s="25"/>
    </row>
    <row r="792" spans="1:61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25"/>
      <c r="BF792" s="25"/>
      <c r="BG792" s="25"/>
      <c r="BH792" s="25"/>
      <c r="BI792" s="25"/>
    </row>
    <row r="793" spans="1:61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25"/>
      <c r="BF793" s="25"/>
      <c r="BG793" s="25"/>
      <c r="BH793" s="25"/>
      <c r="BI793" s="25"/>
    </row>
    <row r="794" spans="1:61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25"/>
      <c r="BF794" s="25"/>
      <c r="BG794" s="25"/>
      <c r="BH794" s="25"/>
      <c r="BI794" s="25"/>
    </row>
    <row r="795" spans="1:61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25"/>
      <c r="BF795" s="25"/>
      <c r="BG795" s="25"/>
      <c r="BH795" s="25"/>
      <c r="BI795" s="25"/>
    </row>
    <row r="796" spans="1:61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25"/>
      <c r="BF796" s="25"/>
      <c r="BG796" s="25"/>
      <c r="BH796" s="25"/>
      <c r="BI796" s="25"/>
    </row>
    <row r="797" spans="1:61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25"/>
      <c r="BF797" s="25"/>
      <c r="BG797" s="25"/>
      <c r="BH797" s="25"/>
      <c r="BI797" s="25"/>
    </row>
    <row r="798" spans="1:61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25"/>
      <c r="BF798" s="25"/>
      <c r="BG798" s="25"/>
      <c r="BH798" s="25"/>
      <c r="BI798" s="25"/>
    </row>
    <row r="799" spans="1:61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25"/>
      <c r="BF799" s="25"/>
      <c r="BG799" s="25"/>
      <c r="BH799" s="25"/>
      <c r="BI799" s="25"/>
    </row>
    <row r="800" spans="1:61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25"/>
      <c r="BF800" s="25"/>
      <c r="BG800" s="25"/>
      <c r="BH800" s="25"/>
      <c r="BI800" s="25"/>
    </row>
    <row r="801" spans="1:6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25"/>
      <c r="BF801" s="25"/>
      <c r="BG801" s="25"/>
      <c r="BH801" s="25"/>
      <c r="BI801" s="25"/>
    </row>
    <row r="802" spans="1:61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25"/>
      <c r="BF802" s="25"/>
      <c r="BG802" s="25"/>
      <c r="BH802" s="25"/>
      <c r="BI802" s="25"/>
    </row>
    <row r="803" spans="1:61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25"/>
      <c r="BF803" s="25"/>
      <c r="BG803" s="25"/>
      <c r="BH803" s="25"/>
      <c r="BI803" s="25"/>
    </row>
    <row r="804" spans="1:61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25"/>
      <c r="BF804" s="25"/>
      <c r="BG804" s="25"/>
      <c r="BH804" s="25"/>
      <c r="BI804" s="25"/>
    </row>
    <row r="805" spans="1:61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25"/>
      <c r="BF805" s="25"/>
      <c r="BG805" s="25"/>
      <c r="BH805" s="25"/>
      <c r="BI805" s="25"/>
    </row>
    <row r="806" spans="1:61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25"/>
      <c r="BF806" s="25"/>
      <c r="BG806" s="25"/>
      <c r="BH806" s="25"/>
      <c r="BI806" s="25"/>
    </row>
    <row r="807" spans="1:61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25"/>
      <c r="BF807" s="25"/>
      <c r="BG807" s="25"/>
      <c r="BH807" s="25"/>
      <c r="BI807" s="25"/>
    </row>
    <row r="808" spans="1:61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25"/>
      <c r="BF808" s="25"/>
      <c r="BG808" s="25"/>
      <c r="BH808" s="25"/>
      <c r="BI808" s="25"/>
    </row>
    <row r="809" spans="1:61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25"/>
      <c r="BF809" s="25"/>
      <c r="BG809" s="25"/>
      <c r="BH809" s="25"/>
      <c r="BI809" s="25"/>
    </row>
    <row r="810" spans="1:61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25"/>
      <c r="BF810" s="25"/>
      <c r="BG810" s="25"/>
      <c r="BH810" s="25"/>
      <c r="BI810" s="25"/>
    </row>
    <row r="811" spans="1:6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25"/>
      <c r="BF811" s="25"/>
      <c r="BG811" s="25"/>
      <c r="BH811" s="25"/>
      <c r="BI811" s="25"/>
    </row>
    <row r="812" spans="1:61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25"/>
      <c r="BF812" s="25"/>
      <c r="BG812" s="25"/>
      <c r="BH812" s="25"/>
      <c r="BI812" s="25"/>
    </row>
    <row r="813" spans="1:61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25"/>
      <c r="BF813" s="25"/>
      <c r="BG813" s="25"/>
      <c r="BH813" s="25"/>
      <c r="BI813" s="25"/>
    </row>
    <row r="814" spans="1:61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25"/>
      <c r="BF814" s="25"/>
      <c r="BG814" s="25"/>
      <c r="BH814" s="25"/>
      <c r="BI814" s="25"/>
    </row>
    <row r="815" spans="1:61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25"/>
      <c r="BF815" s="25"/>
      <c r="BG815" s="25"/>
      <c r="BH815" s="25"/>
      <c r="BI815" s="25"/>
    </row>
    <row r="816" spans="1:61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25"/>
      <c r="BF816" s="25"/>
      <c r="BG816" s="25"/>
      <c r="BH816" s="25"/>
      <c r="BI816" s="25"/>
    </row>
    <row r="817" spans="1:61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25"/>
      <c r="BF817" s="25"/>
      <c r="BG817" s="25"/>
      <c r="BH817" s="25"/>
      <c r="BI817" s="25"/>
    </row>
    <row r="818" spans="1:61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25"/>
      <c r="BF818" s="25"/>
      <c r="BG818" s="25"/>
      <c r="BH818" s="25"/>
      <c r="BI818" s="25"/>
    </row>
    <row r="819" spans="1:61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25"/>
      <c r="BF819" s="25"/>
      <c r="BG819" s="25"/>
      <c r="BH819" s="25"/>
      <c r="BI819" s="25"/>
    </row>
    <row r="820" spans="1:61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25"/>
      <c r="BF820" s="25"/>
      <c r="BG820" s="25"/>
      <c r="BH820" s="25"/>
      <c r="BI820" s="25"/>
    </row>
    <row r="821" spans="1:6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25"/>
      <c r="BF821" s="25"/>
      <c r="BG821" s="25"/>
      <c r="BH821" s="25"/>
      <c r="BI821" s="25"/>
    </row>
    <row r="822" spans="1:61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25"/>
      <c r="BF822" s="25"/>
      <c r="BG822" s="25"/>
      <c r="BH822" s="25"/>
      <c r="BI822" s="25"/>
    </row>
    <row r="823" spans="1:61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25"/>
      <c r="BF823" s="25"/>
      <c r="BG823" s="25"/>
      <c r="BH823" s="25"/>
      <c r="BI823" s="25"/>
    </row>
    <row r="824" spans="1:61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25"/>
      <c r="BF824" s="25"/>
      <c r="BG824" s="25"/>
      <c r="BH824" s="25"/>
      <c r="BI824" s="25"/>
    </row>
    <row r="825" spans="1:61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25"/>
      <c r="BF825" s="25"/>
      <c r="BG825" s="25"/>
      <c r="BH825" s="25"/>
      <c r="BI825" s="25"/>
    </row>
    <row r="826" spans="1:61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25"/>
      <c r="BF826" s="25"/>
      <c r="BG826" s="25"/>
      <c r="BH826" s="25"/>
      <c r="BI826" s="25"/>
    </row>
    <row r="827" spans="1:61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25"/>
      <c r="BF827" s="25"/>
      <c r="BG827" s="25"/>
      <c r="BH827" s="25"/>
      <c r="BI827" s="25"/>
    </row>
    <row r="828" spans="1:61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25"/>
      <c r="BF828" s="25"/>
      <c r="BG828" s="25"/>
      <c r="BH828" s="25"/>
      <c r="BI828" s="25"/>
    </row>
    <row r="829" spans="1:61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25"/>
      <c r="BF829" s="25"/>
      <c r="BG829" s="25"/>
      <c r="BH829" s="25"/>
      <c r="BI829" s="25"/>
    </row>
    <row r="830" spans="1:61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25"/>
      <c r="BF830" s="25"/>
      <c r="BG830" s="25"/>
      <c r="BH830" s="25"/>
      <c r="BI830" s="25"/>
    </row>
    <row r="831" spans="1:6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25"/>
      <c r="BF831" s="25"/>
      <c r="BG831" s="25"/>
      <c r="BH831" s="25"/>
      <c r="BI831" s="25"/>
    </row>
    <row r="832" spans="1:61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25"/>
      <c r="BF832" s="25"/>
      <c r="BG832" s="25"/>
      <c r="BH832" s="25"/>
      <c r="BI832" s="25"/>
    </row>
    <row r="833" spans="1:61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25"/>
      <c r="BF833" s="25"/>
      <c r="BG833" s="25"/>
      <c r="BH833" s="25"/>
      <c r="BI833" s="25"/>
    </row>
    <row r="834" spans="1:61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25"/>
      <c r="BF834" s="25"/>
      <c r="BG834" s="25"/>
      <c r="BH834" s="25"/>
      <c r="BI834" s="25"/>
    </row>
    <row r="835" spans="1:61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25"/>
      <c r="BF835" s="25"/>
      <c r="BG835" s="25"/>
      <c r="BH835" s="25"/>
      <c r="BI835" s="25"/>
    </row>
    <row r="836" spans="1:61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25"/>
      <c r="BF836" s="25"/>
      <c r="BG836" s="25"/>
      <c r="BH836" s="25"/>
      <c r="BI836" s="25"/>
    </row>
    <row r="837" spans="1:61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25"/>
      <c r="BF837" s="25"/>
      <c r="BG837" s="25"/>
      <c r="BH837" s="25"/>
      <c r="BI837" s="25"/>
    </row>
    <row r="838" spans="1:61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25"/>
      <c r="BF838" s="25"/>
      <c r="BG838" s="25"/>
      <c r="BH838" s="25"/>
      <c r="BI838" s="25"/>
    </row>
    <row r="839" spans="1:61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25"/>
      <c r="BF839" s="25"/>
      <c r="BG839" s="25"/>
      <c r="BH839" s="25"/>
      <c r="BI839" s="25"/>
    </row>
    <row r="840" spans="1:61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25"/>
      <c r="BF840" s="25"/>
      <c r="BG840" s="25"/>
      <c r="BH840" s="25"/>
      <c r="BI840" s="25"/>
    </row>
    <row r="841" spans="1:6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25"/>
      <c r="BF841" s="25"/>
      <c r="BG841" s="25"/>
      <c r="BH841" s="25"/>
      <c r="BI841" s="25"/>
    </row>
    <row r="842" spans="1:61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25"/>
      <c r="BF842" s="25"/>
      <c r="BG842" s="25"/>
      <c r="BH842" s="25"/>
      <c r="BI842" s="25"/>
    </row>
    <row r="843" spans="1:61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25"/>
      <c r="BF843" s="25"/>
      <c r="BG843" s="25"/>
      <c r="BH843" s="25"/>
      <c r="BI843" s="25"/>
    </row>
    <row r="844" spans="1:61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25"/>
      <c r="BF844" s="25"/>
      <c r="BG844" s="25"/>
      <c r="BH844" s="25"/>
      <c r="BI844" s="25"/>
    </row>
    <row r="845" spans="1:61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25"/>
      <c r="BF845" s="25"/>
      <c r="BG845" s="25"/>
      <c r="BH845" s="25"/>
      <c r="BI845" s="25"/>
    </row>
    <row r="846" spans="1:61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25"/>
      <c r="BF846" s="25"/>
      <c r="BG846" s="25"/>
      <c r="BH846" s="25"/>
      <c r="BI846" s="25"/>
    </row>
    <row r="847" spans="1:61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25"/>
      <c r="BF847" s="25"/>
      <c r="BG847" s="25"/>
      <c r="BH847" s="25"/>
      <c r="BI847" s="25"/>
    </row>
    <row r="848" spans="1:61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25"/>
      <c r="BF848" s="25"/>
      <c r="BG848" s="25"/>
      <c r="BH848" s="25"/>
      <c r="BI848" s="25"/>
    </row>
    <row r="849" spans="1:61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25"/>
      <c r="BF849" s="25"/>
      <c r="BG849" s="25"/>
      <c r="BH849" s="25"/>
      <c r="BI849" s="25"/>
    </row>
    <row r="850" spans="1:61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25"/>
      <c r="BF850" s="25"/>
      <c r="BG850" s="25"/>
      <c r="BH850" s="25"/>
      <c r="BI850" s="25"/>
    </row>
    <row r="851" spans="1:6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25"/>
      <c r="BF851" s="25"/>
      <c r="BG851" s="25"/>
      <c r="BH851" s="25"/>
      <c r="BI851" s="25"/>
    </row>
    <row r="852" spans="1:61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25"/>
      <c r="BF852" s="25"/>
      <c r="BG852" s="25"/>
      <c r="BH852" s="25"/>
      <c r="BI852" s="25"/>
    </row>
    <row r="853" spans="1:61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25"/>
      <c r="BF853" s="25"/>
      <c r="BG853" s="25"/>
      <c r="BH853" s="25"/>
      <c r="BI853" s="25"/>
    </row>
    <row r="854" spans="1:61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25"/>
      <c r="BF854" s="25"/>
      <c r="BG854" s="25"/>
      <c r="BH854" s="25"/>
      <c r="BI854" s="25"/>
    </row>
    <row r="855" spans="1:61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25"/>
      <c r="BF855" s="25"/>
      <c r="BG855" s="25"/>
      <c r="BH855" s="25"/>
      <c r="BI855" s="25"/>
    </row>
    <row r="856" spans="1:61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25"/>
      <c r="BF856" s="25"/>
      <c r="BG856" s="25"/>
      <c r="BH856" s="25"/>
      <c r="BI856" s="25"/>
    </row>
    <row r="857" spans="1:61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25"/>
      <c r="BF857" s="25"/>
      <c r="BG857" s="25"/>
      <c r="BH857" s="25"/>
      <c r="BI857" s="25"/>
    </row>
    <row r="858" spans="1:61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25"/>
      <c r="BF858" s="25"/>
      <c r="BG858" s="25"/>
      <c r="BH858" s="25"/>
      <c r="BI858" s="25"/>
    </row>
    <row r="859" spans="1:61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25"/>
      <c r="BF859" s="25"/>
      <c r="BG859" s="25"/>
      <c r="BH859" s="25"/>
      <c r="BI859" s="25"/>
    </row>
    <row r="860" spans="1:61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25"/>
      <c r="BF860" s="25"/>
      <c r="BG860" s="25"/>
      <c r="BH860" s="25"/>
      <c r="BI860" s="25"/>
    </row>
    <row r="861" spans="1: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25"/>
      <c r="BF861" s="25"/>
      <c r="BG861" s="25"/>
      <c r="BH861" s="25"/>
      <c r="BI861" s="25"/>
    </row>
    <row r="862" spans="1:61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25"/>
      <c r="BF862" s="25"/>
      <c r="BG862" s="25"/>
      <c r="BH862" s="25"/>
      <c r="BI862" s="25"/>
    </row>
    <row r="863" spans="1:61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25"/>
      <c r="BF863" s="25"/>
      <c r="BG863" s="25"/>
      <c r="BH863" s="25"/>
      <c r="BI863" s="25"/>
    </row>
    <row r="864" spans="1:61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25"/>
      <c r="BF864" s="25"/>
      <c r="BG864" s="25"/>
      <c r="BH864" s="25"/>
      <c r="BI864" s="25"/>
    </row>
    <row r="865" spans="1:61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25"/>
      <c r="BF865" s="25"/>
      <c r="BG865" s="25"/>
      <c r="BH865" s="25"/>
      <c r="BI865" s="25"/>
    </row>
    <row r="866" spans="1:61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25"/>
      <c r="BF866" s="25"/>
      <c r="BG866" s="25"/>
      <c r="BH866" s="25"/>
      <c r="BI866" s="25"/>
    </row>
    <row r="867" spans="1:61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25"/>
      <c r="BF867" s="25"/>
      <c r="BG867" s="25"/>
      <c r="BH867" s="25"/>
      <c r="BI867" s="25"/>
    </row>
    <row r="868" spans="1:61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25"/>
      <c r="BF868" s="25"/>
      <c r="BG868" s="25"/>
      <c r="BH868" s="25"/>
      <c r="BI868" s="25"/>
    </row>
    <row r="869" spans="1:61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25"/>
      <c r="BF869" s="25"/>
      <c r="BG869" s="25"/>
      <c r="BH869" s="25"/>
      <c r="BI869" s="25"/>
    </row>
    <row r="870" spans="1:61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25"/>
      <c r="BF870" s="25"/>
      <c r="BG870" s="25"/>
      <c r="BH870" s="25"/>
      <c r="BI870" s="25"/>
    </row>
    <row r="871" spans="1:6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25"/>
      <c r="BF871" s="25"/>
      <c r="BG871" s="25"/>
      <c r="BH871" s="25"/>
      <c r="BI871" s="25"/>
    </row>
    <row r="872" spans="1:61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25"/>
      <c r="BF872" s="25"/>
      <c r="BG872" s="25"/>
      <c r="BH872" s="25"/>
      <c r="BI872" s="25"/>
    </row>
    <row r="873" spans="1:61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25"/>
      <c r="BF873" s="25"/>
      <c r="BG873" s="25"/>
      <c r="BH873" s="25"/>
      <c r="BI873" s="25"/>
    </row>
    <row r="874" spans="1:61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25"/>
      <c r="BF874" s="25"/>
      <c r="BG874" s="25"/>
      <c r="BH874" s="25"/>
      <c r="BI874" s="25"/>
    </row>
    <row r="875" spans="1:61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25"/>
      <c r="BF875" s="25"/>
      <c r="BG875" s="25"/>
      <c r="BH875" s="25"/>
      <c r="BI875" s="25"/>
    </row>
    <row r="876" spans="1:61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25"/>
      <c r="BF876" s="25"/>
      <c r="BG876" s="25"/>
      <c r="BH876" s="25"/>
      <c r="BI876" s="25"/>
    </row>
    <row r="877" spans="1:61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25"/>
      <c r="BF877" s="25"/>
      <c r="BG877" s="25"/>
      <c r="BH877" s="25"/>
      <c r="BI877" s="25"/>
    </row>
    <row r="878" spans="1:61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25"/>
      <c r="BF878" s="25"/>
      <c r="BG878" s="25"/>
      <c r="BH878" s="25"/>
      <c r="BI878" s="25"/>
    </row>
    <row r="879" spans="1:61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25"/>
      <c r="BF879" s="25"/>
      <c r="BG879" s="25"/>
      <c r="BH879" s="25"/>
      <c r="BI879" s="25"/>
    </row>
    <row r="880" spans="1:61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25"/>
      <c r="BF880" s="25"/>
      <c r="BG880" s="25"/>
      <c r="BH880" s="25"/>
      <c r="BI880" s="25"/>
    </row>
    <row r="881" spans="1:6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25"/>
      <c r="BF881" s="25"/>
      <c r="BG881" s="25"/>
      <c r="BH881" s="25"/>
      <c r="BI881" s="25"/>
    </row>
    <row r="882" spans="1:61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25"/>
      <c r="BF882" s="25"/>
      <c r="BG882" s="25"/>
      <c r="BH882" s="25"/>
      <c r="BI882" s="25"/>
    </row>
    <row r="883" spans="1:61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25"/>
      <c r="BF883" s="25"/>
      <c r="BG883" s="25"/>
      <c r="BH883" s="25"/>
      <c r="BI883" s="25"/>
    </row>
    <row r="884" spans="1:61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25"/>
      <c r="BF884" s="25"/>
      <c r="BG884" s="25"/>
      <c r="BH884" s="25"/>
      <c r="BI884" s="25"/>
    </row>
    <row r="885" spans="1:61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25"/>
      <c r="BF885" s="25"/>
      <c r="BG885" s="25"/>
      <c r="BH885" s="25"/>
      <c r="BI885" s="25"/>
    </row>
    <row r="886" spans="1:61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25"/>
      <c r="BF886" s="25"/>
      <c r="BG886" s="25"/>
      <c r="BH886" s="25"/>
      <c r="BI886" s="25"/>
    </row>
    <row r="887" spans="1:61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25"/>
      <c r="BF887" s="25"/>
      <c r="BG887" s="25"/>
      <c r="BH887" s="25"/>
      <c r="BI887" s="25"/>
    </row>
    <row r="888" spans="1:61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25"/>
      <c r="BF888" s="25"/>
      <c r="BG888" s="25"/>
      <c r="BH888" s="25"/>
      <c r="BI888" s="25"/>
    </row>
    <row r="889" spans="1:61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25"/>
      <c r="BF889" s="25"/>
      <c r="BG889" s="25"/>
      <c r="BH889" s="25"/>
      <c r="BI889" s="25"/>
    </row>
    <row r="890" spans="1:61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25"/>
      <c r="BF890" s="25"/>
      <c r="BG890" s="25"/>
      <c r="BH890" s="25"/>
      <c r="BI890" s="25"/>
    </row>
    <row r="891" spans="1:6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25"/>
      <c r="BF891" s="25"/>
      <c r="BG891" s="25"/>
      <c r="BH891" s="25"/>
      <c r="BI891" s="25"/>
    </row>
    <row r="892" spans="1:61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25"/>
      <c r="BF892" s="25"/>
      <c r="BG892" s="25"/>
      <c r="BH892" s="25"/>
      <c r="BI892" s="25"/>
    </row>
    <row r="893" spans="1:61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25"/>
      <c r="BF893" s="25"/>
      <c r="BG893" s="25"/>
      <c r="BH893" s="25"/>
      <c r="BI893" s="25"/>
    </row>
    <row r="894" spans="1:61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25"/>
      <c r="BF894" s="25"/>
      <c r="BG894" s="25"/>
      <c r="BH894" s="25"/>
      <c r="BI894" s="25"/>
    </row>
    <row r="895" spans="1:61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25"/>
      <c r="BF895" s="25"/>
      <c r="BG895" s="25"/>
      <c r="BH895" s="25"/>
      <c r="BI895" s="25"/>
    </row>
    <row r="896" spans="1:61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25"/>
      <c r="BF896" s="25"/>
      <c r="BG896" s="25"/>
      <c r="BH896" s="25"/>
      <c r="BI896" s="25"/>
    </row>
    <row r="897" spans="1:61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25"/>
      <c r="BF897" s="25"/>
      <c r="BG897" s="25"/>
      <c r="BH897" s="25"/>
      <c r="BI897" s="25"/>
    </row>
    <row r="898" spans="1:61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25"/>
      <c r="BF898" s="25"/>
      <c r="BG898" s="25"/>
      <c r="BH898" s="25"/>
      <c r="BI898" s="25"/>
    </row>
    <row r="899" spans="1:61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25"/>
      <c r="BF899" s="25"/>
      <c r="BG899" s="25"/>
      <c r="BH899" s="25"/>
      <c r="BI899" s="25"/>
    </row>
    <row r="900" spans="1:61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25"/>
      <c r="BF900" s="25"/>
      <c r="BG900" s="25"/>
      <c r="BH900" s="25"/>
      <c r="BI900" s="25"/>
    </row>
    <row r="901" spans="1:6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25"/>
      <c r="BF901" s="25"/>
      <c r="BG901" s="25"/>
      <c r="BH901" s="25"/>
      <c r="BI901" s="25"/>
    </row>
    <row r="902" spans="1:61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25"/>
      <c r="BF902" s="25"/>
      <c r="BG902" s="25"/>
      <c r="BH902" s="25"/>
      <c r="BI902" s="25"/>
    </row>
    <row r="903" spans="1:61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25"/>
      <c r="BF903" s="25"/>
      <c r="BG903" s="25"/>
      <c r="BH903" s="25"/>
      <c r="BI903" s="25"/>
    </row>
    <row r="904" spans="1:61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25"/>
      <c r="BF904" s="25"/>
      <c r="BG904" s="25"/>
      <c r="BH904" s="25"/>
      <c r="BI904" s="25"/>
    </row>
    <row r="905" spans="1:61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25"/>
      <c r="BF905" s="25"/>
      <c r="BG905" s="25"/>
      <c r="BH905" s="25"/>
      <c r="BI905" s="25"/>
    </row>
    <row r="906" spans="1:61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25"/>
      <c r="BF906" s="25"/>
      <c r="BG906" s="25"/>
      <c r="BH906" s="25"/>
      <c r="BI906" s="25"/>
    </row>
    <row r="907" spans="1:61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25"/>
      <c r="BF907" s="25"/>
      <c r="BG907" s="25"/>
      <c r="BH907" s="25"/>
      <c r="BI907" s="25"/>
    </row>
    <row r="908" spans="1:61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25"/>
      <c r="BF908" s="25"/>
      <c r="BG908" s="25"/>
      <c r="BH908" s="25"/>
      <c r="BI908" s="25"/>
    </row>
    <row r="909" spans="1:61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25"/>
      <c r="BF909" s="25"/>
      <c r="BG909" s="25"/>
      <c r="BH909" s="25"/>
      <c r="BI909" s="25"/>
    </row>
    <row r="910" spans="1:61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25"/>
      <c r="BF910" s="25"/>
      <c r="BG910" s="25"/>
      <c r="BH910" s="25"/>
      <c r="BI910" s="25"/>
    </row>
    <row r="911" spans="1:6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25"/>
      <c r="BF911" s="25"/>
      <c r="BG911" s="25"/>
      <c r="BH911" s="25"/>
      <c r="BI911" s="25"/>
    </row>
    <row r="912" spans="1:61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25"/>
      <c r="BF912" s="25"/>
      <c r="BG912" s="25"/>
      <c r="BH912" s="25"/>
      <c r="BI912" s="25"/>
    </row>
    <row r="913" spans="1:61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25"/>
      <c r="BF913" s="25"/>
      <c r="BG913" s="25"/>
      <c r="BH913" s="25"/>
      <c r="BI913" s="25"/>
    </row>
    <row r="914" spans="1:61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25"/>
      <c r="BF914" s="25"/>
      <c r="BG914" s="25"/>
      <c r="BH914" s="25"/>
      <c r="BI914" s="25"/>
    </row>
    <row r="915" spans="1:61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25"/>
      <c r="BF915" s="25"/>
      <c r="BG915" s="25"/>
      <c r="BH915" s="25"/>
      <c r="BI915" s="25"/>
    </row>
    <row r="916" spans="1:61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25"/>
      <c r="BF916" s="25"/>
      <c r="BG916" s="25"/>
      <c r="BH916" s="25"/>
      <c r="BI916" s="25"/>
    </row>
    <row r="917" spans="1:61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25"/>
      <c r="BF917" s="25"/>
      <c r="BG917" s="25"/>
      <c r="BH917" s="25"/>
      <c r="BI917" s="25"/>
    </row>
    <row r="918" spans="1:61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25"/>
      <c r="BF918" s="25"/>
      <c r="BG918" s="25"/>
      <c r="BH918" s="25"/>
      <c r="BI918" s="25"/>
    </row>
    <row r="919" spans="1:61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25"/>
      <c r="BF919" s="25"/>
      <c r="BG919" s="25"/>
      <c r="BH919" s="25"/>
      <c r="BI919" s="25"/>
    </row>
    <row r="920" spans="1:61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25"/>
      <c r="BF920" s="25"/>
      <c r="BG920" s="25"/>
      <c r="BH920" s="25"/>
      <c r="BI920" s="25"/>
    </row>
    <row r="921" spans="1:6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25"/>
      <c r="BF921" s="25"/>
      <c r="BG921" s="25"/>
      <c r="BH921" s="25"/>
      <c r="BI921" s="25"/>
    </row>
    <row r="922" spans="1:61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25"/>
      <c r="BF922" s="25"/>
      <c r="BG922" s="25"/>
      <c r="BH922" s="25"/>
      <c r="BI922" s="25"/>
    </row>
    <row r="923" spans="1:61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25"/>
      <c r="BF923" s="25"/>
      <c r="BG923" s="25"/>
      <c r="BH923" s="25"/>
      <c r="BI923" s="25"/>
    </row>
    <row r="924" spans="1:61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25"/>
      <c r="BF924" s="25"/>
      <c r="BG924" s="25"/>
      <c r="BH924" s="25"/>
      <c r="BI924" s="25"/>
    </row>
    <row r="925" spans="1:61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25"/>
      <c r="BF925" s="25"/>
      <c r="BG925" s="25"/>
      <c r="BH925" s="25"/>
      <c r="BI925" s="25"/>
    </row>
    <row r="926" spans="1:61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25"/>
      <c r="BF926" s="25"/>
      <c r="BG926" s="25"/>
      <c r="BH926" s="25"/>
      <c r="BI926" s="25"/>
    </row>
    <row r="927" spans="1:61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25"/>
      <c r="BF927" s="25"/>
      <c r="BG927" s="25"/>
      <c r="BH927" s="25"/>
      <c r="BI927" s="25"/>
    </row>
    <row r="928" spans="1:61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25"/>
      <c r="BF928" s="25"/>
      <c r="BG928" s="25"/>
      <c r="BH928" s="25"/>
      <c r="BI928" s="25"/>
    </row>
    <row r="929" spans="1:61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25"/>
      <c r="BF929" s="25"/>
      <c r="BG929" s="25"/>
      <c r="BH929" s="25"/>
      <c r="BI929" s="25"/>
    </row>
    <row r="930" spans="1:61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25"/>
      <c r="BF930" s="25"/>
      <c r="BG930" s="25"/>
      <c r="BH930" s="25"/>
      <c r="BI930" s="25"/>
    </row>
    <row r="931" spans="1:6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25"/>
      <c r="BF931" s="25"/>
      <c r="BG931" s="25"/>
      <c r="BH931" s="25"/>
      <c r="BI931" s="25"/>
    </row>
    <row r="932" spans="1:61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25"/>
      <c r="BF932" s="25"/>
      <c r="BG932" s="25"/>
      <c r="BH932" s="25"/>
      <c r="BI932" s="25"/>
    </row>
    <row r="933" spans="1:61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25"/>
      <c r="BF933" s="25"/>
      <c r="BG933" s="25"/>
      <c r="BH933" s="25"/>
      <c r="BI933" s="25"/>
    </row>
    <row r="934" spans="1:61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25"/>
      <c r="BF934" s="25"/>
      <c r="BG934" s="25"/>
      <c r="BH934" s="25"/>
      <c r="BI934" s="25"/>
    </row>
    <row r="935" spans="1:61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25"/>
      <c r="BF935" s="25"/>
      <c r="BG935" s="25"/>
      <c r="BH935" s="25"/>
      <c r="BI935" s="25"/>
    </row>
    <row r="936" spans="1:61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25"/>
      <c r="BF936" s="25"/>
      <c r="BG936" s="25"/>
      <c r="BH936" s="25"/>
      <c r="BI936" s="25"/>
    </row>
    <row r="937" spans="1:61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25"/>
      <c r="BF937" s="25"/>
      <c r="BG937" s="25"/>
      <c r="BH937" s="25"/>
      <c r="BI937" s="25"/>
    </row>
    <row r="938" spans="1:61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25"/>
      <c r="BF938" s="25"/>
      <c r="BG938" s="25"/>
      <c r="BH938" s="25"/>
      <c r="BI938" s="25"/>
    </row>
    <row r="939" spans="1:61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25"/>
      <c r="BF939" s="25"/>
      <c r="BG939" s="25"/>
      <c r="BH939" s="25"/>
      <c r="BI939" s="25"/>
    </row>
    <row r="940" spans="1:61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25"/>
      <c r="BF940" s="25"/>
      <c r="BG940" s="25"/>
      <c r="BH940" s="25"/>
      <c r="BI940" s="25"/>
    </row>
    <row r="941" spans="1:6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25"/>
      <c r="BF941" s="25"/>
      <c r="BG941" s="25"/>
      <c r="BH941" s="25"/>
      <c r="BI941" s="25"/>
    </row>
    <row r="942" spans="1:61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25"/>
      <c r="BF942" s="25"/>
      <c r="BG942" s="25"/>
      <c r="BH942" s="25"/>
      <c r="BI942" s="25"/>
    </row>
    <row r="943" spans="1:61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25"/>
      <c r="BF943" s="25"/>
      <c r="BG943" s="25"/>
      <c r="BH943" s="25"/>
      <c r="BI943" s="25"/>
    </row>
    <row r="944" spans="1:61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25"/>
      <c r="BF944" s="25"/>
      <c r="BG944" s="25"/>
      <c r="BH944" s="25"/>
      <c r="BI944" s="25"/>
    </row>
    <row r="945" spans="1:61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25"/>
      <c r="BF945" s="25"/>
      <c r="BG945" s="25"/>
      <c r="BH945" s="25"/>
      <c r="BI945" s="25"/>
    </row>
    <row r="946" spans="1:61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25"/>
      <c r="BF946" s="25"/>
      <c r="BG946" s="25"/>
      <c r="BH946" s="25"/>
      <c r="BI946" s="25"/>
    </row>
    <row r="947" spans="1:61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25"/>
      <c r="BF947" s="25"/>
      <c r="BG947" s="25"/>
      <c r="BH947" s="25"/>
      <c r="BI947" s="25"/>
    </row>
    <row r="948" spans="1:61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25"/>
      <c r="BF948" s="25"/>
      <c r="BG948" s="25"/>
      <c r="BH948" s="25"/>
      <c r="BI948" s="25"/>
    </row>
    <row r="949" spans="1:61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25"/>
      <c r="BF949" s="25"/>
      <c r="BG949" s="25"/>
      <c r="BH949" s="25"/>
      <c r="BI949" s="25"/>
    </row>
    <row r="950" spans="1:61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25"/>
      <c r="BF950" s="25"/>
      <c r="BG950" s="25"/>
      <c r="BH950" s="25"/>
      <c r="BI950" s="25"/>
    </row>
    <row r="951" spans="1:6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25"/>
      <c r="BF951" s="25"/>
      <c r="BG951" s="25"/>
      <c r="BH951" s="25"/>
      <c r="BI951" s="25"/>
    </row>
    <row r="952" spans="1:61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25"/>
      <c r="BF952" s="25"/>
      <c r="BG952" s="25"/>
      <c r="BH952" s="25"/>
      <c r="BI952" s="25"/>
    </row>
    <row r="953" spans="1:61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25"/>
      <c r="BF953" s="25"/>
      <c r="BG953" s="25"/>
      <c r="BH953" s="25"/>
      <c r="BI953" s="25"/>
    </row>
    <row r="954" spans="1:61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25"/>
      <c r="BF954" s="25"/>
      <c r="BG954" s="25"/>
      <c r="BH954" s="25"/>
      <c r="BI954" s="25"/>
    </row>
    <row r="955" spans="1:61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25"/>
      <c r="BF955" s="25"/>
      <c r="BG955" s="25"/>
      <c r="BH955" s="25"/>
      <c r="BI955" s="25"/>
    </row>
    <row r="956" spans="1:61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25"/>
      <c r="BF956" s="25"/>
      <c r="BG956" s="25"/>
      <c r="BH956" s="25"/>
      <c r="BI956" s="25"/>
    </row>
    <row r="957" spans="1:61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25"/>
      <c r="BF957" s="25"/>
      <c r="BG957" s="25"/>
      <c r="BH957" s="25"/>
      <c r="BI957" s="25"/>
    </row>
    <row r="958" spans="1:61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25"/>
      <c r="BF958" s="25"/>
      <c r="BG958" s="25"/>
      <c r="BH958" s="25"/>
      <c r="BI958" s="25"/>
    </row>
    <row r="959" spans="1:61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25"/>
      <c r="BF959" s="25"/>
      <c r="BG959" s="25"/>
      <c r="BH959" s="25"/>
      <c r="BI959" s="25"/>
    </row>
    <row r="960" spans="1:61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25"/>
      <c r="BF960" s="25"/>
      <c r="BG960" s="25"/>
      <c r="BH960" s="25"/>
      <c r="BI960" s="25"/>
    </row>
    <row r="961" spans="1: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25"/>
      <c r="BF961" s="25"/>
      <c r="BG961" s="25"/>
      <c r="BH961" s="25"/>
      <c r="BI961" s="25"/>
    </row>
    <row r="962" spans="1:61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25"/>
      <c r="BF962" s="25"/>
      <c r="BG962" s="25"/>
      <c r="BH962" s="25"/>
      <c r="BI962" s="25"/>
    </row>
    <row r="963" spans="1:61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25"/>
      <c r="BF963" s="25"/>
      <c r="BG963" s="25"/>
      <c r="BH963" s="25"/>
      <c r="BI963" s="25"/>
    </row>
    <row r="964" spans="1:61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25"/>
      <c r="BF964" s="25"/>
      <c r="BG964" s="25"/>
      <c r="BH964" s="25"/>
      <c r="BI964" s="25"/>
    </row>
    <row r="965" spans="1:61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25"/>
      <c r="BF965" s="25"/>
      <c r="BG965" s="25"/>
      <c r="BH965" s="25"/>
      <c r="BI965" s="25"/>
    </row>
    <row r="966" spans="1:61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25"/>
      <c r="BF966" s="25"/>
      <c r="BG966" s="25"/>
      <c r="BH966" s="25"/>
      <c r="BI966" s="25"/>
    </row>
    <row r="967" spans="1:61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25"/>
      <c r="BF967" s="25"/>
      <c r="BG967" s="25"/>
      <c r="BH967" s="25"/>
      <c r="BI967" s="25"/>
    </row>
    <row r="968" spans="1:61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25"/>
      <c r="BF968" s="25"/>
      <c r="BG968" s="25"/>
      <c r="BH968" s="25"/>
      <c r="BI968" s="25"/>
    </row>
    <row r="969" spans="1:61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25"/>
      <c r="BF969" s="25"/>
      <c r="BG969" s="25"/>
      <c r="BH969" s="25"/>
      <c r="BI969" s="25"/>
    </row>
    <row r="970" spans="1:61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25"/>
      <c r="BF970" s="25"/>
      <c r="BG970" s="25"/>
      <c r="BH970" s="25"/>
      <c r="BI970" s="25"/>
    </row>
    <row r="971" spans="1:6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25"/>
      <c r="BF971" s="25"/>
      <c r="BG971" s="25"/>
      <c r="BH971" s="25"/>
      <c r="BI971" s="25"/>
    </row>
    <row r="972" spans="1:61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25"/>
      <c r="BF972" s="25"/>
      <c r="BG972" s="25"/>
      <c r="BH972" s="25"/>
      <c r="BI972" s="25"/>
    </row>
    <row r="973" spans="1:61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25"/>
      <c r="BF973" s="25"/>
      <c r="BG973" s="25"/>
      <c r="BH973" s="25"/>
      <c r="BI973" s="25"/>
    </row>
    <row r="974" spans="1:61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25"/>
      <c r="BF974" s="25"/>
      <c r="BG974" s="25"/>
      <c r="BH974" s="25"/>
      <c r="BI974" s="25"/>
    </row>
    <row r="975" spans="1:61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25"/>
      <c r="BF975" s="25"/>
      <c r="BG975" s="25"/>
      <c r="BH975" s="25"/>
      <c r="BI975" s="25"/>
    </row>
    <row r="976" spans="1:61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25"/>
      <c r="BF976" s="25"/>
      <c r="BG976" s="25"/>
      <c r="BH976" s="25"/>
      <c r="BI976" s="25"/>
    </row>
    <row r="977" spans="1:61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25"/>
      <c r="BF977" s="25"/>
      <c r="BG977" s="25"/>
      <c r="BH977" s="25"/>
      <c r="BI977" s="25"/>
    </row>
    <row r="978" spans="1:61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25"/>
      <c r="BF978" s="25"/>
      <c r="BG978" s="25"/>
      <c r="BH978" s="25"/>
      <c r="BI978" s="25"/>
    </row>
    <row r="979" spans="1:61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25"/>
      <c r="BF979" s="25"/>
      <c r="BG979" s="25"/>
      <c r="BH979" s="25"/>
      <c r="BI979" s="25"/>
    </row>
    <row r="980" spans="1:61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25"/>
      <c r="BF980" s="25"/>
      <c r="BG980" s="25"/>
      <c r="BH980" s="25"/>
      <c r="BI980" s="25"/>
    </row>
    <row r="981" spans="1:6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25"/>
      <c r="BF981" s="25"/>
      <c r="BG981" s="25"/>
      <c r="BH981" s="25"/>
      <c r="BI981" s="25"/>
    </row>
    <row r="982" spans="1:61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25"/>
      <c r="BF982" s="25"/>
      <c r="BG982" s="25"/>
      <c r="BH982" s="25"/>
      <c r="BI982" s="25"/>
    </row>
    <row r="983" spans="1:61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25"/>
      <c r="BF983" s="25"/>
      <c r="BG983" s="25"/>
      <c r="BH983" s="25"/>
      <c r="BI983" s="25"/>
    </row>
    <row r="984" spans="1:61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25"/>
      <c r="BF984" s="25"/>
      <c r="BG984" s="25"/>
      <c r="BH984" s="25"/>
      <c r="BI984" s="25"/>
    </row>
    <row r="985" spans="1:61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25"/>
      <c r="BF985" s="25"/>
      <c r="BG985" s="25"/>
      <c r="BH985" s="25"/>
      <c r="BI985" s="25"/>
    </row>
    <row r="986" spans="1:61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25"/>
      <c r="BF986" s="25"/>
      <c r="BG986" s="25"/>
      <c r="BH986" s="25"/>
      <c r="BI986" s="25"/>
    </row>
    <row r="987" spans="1:61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25"/>
      <c r="BF987" s="25"/>
      <c r="BG987" s="25"/>
      <c r="BH987" s="25"/>
      <c r="BI987" s="25"/>
    </row>
    <row r="988" spans="1:61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25"/>
      <c r="BF988" s="25"/>
      <c r="BG988" s="25"/>
      <c r="BH988" s="25"/>
      <c r="BI988" s="25"/>
    </row>
    <row r="989" spans="1:61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25"/>
      <c r="BF989" s="25"/>
      <c r="BG989" s="25"/>
      <c r="BH989" s="25"/>
      <c r="BI989" s="25"/>
    </row>
    <row r="990" spans="1:61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25"/>
      <c r="BF990" s="25"/>
      <c r="BG990" s="25"/>
      <c r="BH990" s="25"/>
      <c r="BI990" s="25"/>
    </row>
    <row r="991" spans="1:6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25"/>
      <c r="BF991" s="25"/>
      <c r="BG991" s="25"/>
      <c r="BH991" s="25"/>
      <c r="BI991" s="25"/>
    </row>
    <row r="992" spans="1:61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25"/>
      <c r="BF992" s="25"/>
      <c r="BG992" s="25"/>
      <c r="BH992" s="25"/>
      <c r="BI992" s="25"/>
    </row>
    <row r="993" spans="1:61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25"/>
      <c r="BF993" s="25"/>
      <c r="BG993" s="25"/>
      <c r="BH993" s="25"/>
      <c r="BI993" s="25"/>
    </row>
    <row r="994" spans="1:61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25"/>
      <c r="BF994" s="25"/>
      <c r="BG994" s="25"/>
      <c r="BH994" s="25"/>
      <c r="BI994" s="25"/>
    </row>
    <row r="995" spans="1:61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25"/>
      <c r="BF995" s="25"/>
      <c r="BG995" s="25"/>
      <c r="BH995" s="25"/>
      <c r="BI995" s="25"/>
    </row>
    <row r="996" spans="1:61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25"/>
      <c r="BF996" s="25"/>
      <c r="BG996" s="25"/>
      <c r="BH996" s="25"/>
      <c r="BI996" s="25"/>
    </row>
    <row r="997" spans="1:61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25"/>
      <c r="BF997" s="25"/>
      <c r="BG997" s="25"/>
      <c r="BH997" s="25"/>
      <c r="BI997" s="25"/>
    </row>
    <row r="998" spans="1:61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25"/>
      <c r="BF998" s="25"/>
      <c r="BG998" s="25"/>
      <c r="BH998" s="25"/>
      <c r="BI998" s="25"/>
    </row>
    <row r="999" spans="1:61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25"/>
      <c r="BF999" s="25"/>
      <c r="BG999" s="25"/>
      <c r="BH999" s="25"/>
      <c r="BI999" s="25"/>
    </row>
    <row r="1000" spans="1:61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25"/>
      <c r="BF1000" s="25"/>
      <c r="BG1000" s="25"/>
      <c r="BH1000" s="25"/>
      <c r="BI1000" s="25"/>
    </row>
  </sheetData>
  <mergeCells count="31">
    <mergeCell ref="F65:J65"/>
    <mergeCell ref="H67:J67"/>
    <mergeCell ref="G9:G10"/>
    <mergeCell ref="H9:H10"/>
    <mergeCell ref="F22:K23"/>
    <mergeCell ref="F53:J53"/>
    <mergeCell ref="F54:I54"/>
    <mergeCell ref="F56:K56"/>
    <mergeCell ref="K57:K58"/>
    <mergeCell ref="F57:G57"/>
    <mergeCell ref="F60:J60"/>
    <mergeCell ref="F62:I62"/>
    <mergeCell ref="F63:I63"/>
    <mergeCell ref="F64:I64"/>
    <mergeCell ref="B1:R3"/>
    <mergeCell ref="B6:R6"/>
    <mergeCell ref="B7:B10"/>
    <mergeCell ref="D7:F8"/>
    <mergeCell ref="G7:H7"/>
    <mergeCell ref="I7:R8"/>
    <mergeCell ref="G8:H8"/>
    <mergeCell ref="N9:R9"/>
    <mergeCell ref="AL9:AL10"/>
    <mergeCell ref="AM9:AM10"/>
    <mergeCell ref="AN9:AN10"/>
    <mergeCell ref="AO9:AO10"/>
    <mergeCell ref="C7:C10"/>
    <mergeCell ref="D9:D10"/>
    <mergeCell ref="E9:E10"/>
    <mergeCell ref="F9:F10"/>
    <mergeCell ref="I9:M9"/>
  </mergeCells>
  <conditionalFormatting sqref="G33:K52">
    <cfRule type="containsBlanks" dxfId="2" priority="1">
      <formula>LEN(TRIM(G33))=0</formula>
    </cfRule>
  </conditionalFormatting>
  <conditionalFormatting sqref="F33:F52">
    <cfRule type="containsBlanks" dxfId="1" priority="2">
      <formula>LEN(TRIM(F33))=0</formula>
    </cfRule>
  </conditionalFormatting>
  <dataValidations count="2">
    <dataValidation type="list" allowBlank="1" showErrorMessage="1" sqref="I11:I20 N11:N20" xr:uid="{00000000-0002-0000-0600-000000000000}">
      <formula1>$V$11:$V$17</formula1>
    </dataValidation>
    <dataValidation type="list" allowBlank="1" showErrorMessage="1" sqref="G8" xr:uid="{00000000-0002-0000-0600-000001000000}">
      <formula1>$AJ$11:$AJ$14</formula1>
    </dataValidation>
  </dataValidations>
  <pageMargins left="0.7" right="0.7" top="0.75" bottom="0.75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V1000"/>
  <sheetViews>
    <sheetView showGridLines="0" workbookViewId="0">
      <pane ySplit="4" topLeftCell="A25" activePane="bottomLeft" state="frozen"/>
      <selection pane="bottomLeft" activeCell="K72" sqref="K72"/>
    </sheetView>
  </sheetViews>
  <sheetFormatPr defaultColWidth="12.625" defaultRowHeight="15" customHeight="1"/>
  <cols>
    <col min="1" max="1" width="9" hidden="1" customWidth="1"/>
    <col min="2" max="2" width="9.625" customWidth="1"/>
    <col min="3" max="3" width="10" customWidth="1"/>
    <col min="4" max="4" width="9" customWidth="1"/>
    <col min="5" max="5" width="7.875" customWidth="1"/>
    <col min="6" max="6" width="10.75" customWidth="1"/>
    <col min="7" max="7" width="18" customWidth="1"/>
    <col min="8" max="8" width="12.75" customWidth="1"/>
    <col min="9" max="9" width="9.5" customWidth="1"/>
    <col min="10" max="10" width="13" customWidth="1"/>
    <col min="11" max="11" width="20.875" customWidth="1"/>
    <col min="12" max="12" width="11" customWidth="1"/>
    <col min="13" max="13" width="19.5" customWidth="1"/>
    <col min="14" max="16" width="10.875" hidden="1" customWidth="1"/>
    <col min="17" max="17" width="11.875" hidden="1" customWidth="1"/>
    <col min="18" max="18" width="10.5" hidden="1" customWidth="1"/>
    <col min="19" max="27" width="10.875" hidden="1" customWidth="1"/>
    <col min="28" max="41" width="9" hidden="1" customWidth="1"/>
    <col min="42" max="43" width="15.75" hidden="1" customWidth="1"/>
    <col min="44" max="44" width="5.125" hidden="1" customWidth="1"/>
    <col min="45" max="53" width="15.75" hidden="1" customWidth="1"/>
    <col min="54" max="64" width="8.625" hidden="1" customWidth="1"/>
    <col min="65" max="65" width="9.75" hidden="1" customWidth="1"/>
    <col min="66" max="66" width="11.375" hidden="1" customWidth="1"/>
    <col min="67" max="67" width="7.625" hidden="1" customWidth="1"/>
    <col min="68" max="68" width="10.625" hidden="1" customWidth="1"/>
    <col min="69" max="74" width="8.625" hidden="1" customWidth="1"/>
  </cols>
  <sheetData>
    <row r="1" spans="1:74" ht="16.5" customHeight="1">
      <c r="A1" s="3"/>
      <c r="B1" s="171" t="s">
        <v>172</v>
      </c>
      <c r="C1" s="172"/>
      <c r="D1" s="172"/>
      <c r="E1" s="172"/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2"/>
      <c r="Q1" s="172"/>
      <c r="R1" s="17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25"/>
      <c r="BS1" s="25"/>
      <c r="BT1" s="25"/>
      <c r="BU1" s="25"/>
      <c r="BV1" s="25"/>
    </row>
    <row r="2" spans="1:74" ht="16.5" customHeight="1">
      <c r="A2" s="3"/>
      <c r="B2" s="175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7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25"/>
      <c r="BS2" s="25"/>
      <c r="BT2" s="25"/>
      <c r="BU2" s="25"/>
      <c r="BV2" s="25"/>
    </row>
    <row r="3" spans="1:74" ht="16.5" customHeight="1">
      <c r="A3" s="3"/>
      <c r="B3" s="178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79"/>
      <c r="N3" s="179"/>
      <c r="O3" s="179"/>
      <c r="P3" s="179"/>
      <c r="Q3" s="179"/>
      <c r="R3" s="180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25"/>
      <c r="BS3" s="25"/>
      <c r="BT3" s="25"/>
      <c r="BU3" s="25"/>
      <c r="BV3" s="25"/>
    </row>
    <row r="4" spans="1:74" ht="16.5" customHeight="1">
      <c r="A4" s="4"/>
      <c r="B4" s="181"/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</row>
    <row r="5" spans="1:74" ht="16.5" customHeight="1">
      <c r="A5" s="4"/>
      <c r="B5" s="181"/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</row>
    <row r="6" spans="1:74" ht="16.5" customHeight="1">
      <c r="A6" s="3"/>
      <c r="B6" s="182" t="s">
        <v>173</v>
      </c>
      <c r="C6" s="183"/>
      <c r="D6" s="183"/>
      <c r="E6" s="183"/>
      <c r="F6" s="183"/>
      <c r="G6" s="183"/>
      <c r="H6" s="183"/>
      <c r="I6" s="183"/>
      <c r="J6" s="183"/>
      <c r="K6" s="183"/>
      <c r="L6" s="183"/>
      <c r="M6" s="183"/>
      <c r="N6" s="183"/>
      <c r="O6" s="183"/>
      <c r="P6" s="183"/>
      <c r="Q6" s="183"/>
      <c r="R6" s="184"/>
      <c r="S6" s="5"/>
      <c r="T6" s="5"/>
      <c r="U6" s="5"/>
      <c r="V6" s="5"/>
      <c r="W6" s="5"/>
      <c r="X6" s="5"/>
      <c r="Y6" s="5"/>
      <c r="Z6" s="5"/>
      <c r="AA6" s="5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ht="16.5" customHeight="1">
      <c r="A7" s="3"/>
      <c r="B7" s="185" t="s">
        <v>6</v>
      </c>
      <c r="C7" s="186" t="s">
        <v>10</v>
      </c>
      <c r="D7" s="187" t="s">
        <v>11</v>
      </c>
      <c r="E7" s="188"/>
      <c r="F7" s="189"/>
      <c r="G7" s="190" t="s">
        <v>174</v>
      </c>
      <c r="H7" s="191"/>
      <c r="I7" s="192" t="s">
        <v>251</v>
      </c>
      <c r="J7" s="188"/>
      <c r="K7" s="188"/>
      <c r="L7" s="188"/>
      <c r="M7" s="188"/>
      <c r="N7" s="188"/>
      <c r="O7" s="188"/>
      <c r="P7" s="188"/>
      <c r="Q7" s="188"/>
      <c r="R7" s="191"/>
      <c r="S7" s="6"/>
      <c r="T7" s="6"/>
      <c r="U7" s="6"/>
      <c r="V7" s="6"/>
      <c r="W7" s="6"/>
      <c r="X7" s="6"/>
      <c r="Y7" s="6"/>
      <c r="Z7" s="6"/>
      <c r="AA7" s="6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25"/>
      <c r="BS7" s="25"/>
      <c r="BT7" s="25"/>
      <c r="BU7" s="25"/>
      <c r="BV7" s="25"/>
    </row>
    <row r="8" spans="1:74" ht="16.5" customHeight="1">
      <c r="A8" s="3"/>
      <c r="B8" s="193"/>
      <c r="C8" s="194"/>
      <c r="D8" s="195"/>
      <c r="E8" s="196"/>
      <c r="F8" s="197"/>
      <c r="G8" s="198" t="s">
        <v>40</v>
      </c>
      <c r="H8" s="199"/>
      <c r="I8" s="200"/>
      <c r="J8" s="201"/>
      <c r="K8" s="201"/>
      <c r="L8" s="201"/>
      <c r="M8" s="201"/>
      <c r="N8" s="201"/>
      <c r="O8" s="201"/>
      <c r="P8" s="201"/>
      <c r="Q8" s="201"/>
      <c r="R8" s="202"/>
      <c r="S8" s="6"/>
      <c r="T8" s="6"/>
      <c r="U8" s="6"/>
      <c r="V8" s="6"/>
      <c r="W8" s="6"/>
      <c r="X8" s="6"/>
      <c r="Y8" s="6"/>
      <c r="Z8" s="6"/>
      <c r="AA8" s="6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162" t="s">
        <v>175</v>
      </c>
      <c r="AQ8" s="163"/>
      <c r="AR8" s="163"/>
      <c r="AS8" s="163"/>
      <c r="AT8" s="163"/>
      <c r="AU8" s="164"/>
      <c r="AV8" s="8"/>
      <c r="AW8" s="8"/>
      <c r="AX8" s="8"/>
      <c r="AY8" s="8"/>
      <c r="AZ8" s="8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25"/>
      <c r="BS8" s="25"/>
      <c r="BT8" s="25"/>
      <c r="BU8" s="25"/>
      <c r="BV8" s="25"/>
    </row>
    <row r="9" spans="1:74" ht="16.5" customHeight="1">
      <c r="A9" s="3"/>
      <c r="B9" s="193"/>
      <c r="C9" s="194"/>
      <c r="D9" s="203" t="s">
        <v>14</v>
      </c>
      <c r="E9" s="203" t="s">
        <v>99</v>
      </c>
      <c r="F9" s="203" t="s">
        <v>176</v>
      </c>
      <c r="G9" s="203" t="s">
        <v>177</v>
      </c>
      <c r="H9" s="204" t="s">
        <v>178</v>
      </c>
      <c r="I9" s="205" t="s">
        <v>19</v>
      </c>
      <c r="J9" s="206"/>
      <c r="K9" s="206"/>
      <c r="L9" s="206"/>
      <c r="M9" s="207"/>
      <c r="N9" s="205" t="s">
        <v>20</v>
      </c>
      <c r="O9" s="206"/>
      <c r="P9" s="206"/>
      <c r="Q9" s="206"/>
      <c r="R9" s="207"/>
      <c r="S9" s="6"/>
      <c r="T9" s="6"/>
      <c r="U9" s="6"/>
      <c r="V9" s="6"/>
      <c r="W9" s="6"/>
      <c r="X9" s="6"/>
      <c r="Y9" s="6"/>
      <c r="Z9" s="6"/>
      <c r="AA9" s="6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165" t="s">
        <v>179</v>
      </c>
      <c r="AQ9" s="87"/>
      <c r="AR9" s="87"/>
      <c r="AS9" s="87"/>
      <c r="AT9" s="87"/>
      <c r="AU9" s="87"/>
      <c r="AV9" s="7"/>
      <c r="AW9" s="7"/>
      <c r="AX9" s="7"/>
      <c r="AY9" s="7"/>
      <c r="AZ9" s="7"/>
      <c r="BA9" s="7"/>
      <c r="BB9" s="112" t="s">
        <v>24</v>
      </c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25" t="s">
        <v>103</v>
      </c>
      <c r="BS9" s="25"/>
      <c r="BT9" s="25"/>
      <c r="BU9" s="25"/>
      <c r="BV9" s="25"/>
    </row>
    <row r="10" spans="1:74" ht="16.5" customHeight="1">
      <c r="A10" s="9"/>
      <c r="B10" s="208"/>
      <c r="C10" s="209"/>
      <c r="D10" s="209"/>
      <c r="E10" s="209"/>
      <c r="F10" s="209"/>
      <c r="G10" s="209"/>
      <c r="H10" s="210"/>
      <c r="I10" s="211" t="s">
        <v>25</v>
      </c>
      <c r="J10" s="212" t="s">
        <v>26</v>
      </c>
      <c r="K10" s="213" t="s">
        <v>82</v>
      </c>
      <c r="L10" s="212" t="s">
        <v>180</v>
      </c>
      <c r="M10" s="214" t="s">
        <v>181</v>
      </c>
      <c r="N10" s="211" t="s">
        <v>25</v>
      </c>
      <c r="O10" s="212" t="s">
        <v>26</v>
      </c>
      <c r="P10" s="213" t="s">
        <v>27</v>
      </c>
      <c r="Q10" s="212" t="s">
        <v>158</v>
      </c>
      <c r="R10" s="214" t="s">
        <v>159</v>
      </c>
      <c r="S10" s="14"/>
      <c r="T10" s="14">
        <f>3/0.25</f>
        <v>12</v>
      </c>
      <c r="U10" s="14"/>
      <c r="V10" s="14"/>
      <c r="W10" s="14"/>
      <c r="X10" s="14" t="s">
        <v>30</v>
      </c>
      <c r="Y10" s="14" t="s">
        <v>30</v>
      </c>
      <c r="Z10" s="14"/>
      <c r="AA10" s="14"/>
      <c r="AB10" s="9"/>
      <c r="AC10" s="9"/>
      <c r="AD10" s="9"/>
      <c r="AE10" s="9"/>
      <c r="AF10" s="9"/>
      <c r="AG10" s="9"/>
      <c r="AH10" s="9"/>
      <c r="AI10" s="15"/>
      <c r="AJ10" s="9"/>
      <c r="AK10" s="9" t="s">
        <v>182</v>
      </c>
      <c r="AL10" s="9" t="s">
        <v>183</v>
      </c>
      <c r="AM10" s="9" t="s">
        <v>184</v>
      </c>
      <c r="AN10" s="9"/>
      <c r="AO10" s="9"/>
      <c r="AP10" s="106"/>
      <c r="AQ10" s="87" t="s">
        <v>185</v>
      </c>
      <c r="AR10" s="87" t="s">
        <v>186</v>
      </c>
      <c r="AS10" s="87" t="s">
        <v>187</v>
      </c>
      <c r="AT10" s="88" t="s">
        <v>188</v>
      </c>
      <c r="AU10" s="88" t="s">
        <v>189</v>
      </c>
      <c r="AV10" s="88" t="s">
        <v>188</v>
      </c>
      <c r="AW10" s="88" t="s">
        <v>189</v>
      </c>
      <c r="AX10" s="9" t="s">
        <v>182</v>
      </c>
      <c r="AY10" s="9" t="s">
        <v>183</v>
      </c>
      <c r="AZ10" s="9" t="s">
        <v>184</v>
      </c>
      <c r="BA10" s="7"/>
      <c r="BB10" s="102"/>
      <c r="BC10" s="9"/>
      <c r="BD10" s="9"/>
      <c r="BE10" s="9"/>
      <c r="BF10" s="9"/>
      <c r="BG10" s="9"/>
      <c r="BH10" s="9"/>
      <c r="BI10" s="9"/>
      <c r="BJ10" s="9"/>
      <c r="BK10" s="9"/>
      <c r="BL10" s="9" t="s">
        <v>31</v>
      </c>
      <c r="BM10" s="9" t="s">
        <v>32</v>
      </c>
      <c r="BN10" s="9" t="s">
        <v>19</v>
      </c>
      <c r="BO10" s="9" t="s">
        <v>10</v>
      </c>
      <c r="BP10" s="9" t="s">
        <v>20</v>
      </c>
      <c r="BQ10" s="9" t="s">
        <v>10</v>
      </c>
      <c r="BR10" s="85" t="s">
        <v>24</v>
      </c>
      <c r="BS10" s="85" t="s">
        <v>105</v>
      </c>
      <c r="BT10" s="85" t="s">
        <v>160</v>
      </c>
      <c r="BU10" s="85" t="s">
        <v>109</v>
      </c>
      <c r="BV10" s="85" t="s">
        <v>108</v>
      </c>
    </row>
    <row r="11" spans="1:74" ht="16.5" customHeight="1">
      <c r="A11" s="3"/>
      <c r="B11" s="215" t="s">
        <v>190</v>
      </c>
      <c r="C11" s="216">
        <v>3</v>
      </c>
      <c r="D11" s="216">
        <v>3</v>
      </c>
      <c r="E11" s="216">
        <v>2.4</v>
      </c>
      <c r="F11" s="425" t="s">
        <v>183</v>
      </c>
      <c r="G11" s="217">
        <v>2</v>
      </c>
      <c r="H11" s="218">
        <v>0.85</v>
      </c>
      <c r="I11" s="219" t="s">
        <v>35</v>
      </c>
      <c r="J11" s="398">
        <f t="shared" ref="J11:J20" si="0">K11</f>
        <v>9</v>
      </c>
      <c r="K11" s="426">
        <v>9</v>
      </c>
      <c r="L11" s="222">
        <v>800</v>
      </c>
      <c r="M11" s="223">
        <v>800</v>
      </c>
      <c r="N11" s="219" t="s">
        <v>36</v>
      </c>
      <c r="O11" s="220" t="e">
        <f t="shared" ref="O11:O20" si="1">BK11</f>
        <v>#VALUE!</v>
      </c>
      <c r="P11" s="221" t="e">
        <f t="shared" ref="P11:P20" si="2">E11-0.002*G11+2*F11/2</f>
        <v>#VALUE!</v>
      </c>
      <c r="Q11" s="400"/>
      <c r="R11" s="401"/>
      <c r="S11" s="23"/>
      <c r="T11" s="23">
        <v>6</v>
      </c>
      <c r="U11" s="23">
        <v>100</v>
      </c>
      <c r="V11" s="3" t="s">
        <v>36</v>
      </c>
      <c r="W11" s="23">
        <v>0.61735017716184748</v>
      </c>
      <c r="X11" s="24">
        <f t="shared" ref="X11:X20" si="3">IF(C11&gt;0,Z11*J11*VLOOKUP(I11,$V$11:$W$17,2,FALSE),"")</f>
        <v>56.006008072122803</v>
      </c>
      <c r="Y11" s="25"/>
      <c r="Z11" s="24">
        <f t="shared" ref="Z11:Z20" si="4">IF(C11&gt;0,CEILING(C11*(IF(L11&gt;0,D11*1000/L11,0)*D11+IF(M11&gt;0,E11*1000/M11,0)*E11)/J11,1),"")</f>
        <v>7</v>
      </c>
      <c r="AA11" s="24"/>
      <c r="AB11" s="25">
        <f t="shared" ref="AB11:AB20" si="5">K11</f>
        <v>9</v>
      </c>
      <c r="AC11" s="3">
        <f t="shared" ref="AC11:AG11" si="6">IF(C11&gt;0,AC$21-$AB11*FLOOR(AC$21/$AB11,1),"")</f>
        <v>6</v>
      </c>
      <c r="AD11" s="3">
        <f t="shared" si="6"/>
        <v>7.5</v>
      </c>
      <c r="AE11" s="3">
        <f t="shared" si="6"/>
        <v>0</v>
      </c>
      <c r="AF11" s="3">
        <f t="shared" si="6"/>
        <v>1.5</v>
      </c>
      <c r="AG11" s="3">
        <f t="shared" si="6"/>
        <v>3</v>
      </c>
      <c r="AH11" s="3">
        <f t="shared" ref="AH11:AH20" si="7">IF(AB11&gt;0,SMALL(AC11:AG11,1),"")</f>
        <v>0</v>
      </c>
      <c r="AI11" s="26">
        <f>IF(AB11&gt;0,HLOOKUP(AH11,AC11:AG21,11,FALSE),"")</f>
        <v>9</v>
      </c>
      <c r="AJ11" s="23" t="s">
        <v>38</v>
      </c>
      <c r="AK11" s="3">
        <v>0.79200000000000004</v>
      </c>
      <c r="AL11" s="23">
        <v>1.526</v>
      </c>
      <c r="AM11" s="23">
        <v>2.2599999999999998</v>
      </c>
      <c r="AN11" s="23"/>
      <c r="AO11" s="3"/>
      <c r="AP11" s="89">
        <f t="shared" ref="AP11:AP20" si="8">C11*D11*E11</f>
        <v>21.599999999999998</v>
      </c>
      <c r="AQ11" s="89" t="str">
        <f t="shared" ref="AQ11:AQ20" si="9">F11</f>
        <v>_150mm</v>
      </c>
      <c r="AR11" s="89" t="str">
        <f t="shared" ref="AR11:AR20" si="10">IF(AQ11&gt;0,$G$8,"")</f>
        <v>B</v>
      </c>
      <c r="AS11" s="90">
        <f ca="1">IF(AP11&gt;0,INDIRECT(AQ11) INDIRECT(AR11),"")</f>
        <v>1.018</v>
      </c>
      <c r="AT11" s="90">
        <f t="shared" ref="AT11:AT20" ca="1" si="11">IF(AP11&gt;0,AP11*AS11,"")</f>
        <v>21.988799999999998</v>
      </c>
      <c r="AU11" s="90">
        <f t="shared" ref="AU11:AU20" si="12">IF(AP11&gt;0,AP11*HLOOKUP(AQ11,$AK$10:$AM$15,6,0),"")</f>
        <v>1.8230399999999998</v>
      </c>
      <c r="AV11" s="90">
        <f t="shared" ref="AV11:AV20" si="13">IF(AP11&gt;0,G11*AP11*VLOOKUP(AR11,$AJ$31:$AK$34,2),"")</f>
        <v>12.959999999999999</v>
      </c>
      <c r="AW11" s="90">
        <f t="shared" ref="AW11:AW20" si="14">IF(AP11&gt;0,$AK$35*G11*AP11,"")</f>
        <v>1.0799999999999998</v>
      </c>
      <c r="AX11" s="91" t="str">
        <f t="shared" ref="AX11:AX20" si="15">IF(AQ11=$AX$10,AP11*12.5,"")</f>
        <v/>
      </c>
      <c r="AY11" s="91">
        <f t="shared" ref="AY11:AY20" si="16">IF(AQ11=$AY$10,AP11*12.5,"")</f>
        <v>270</v>
      </c>
      <c r="AZ11" s="91" t="str">
        <f t="shared" ref="AZ11:AZ20" si="17">IF(AQ11=$AZ$10,AP11*12.5,"")</f>
        <v/>
      </c>
      <c r="BA11" s="92"/>
      <c r="BB11" s="25">
        <f t="shared" ref="BB11:BB20" si="18">D11*E11*C11</f>
        <v>21.599999999999998</v>
      </c>
      <c r="BC11" s="3"/>
      <c r="BD11" s="25" t="e">
        <f t="shared" ref="BD11:BD20" si="19">P11</f>
        <v>#VALUE!</v>
      </c>
      <c r="BE11" s="3" t="e">
        <f t="shared" ref="BE11:BI11" si="20">IF(C11&gt;0,BE$21-$BD11*FLOOR(BE$21/$BD11,1),"")</f>
        <v>#VALUE!</v>
      </c>
      <c r="BF11" s="3" t="e">
        <f t="shared" si="20"/>
        <v>#VALUE!</v>
      </c>
      <c r="BG11" s="3" t="e">
        <f t="shared" si="20"/>
        <v>#VALUE!</v>
      </c>
      <c r="BH11" s="3" t="e">
        <f t="shared" si="20"/>
        <v>#VALUE!</v>
      </c>
      <c r="BI11" s="3" t="e">
        <f t="shared" si="20"/>
        <v>#VALUE!</v>
      </c>
      <c r="BJ11" s="3" t="e">
        <f t="shared" ref="BJ11:BJ20" si="21">IF(BD11&gt;0,SMALL(BE11:BI11,1),"")</f>
        <v>#VALUE!</v>
      </c>
      <c r="BK11" s="26" t="e">
        <f>IF(BD11&gt;0,HLOOKUP(BJ11,BE11:BI21,11,FALSE),"")</f>
        <v>#VALUE!</v>
      </c>
      <c r="BL11" s="3"/>
      <c r="BM11" s="3"/>
      <c r="BN11" s="3"/>
      <c r="BO11" s="3"/>
      <c r="BP11" s="3"/>
      <c r="BQ11" s="3"/>
      <c r="BR11" s="25">
        <f t="shared" ref="BR11:BR20" si="22">D11*E11*C11</f>
        <v>21.599999999999998</v>
      </c>
      <c r="BS11" s="25">
        <f t="shared" ref="BS11:BS20" si="23">BR11/2.88</f>
        <v>7.4999999999999991</v>
      </c>
      <c r="BT11" s="25">
        <f t="shared" ref="BT11:BT20" si="24">(43/28)*BR11</f>
        <v>33.171428571428571</v>
      </c>
      <c r="BU11" s="25">
        <f t="shared" ref="BU11:BU20" si="25">3/28*BR11</f>
        <v>2.3142857142857141</v>
      </c>
      <c r="BV11" s="25">
        <f t="shared" ref="BV11:BV20" si="26">1/28*BR11</f>
        <v>0.77142857142857135</v>
      </c>
    </row>
    <row r="12" spans="1:74" ht="16.5" customHeight="1">
      <c r="A12" s="3"/>
      <c r="B12" s="215" t="s">
        <v>191</v>
      </c>
      <c r="C12" s="216"/>
      <c r="D12" s="216"/>
      <c r="E12" s="216"/>
      <c r="F12" s="425"/>
      <c r="G12" s="217"/>
      <c r="H12" s="218"/>
      <c r="I12" s="219"/>
      <c r="J12" s="398">
        <f t="shared" si="0"/>
        <v>0</v>
      </c>
      <c r="K12" s="426"/>
      <c r="L12" s="222"/>
      <c r="M12" s="223"/>
      <c r="N12" s="219" t="s">
        <v>36</v>
      </c>
      <c r="O12" s="220" t="str">
        <f t="shared" si="1"/>
        <v/>
      </c>
      <c r="P12" s="221">
        <f t="shared" si="2"/>
        <v>0</v>
      </c>
      <c r="Q12" s="400"/>
      <c r="R12" s="401"/>
      <c r="S12" s="23"/>
      <c r="T12" s="23">
        <f t="shared" ref="T12:T15" si="27">T11+1.5</f>
        <v>7.5</v>
      </c>
      <c r="U12" s="23">
        <v>150</v>
      </c>
      <c r="V12" s="3" t="s">
        <v>35</v>
      </c>
      <c r="W12" s="23">
        <v>0.88898425511306034</v>
      </c>
      <c r="X12" s="24" t="str">
        <f t="shared" si="3"/>
        <v/>
      </c>
      <c r="Y12" s="25"/>
      <c r="Z12" s="24" t="str">
        <f t="shared" si="4"/>
        <v/>
      </c>
      <c r="AA12" s="24" t="str">
        <f t="shared" ref="AA12:AA20" si="28">IF(C12&gt;0,CEILING(C12*P12*(Q12+R12)/O12,1),"")</f>
        <v/>
      </c>
      <c r="AB12" s="25">
        <f t="shared" si="5"/>
        <v>0</v>
      </c>
      <c r="AC12" s="3" t="str">
        <f t="shared" ref="AC12:AG12" si="29">IF(C12&gt;0,AC$21-$AB12*FLOOR(AC$21/$AB12,1),"")</f>
        <v/>
      </c>
      <c r="AD12" s="3" t="str">
        <f t="shared" si="29"/>
        <v/>
      </c>
      <c r="AE12" s="3" t="str">
        <f t="shared" si="29"/>
        <v/>
      </c>
      <c r="AF12" s="3" t="str">
        <f t="shared" si="29"/>
        <v/>
      </c>
      <c r="AG12" s="3" t="str">
        <f t="shared" si="29"/>
        <v/>
      </c>
      <c r="AH12" s="3" t="str">
        <f t="shared" si="7"/>
        <v/>
      </c>
      <c r="AI12" s="26" t="str">
        <f>IF(AB12&gt;0,HLOOKUP(AH12,AC12:AG22,10,FALSE),"")</f>
        <v/>
      </c>
      <c r="AJ12" s="23" t="s">
        <v>40</v>
      </c>
      <c r="AK12" s="3">
        <v>0.52200000000000002</v>
      </c>
      <c r="AL12" s="23">
        <v>1.018</v>
      </c>
      <c r="AM12" s="23">
        <v>1.5</v>
      </c>
      <c r="AN12" s="23"/>
      <c r="AO12" s="3"/>
      <c r="AP12" s="89">
        <f t="shared" si="8"/>
        <v>0</v>
      </c>
      <c r="AQ12" s="89">
        <f t="shared" si="9"/>
        <v>0</v>
      </c>
      <c r="AR12" s="89" t="str">
        <f t="shared" si="10"/>
        <v/>
      </c>
      <c r="AS12" s="90" t="str">
        <f ca="1">IF(AP12&gt;0,INDIRECT(AQ12) INDIRECT(AR12),"")</f>
        <v/>
      </c>
      <c r="AT12" s="90" t="str">
        <f t="shared" si="11"/>
        <v/>
      </c>
      <c r="AU12" s="90" t="str">
        <f t="shared" si="12"/>
        <v/>
      </c>
      <c r="AV12" s="90" t="str">
        <f t="shared" si="13"/>
        <v/>
      </c>
      <c r="AW12" s="90" t="str">
        <f t="shared" si="14"/>
        <v/>
      </c>
      <c r="AX12" s="91" t="str">
        <f t="shared" si="15"/>
        <v/>
      </c>
      <c r="AY12" s="91" t="str">
        <f t="shared" si="16"/>
        <v/>
      </c>
      <c r="AZ12" s="91" t="str">
        <f t="shared" si="17"/>
        <v/>
      </c>
      <c r="BA12" s="92"/>
      <c r="BB12" s="25">
        <f t="shared" si="18"/>
        <v>0</v>
      </c>
      <c r="BC12" s="3"/>
      <c r="BD12" s="25">
        <f t="shared" si="19"/>
        <v>0</v>
      </c>
      <c r="BE12" s="3" t="str">
        <f t="shared" ref="BE12:BI12" si="30">IF(C12&gt;0,BE$21-$BD12*FLOOR(BE$21/$BD12,1),"")</f>
        <v/>
      </c>
      <c r="BF12" s="3" t="str">
        <f t="shared" si="30"/>
        <v/>
      </c>
      <c r="BG12" s="3" t="str">
        <f t="shared" si="30"/>
        <v/>
      </c>
      <c r="BH12" s="3" t="str">
        <f t="shared" si="30"/>
        <v/>
      </c>
      <c r="BI12" s="3" t="str">
        <f t="shared" si="30"/>
        <v/>
      </c>
      <c r="BJ12" s="3" t="str">
        <f t="shared" si="21"/>
        <v/>
      </c>
      <c r="BK12" s="26" t="str">
        <f>IF(BD12&gt;0,HLOOKUP(BJ12,BE12:BI22,10,FALSE),"")</f>
        <v/>
      </c>
      <c r="BL12" s="3"/>
      <c r="BM12" s="3"/>
      <c r="BN12" s="3"/>
      <c r="BO12" s="3"/>
      <c r="BP12" s="3"/>
      <c r="BQ12" s="3"/>
      <c r="BR12" s="25">
        <f t="shared" si="22"/>
        <v>0</v>
      </c>
      <c r="BS12" s="25">
        <f t="shared" si="23"/>
        <v>0</v>
      </c>
      <c r="BT12" s="25">
        <f t="shared" si="24"/>
        <v>0</v>
      </c>
      <c r="BU12" s="25">
        <f t="shared" si="25"/>
        <v>0</v>
      </c>
      <c r="BV12" s="25">
        <f t="shared" si="26"/>
        <v>0</v>
      </c>
    </row>
    <row r="13" spans="1:74" ht="16.5" customHeight="1">
      <c r="A13" s="3"/>
      <c r="B13" s="215" t="s">
        <v>192</v>
      </c>
      <c r="C13" s="216"/>
      <c r="D13" s="216"/>
      <c r="E13" s="216"/>
      <c r="F13" s="425"/>
      <c r="G13" s="217"/>
      <c r="H13" s="218"/>
      <c r="I13" s="219"/>
      <c r="J13" s="398">
        <f t="shared" si="0"/>
        <v>0</v>
      </c>
      <c r="K13" s="426"/>
      <c r="L13" s="222"/>
      <c r="M13" s="223"/>
      <c r="N13" s="219"/>
      <c r="O13" s="220" t="str">
        <f t="shared" si="1"/>
        <v/>
      </c>
      <c r="P13" s="221">
        <f t="shared" si="2"/>
        <v>0</v>
      </c>
      <c r="Q13" s="400"/>
      <c r="R13" s="401"/>
      <c r="S13" s="23"/>
      <c r="T13" s="23">
        <f t="shared" si="27"/>
        <v>9</v>
      </c>
      <c r="U13" s="23">
        <v>200</v>
      </c>
      <c r="V13" s="3" t="s">
        <v>34</v>
      </c>
      <c r="W13" s="23">
        <v>1.5804164535343297</v>
      </c>
      <c r="X13" s="24" t="str">
        <f t="shared" si="3"/>
        <v/>
      </c>
      <c r="Y13" s="25" t="str">
        <f t="shared" ref="Y13:Y20" si="31">IF(C13&gt;0,O13*AA13*VLOOKUP(I13,$V$11:$W$17,2,FALSE),"")</f>
        <v/>
      </c>
      <c r="Z13" s="24" t="str">
        <f t="shared" si="4"/>
        <v/>
      </c>
      <c r="AA13" s="24" t="str">
        <f t="shared" si="28"/>
        <v/>
      </c>
      <c r="AB13" s="25">
        <f t="shared" si="5"/>
        <v>0</v>
      </c>
      <c r="AC13" s="3" t="str">
        <f t="shared" ref="AC13:AG13" si="32">IF(C13&gt;0,AC$21-$AB13*FLOOR(AC$21/$AB13,1),"")</f>
        <v/>
      </c>
      <c r="AD13" s="3" t="str">
        <f t="shared" si="32"/>
        <v/>
      </c>
      <c r="AE13" s="3" t="str">
        <f t="shared" si="32"/>
        <v/>
      </c>
      <c r="AF13" s="3" t="str">
        <f t="shared" si="32"/>
        <v/>
      </c>
      <c r="AG13" s="3" t="str">
        <f t="shared" si="32"/>
        <v/>
      </c>
      <c r="AH13" s="3" t="str">
        <f t="shared" si="7"/>
        <v/>
      </c>
      <c r="AI13" s="26" t="str">
        <f>IF(AB13&gt;0,HLOOKUP(AH13,AC13:AG23,9,FALSE),"")</f>
        <v/>
      </c>
      <c r="AJ13" s="23" t="s">
        <v>193</v>
      </c>
      <c r="AK13" s="3">
        <v>0.39400000000000002</v>
      </c>
      <c r="AL13" s="23">
        <v>0.76300000000000001</v>
      </c>
      <c r="AM13" s="23">
        <v>1.125</v>
      </c>
      <c r="AN13" s="23"/>
      <c r="AO13" s="3"/>
      <c r="AP13" s="89">
        <f t="shared" si="8"/>
        <v>0</v>
      </c>
      <c r="AQ13" s="89">
        <f t="shared" si="9"/>
        <v>0</v>
      </c>
      <c r="AR13" s="89" t="str">
        <f t="shared" si="10"/>
        <v/>
      </c>
      <c r="AS13" s="90" t="str">
        <f ca="1">IF(AP13&gt;0,INDIRECT(AQ13) INDIRECT(AR13),"")</f>
        <v/>
      </c>
      <c r="AT13" s="90" t="str">
        <f t="shared" si="11"/>
        <v/>
      </c>
      <c r="AU13" s="90" t="str">
        <f t="shared" si="12"/>
        <v/>
      </c>
      <c r="AV13" s="90" t="str">
        <f t="shared" si="13"/>
        <v/>
      </c>
      <c r="AW13" s="90" t="str">
        <f t="shared" si="14"/>
        <v/>
      </c>
      <c r="AX13" s="91" t="str">
        <f t="shared" si="15"/>
        <v/>
      </c>
      <c r="AY13" s="91" t="str">
        <f t="shared" si="16"/>
        <v/>
      </c>
      <c r="AZ13" s="91" t="str">
        <f t="shared" si="17"/>
        <v/>
      </c>
      <c r="BA13" s="92"/>
      <c r="BB13" s="25">
        <f t="shared" si="18"/>
        <v>0</v>
      </c>
      <c r="BC13" s="3"/>
      <c r="BD13" s="25">
        <f t="shared" si="19"/>
        <v>0</v>
      </c>
      <c r="BE13" s="3" t="str">
        <f t="shared" ref="BE13:BI13" si="33">IF(C13&gt;0,BE$21-$BD13*FLOOR(BE$21/$BD13,1),"")</f>
        <v/>
      </c>
      <c r="BF13" s="3" t="str">
        <f t="shared" si="33"/>
        <v/>
      </c>
      <c r="BG13" s="3" t="str">
        <f t="shared" si="33"/>
        <v/>
      </c>
      <c r="BH13" s="3" t="str">
        <f t="shared" si="33"/>
        <v/>
      </c>
      <c r="BI13" s="3" t="str">
        <f t="shared" si="33"/>
        <v/>
      </c>
      <c r="BJ13" s="3" t="str">
        <f t="shared" si="21"/>
        <v/>
      </c>
      <c r="BK13" s="26" t="str">
        <f>IF(BD13&gt;0,HLOOKUP(BJ13,BE13:BI23,9,FALSE),"")</f>
        <v/>
      </c>
      <c r="BL13" s="3"/>
      <c r="BM13" s="3"/>
      <c r="BN13" s="3"/>
      <c r="BO13" s="3"/>
      <c r="BP13" s="3"/>
      <c r="BQ13" s="3"/>
      <c r="BR13" s="25">
        <f t="shared" si="22"/>
        <v>0</v>
      </c>
      <c r="BS13" s="25">
        <f t="shared" si="23"/>
        <v>0</v>
      </c>
      <c r="BT13" s="25">
        <f t="shared" si="24"/>
        <v>0</v>
      </c>
      <c r="BU13" s="25">
        <f t="shared" si="25"/>
        <v>0</v>
      </c>
      <c r="BV13" s="25">
        <f t="shared" si="26"/>
        <v>0</v>
      </c>
    </row>
    <row r="14" spans="1:74" ht="16.5" customHeight="1">
      <c r="A14" s="3"/>
      <c r="B14" s="215" t="s">
        <v>194</v>
      </c>
      <c r="C14" s="216"/>
      <c r="D14" s="216"/>
      <c r="E14" s="216"/>
      <c r="F14" s="425"/>
      <c r="G14" s="217"/>
      <c r="H14" s="218"/>
      <c r="I14" s="219"/>
      <c r="J14" s="398">
        <f t="shared" si="0"/>
        <v>0</v>
      </c>
      <c r="K14" s="426"/>
      <c r="L14" s="222"/>
      <c r="M14" s="223"/>
      <c r="N14" s="219"/>
      <c r="O14" s="220" t="str">
        <f t="shared" si="1"/>
        <v/>
      </c>
      <c r="P14" s="221">
        <f t="shared" si="2"/>
        <v>0</v>
      </c>
      <c r="Q14" s="400"/>
      <c r="R14" s="401"/>
      <c r="S14" s="23"/>
      <c r="T14" s="23">
        <f t="shared" si="27"/>
        <v>10.5</v>
      </c>
      <c r="U14" s="23"/>
      <c r="V14" s="3" t="s">
        <v>42</v>
      </c>
      <c r="W14" s="23">
        <v>2.4694007086473899</v>
      </c>
      <c r="X14" s="24" t="str">
        <f t="shared" si="3"/>
        <v/>
      </c>
      <c r="Y14" s="25" t="str">
        <f t="shared" si="31"/>
        <v/>
      </c>
      <c r="Z14" s="24" t="str">
        <f t="shared" si="4"/>
        <v/>
      </c>
      <c r="AA14" s="24" t="str">
        <f t="shared" si="28"/>
        <v/>
      </c>
      <c r="AB14" s="25">
        <f t="shared" si="5"/>
        <v>0</v>
      </c>
      <c r="AC14" s="3" t="str">
        <f t="shared" ref="AC14:AG14" si="34">IF(C14&gt;0,AC$21-$AB14*FLOOR(AC$21/$AB14,1),"")</f>
        <v/>
      </c>
      <c r="AD14" s="3" t="str">
        <f t="shared" si="34"/>
        <v/>
      </c>
      <c r="AE14" s="3" t="str">
        <f t="shared" si="34"/>
        <v/>
      </c>
      <c r="AF14" s="3" t="str">
        <f t="shared" si="34"/>
        <v/>
      </c>
      <c r="AG14" s="3" t="str">
        <f t="shared" si="34"/>
        <v/>
      </c>
      <c r="AH14" s="3" t="str">
        <f t="shared" si="7"/>
        <v/>
      </c>
      <c r="AI14" s="26" t="str">
        <f>IF(AB14&gt;0,HLOOKUP(AH14,AC14:AG24,8,FALSE),"")</f>
        <v/>
      </c>
      <c r="AJ14" s="23" t="s">
        <v>195</v>
      </c>
      <c r="AK14" s="3">
        <v>0.32800000000000001</v>
      </c>
      <c r="AL14" s="23">
        <v>0.63300000000000001</v>
      </c>
      <c r="AM14" s="23">
        <v>0.93799999999999994</v>
      </c>
      <c r="AN14" s="23"/>
      <c r="AO14" s="3"/>
      <c r="AP14" s="89">
        <f t="shared" si="8"/>
        <v>0</v>
      </c>
      <c r="AQ14" s="89">
        <f t="shared" si="9"/>
        <v>0</v>
      </c>
      <c r="AR14" s="89" t="str">
        <f t="shared" si="10"/>
        <v/>
      </c>
      <c r="AS14" s="90" t="str">
        <f ca="1">IF(AP14&gt;0,INDIRECT(AQ14) INDIRECT(AR14),"")</f>
        <v/>
      </c>
      <c r="AT14" s="90" t="str">
        <f t="shared" si="11"/>
        <v/>
      </c>
      <c r="AU14" s="90" t="str">
        <f t="shared" si="12"/>
        <v/>
      </c>
      <c r="AV14" s="90" t="str">
        <f t="shared" si="13"/>
        <v/>
      </c>
      <c r="AW14" s="90" t="str">
        <f t="shared" si="14"/>
        <v/>
      </c>
      <c r="AX14" s="91" t="str">
        <f t="shared" si="15"/>
        <v/>
      </c>
      <c r="AY14" s="91" t="str">
        <f t="shared" si="16"/>
        <v/>
      </c>
      <c r="AZ14" s="91" t="str">
        <f t="shared" si="17"/>
        <v/>
      </c>
      <c r="BA14" s="92"/>
      <c r="BB14" s="25">
        <f t="shared" si="18"/>
        <v>0</v>
      </c>
      <c r="BC14" s="3"/>
      <c r="BD14" s="25">
        <f t="shared" si="19"/>
        <v>0</v>
      </c>
      <c r="BE14" s="3" t="str">
        <f t="shared" ref="BE14:BI14" si="35">IF(C14&gt;0,BE$21-$BD14*FLOOR(BE$21/$BD14,1),"")</f>
        <v/>
      </c>
      <c r="BF14" s="3" t="str">
        <f t="shared" si="35"/>
        <v/>
      </c>
      <c r="BG14" s="3" t="str">
        <f t="shared" si="35"/>
        <v/>
      </c>
      <c r="BH14" s="3" t="str">
        <f t="shared" si="35"/>
        <v/>
      </c>
      <c r="BI14" s="3" t="str">
        <f t="shared" si="35"/>
        <v/>
      </c>
      <c r="BJ14" s="3" t="str">
        <f t="shared" si="21"/>
        <v/>
      </c>
      <c r="BK14" s="26" t="str">
        <f>IF(BD14&gt;0,HLOOKUP(BJ14,BE14:BI24,8,FALSE),"")</f>
        <v/>
      </c>
      <c r="BL14" s="3" t="str">
        <f t="shared" ref="BL14:BL20" si="36">IF(BD14&gt;0,SMALL(BE14:BI14,1),"")</f>
        <v/>
      </c>
      <c r="BM14" s="3" t="str">
        <f>IF(BD14&gt;0,HLOOKUP(BL14,BE14:BI24,8,FALSE),"")</f>
        <v/>
      </c>
      <c r="BN14" s="3"/>
      <c r="BO14" s="3"/>
      <c r="BP14" s="3"/>
      <c r="BQ14" s="3"/>
      <c r="BR14" s="25">
        <f t="shared" si="22"/>
        <v>0</v>
      </c>
      <c r="BS14" s="25">
        <f t="shared" si="23"/>
        <v>0</v>
      </c>
      <c r="BT14" s="25">
        <f t="shared" si="24"/>
        <v>0</v>
      </c>
      <c r="BU14" s="25">
        <f t="shared" si="25"/>
        <v>0</v>
      </c>
      <c r="BV14" s="25">
        <f t="shared" si="26"/>
        <v>0</v>
      </c>
    </row>
    <row r="15" spans="1:74" ht="16.5" customHeight="1">
      <c r="A15" s="3"/>
      <c r="B15" s="215" t="s">
        <v>196</v>
      </c>
      <c r="C15" s="216"/>
      <c r="D15" s="216"/>
      <c r="E15" s="216"/>
      <c r="F15" s="425"/>
      <c r="G15" s="217"/>
      <c r="H15" s="218"/>
      <c r="I15" s="219"/>
      <c r="J15" s="398">
        <f t="shared" si="0"/>
        <v>0</v>
      </c>
      <c r="K15" s="426"/>
      <c r="L15" s="222"/>
      <c r="M15" s="223"/>
      <c r="N15" s="219"/>
      <c r="O15" s="220" t="str">
        <f t="shared" si="1"/>
        <v/>
      </c>
      <c r="P15" s="221">
        <f t="shared" si="2"/>
        <v>0</v>
      </c>
      <c r="Q15" s="400"/>
      <c r="R15" s="401"/>
      <c r="S15" s="23"/>
      <c r="T15" s="23">
        <f t="shared" si="27"/>
        <v>12</v>
      </c>
      <c r="U15" s="23"/>
      <c r="V15" s="3" t="s">
        <v>45</v>
      </c>
      <c r="W15" s="23">
        <v>3.8584386072615469</v>
      </c>
      <c r="X15" s="24" t="str">
        <f t="shared" si="3"/>
        <v/>
      </c>
      <c r="Y15" s="25" t="str">
        <f t="shared" si="31"/>
        <v/>
      </c>
      <c r="Z15" s="24" t="str">
        <f t="shared" si="4"/>
        <v/>
      </c>
      <c r="AA15" s="24" t="str">
        <f t="shared" si="28"/>
        <v/>
      </c>
      <c r="AB15" s="25">
        <f t="shared" si="5"/>
        <v>0</v>
      </c>
      <c r="AC15" s="3" t="str">
        <f t="shared" ref="AC15:AG15" si="37">IF(C15&gt;0,AC$21-$AB15*FLOOR(AC$21/$AB15,1),"")</f>
        <v/>
      </c>
      <c r="AD15" s="3" t="str">
        <f t="shared" si="37"/>
        <v/>
      </c>
      <c r="AE15" s="3" t="str">
        <f t="shared" si="37"/>
        <v/>
      </c>
      <c r="AF15" s="3" t="str">
        <f t="shared" si="37"/>
        <v/>
      </c>
      <c r="AG15" s="3" t="str">
        <f t="shared" si="37"/>
        <v/>
      </c>
      <c r="AH15" s="3" t="str">
        <f t="shared" si="7"/>
        <v/>
      </c>
      <c r="AI15" s="26" t="str">
        <f>IF(AB15&gt;0,HLOOKUP(AH15,AC15:AG31,7,FALSE),"")</f>
        <v/>
      </c>
      <c r="AJ15" s="3"/>
      <c r="AK15" s="3">
        <v>4.3499999999999997E-2</v>
      </c>
      <c r="AL15" s="3">
        <v>8.4400000000000003E-2</v>
      </c>
      <c r="AM15" s="3">
        <v>0.125</v>
      </c>
      <c r="AN15" s="3"/>
      <c r="AO15" s="3"/>
      <c r="AP15" s="89">
        <f t="shared" si="8"/>
        <v>0</v>
      </c>
      <c r="AQ15" s="89">
        <f t="shared" si="9"/>
        <v>0</v>
      </c>
      <c r="AR15" s="89" t="str">
        <f t="shared" si="10"/>
        <v/>
      </c>
      <c r="AS15" s="90" t="str">
        <f ca="1">IF(AP15&gt;0,INDIRECT(AQ15) INDIRECT(AR15),"")</f>
        <v/>
      </c>
      <c r="AT15" s="90" t="str">
        <f t="shared" si="11"/>
        <v/>
      </c>
      <c r="AU15" s="90" t="str">
        <f t="shared" si="12"/>
        <v/>
      </c>
      <c r="AV15" s="90" t="str">
        <f t="shared" si="13"/>
        <v/>
      </c>
      <c r="AW15" s="90" t="str">
        <f t="shared" si="14"/>
        <v/>
      </c>
      <c r="AX15" s="91" t="str">
        <f t="shared" si="15"/>
        <v/>
      </c>
      <c r="AY15" s="91" t="str">
        <f t="shared" si="16"/>
        <v/>
      </c>
      <c r="AZ15" s="91" t="str">
        <f t="shared" si="17"/>
        <v/>
      </c>
      <c r="BA15" s="92"/>
      <c r="BB15" s="25">
        <f t="shared" si="18"/>
        <v>0</v>
      </c>
      <c r="BC15" s="3"/>
      <c r="BD15" s="25">
        <f t="shared" si="19"/>
        <v>0</v>
      </c>
      <c r="BE15" s="3" t="str">
        <f t="shared" ref="BE15:BI15" si="38">IF(C15&gt;0,BE$21-$BD15*FLOOR(BE$21/$BD15,1),"")</f>
        <v/>
      </c>
      <c r="BF15" s="3" t="str">
        <f t="shared" si="38"/>
        <v/>
      </c>
      <c r="BG15" s="3" t="str">
        <f t="shared" si="38"/>
        <v/>
      </c>
      <c r="BH15" s="3" t="str">
        <f t="shared" si="38"/>
        <v/>
      </c>
      <c r="BI15" s="3" t="str">
        <f t="shared" si="38"/>
        <v/>
      </c>
      <c r="BJ15" s="3" t="str">
        <f t="shared" si="21"/>
        <v/>
      </c>
      <c r="BK15" s="26" t="str">
        <f>IF(BD15&gt;0,HLOOKUP(BJ15,BE15:BI31,7,FALSE),"")</f>
        <v/>
      </c>
      <c r="BL15" s="3" t="str">
        <f t="shared" si="36"/>
        <v/>
      </c>
      <c r="BM15" s="3" t="str">
        <f>IF(BD15&gt;0,HLOOKUP(BL15,BE15:BI31,7,FALSE),"")</f>
        <v/>
      </c>
      <c r="BN15" s="3"/>
      <c r="BO15" s="3"/>
      <c r="BP15" s="3"/>
      <c r="BQ15" s="3"/>
      <c r="BR15" s="25">
        <f t="shared" si="22"/>
        <v>0</v>
      </c>
      <c r="BS15" s="25">
        <f t="shared" si="23"/>
        <v>0</v>
      </c>
      <c r="BT15" s="25">
        <f t="shared" si="24"/>
        <v>0</v>
      </c>
      <c r="BU15" s="25">
        <f t="shared" si="25"/>
        <v>0</v>
      </c>
      <c r="BV15" s="25">
        <f t="shared" si="26"/>
        <v>0</v>
      </c>
    </row>
    <row r="16" spans="1:74" ht="16.5" customHeight="1">
      <c r="A16" s="3"/>
      <c r="B16" s="215" t="s">
        <v>197</v>
      </c>
      <c r="C16" s="216"/>
      <c r="D16" s="216"/>
      <c r="E16" s="216"/>
      <c r="F16" s="425"/>
      <c r="G16" s="217"/>
      <c r="H16" s="218"/>
      <c r="I16" s="219"/>
      <c r="J16" s="398">
        <f t="shared" si="0"/>
        <v>0</v>
      </c>
      <c r="K16" s="426"/>
      <c r="L16" s="222"/>
      <c r="M16" s="223"/>
      <c r="N16" s="219"/>
      <c r="O16" s="220" t="str">
        <f t="shared" si="1"/>
        <v/>
      </c>
      <c r="P16" s="221">
        <f t="shared" si="2"/>
        <v>0</v>
      </c>
      <c r="Q16" s="400"/>
      <c r="R16" s="401"/>
      <c r="S16" s="23"/>
      <c r="T16" s="23"/>
      <c r="U16" s="23"/>
      <c r="V16" s="3" t="s">
        <v>47</v>
      </c>
      <c r="W16" s="23">
        <v>4.8400253889488836</v>
      </c>
      <c r="X16" s="24" t="str">
        <f t="shared" si="3"/>
        <v/>
      </c>
      <c r="Y16" s="25" t="str">
        <f t="shared" si="31"/>
        <v/>
      </c>
      <c r="Z16" s="24" t="str">
        <f t="shared" si="4"/>
        <v/>
      </c>
      <c r="AA16" s="24" t="str">
        <f t="shared" si="28"/>
        <v/>
      </c>
      <c r="AB16" s="25">
        <f t="shared" si="5"/>
        <v>0</v>
      </c>
      <c r="AC16" s="3" t="str">
        <f t="shared" ref="AC16:AG16" si="39">IF(C16&gt;0,AC$21-$AB16*FLOOR(AC$21/$AB16,1),"")</f>
        <v/>
      </c>
      <c r="AD16" s="3" t="str">
        <f t="shared" si="39"/>
        <v/>
      </c>
      <c r="AE16" s="3" t="str">
        <f t="shared" si="39"/>
        <v/>
      </c>
      <c r="AF16" s="3" t="str">
        <f t="shared" si="39"/>
        <v/>
      </c>
      <c r="AG16" s="3" t="str">
        <f t="shared" si="39"/>
        <v/>
      </c>
      <c r="AH16" s="3" t="str">
        <f t="shared" si="7"/>
        <v/>
      </c>
      <c r="AI16" s="26" t="str">
        <f>IF(AB16&gt;0,HLOOKUP(AH16,AC16:AG32,6,FALSE),"")</f>
        <v/>
      </c>
      <c r="AJ16" s="3"/>
      <c r="AK16" s="3"/>
      <c r="AL16" s="3"/>
      <c r="AM16" s="3"/>
      <c r="AN16" s="3"/>
      <c r="AO16" s="3"/>
      <c r="AP16" s="89">
        <f t="shared" si="8"/>
        <v>0</v>
      </c>
      <c r="AQ16" s="89">
        <f t="shared" si="9"/>
        <v>0</v>
      </c>
      <c r="AR16" s="89" t="str">
        <f t="shared" si="10"/>
        <v/>
      </c>
      <c r="AS16" s="90" t="str">
        <f ca="1">IF(AP16&gt;0,INDIRECT(AQ16) INDIRECT(AR16),"")</f>
        <v/>
      </c>
      <c r="AT16" s="90" t="str">
        <f t="shared" si="11"/>
        <v/>
      </c>
      <c r="AU16" s="90" t="str">
        <f t="shared" si="12"/>
        <v/>
      </c>
      <c r="AV16" s="90" t="str">
        <f t="shared" si="13"/>
        <v/>
      </c>
      <c r="AW16" s="90" t="str">
        <f t="shared" si="14"/>
        <v/>
      </c>
      <c r="AX16" s="91" t="str">
        <f t="shared" si="15"/>
        <v/>
      </c>
      <c r="AY16" s="91" t="str">
        <f t="shared" si="16"/>
        <v/>
      </c>
      <c r="AZ16" s="91" t="str">
        <f t="shared" si="17"/>
        <v/>
      </c>
      <c r="BA16" s="92"/>
      <c r="BB16" s="25">
        <f t="shared" si="18"/>
        <v>0</v>
      </c>
      <c r="BC16" s="3"/>
      <c r="BD16" s="25">
        <f t="shared" si="19"/>
        <v>0</v>
      </c>
      <c r="BE16" s="3" t="str">
        <f t="shared" ref="BE16:BI16" si="40">IF(C16&gt;0,BE$21-$BD16*FLOOR(BE$21/$BD16,1),"")</f>
        <v/>
      </c>
      <c r="BF16" s="3" t="str">
        <f t="shared" si="40"/>
        <v/>
      </c>
      <c r="BG16" s="3" t="str">
        <f t="shared" si="40"/>
        <v/>
      </c>
      <c r="BH16" s="3" t="str">
        <f t="shared" si="40"/>
        <v/>
      </c>
      <c r="BI16" s="3" t="str">
        <f t="shared" si="40"/>
        <v/>
      </c>
      <c r="BJ16" s="3" t="str">
        <f t="shared" si="21"/>
        <v/>
      </c>
      <c r="BK16" s="26" t="str">
        <f>IF(BD16&gt;0,HLOOKUP(BJ16,BE16:BI32,6,FALSE),"")</f>
        <v/>
      </c>
      <c r="BL16" s="3" t="str">
        <f t="shared" si="36"/>
        <v/>
      </c>
      <c r="BM16" s="3" t="str">
        <f>IF(BD16&gt;0,HLOOKUP(BL16,BE16:BI32,6,FALSE),"")</f>
        <v/>
      </c>
      <c r="BN16" s="3"/>
      <c r="BO16" s="3"/>
      <c r="BP16" s="3"/>
      <c r="BQ16" s="3"/>
      <c r="BR16" s="25">
        <f t="shared" si="22"/>
        <v>0</v>
      </c>
      <c r="BS16" s="25">
        <f t="shared" si="23"/>
        <v>0</v>
      </c>
      <c r="BT16" s="25">
        <f t="shared" si="24"/>
        <v>0</v>
      </c>
      <c r="BU16" s="25">
        <f t="shared" si="25"/>
        <v>0</v>
      </c>
      <c r="BV16" s="25">
        <f t="shared" si="26"/>
        <v>0</v>
      </c>
    </row>
    <row r="17" spans="1:74" ht="16.5" customHeight="1">
      <c r="A17" s="3"/>
      <c r="B17" s="215" t="s">
        <v>198</v>
      </c>
      <c r="C17" s="216"/>
      <c r="D17" s="216"/>
      <c r="E17" s="216"/>
      <c r="F17" s="425"/>
      <c r="G17" s="217"/>
      <c r="H17" s="218"/>
      <c r="I17" s="219"/>
      <c r="J17" s="398">
        <f t="shared" si="0"/>
        <v>0</v>
      </c>
      <c r="K17" s="426"/>
      <c r="L17" s="222"/>
      <c r="M17" s="223"/>
      <c r="N17" s="219"/>
      <c r="O17" s="220" t="str">
        <f t="shared" si="1"/>
        <v/>
      </c>
      <c r="P17" s="221">
        <f t="shared" si="2"/>
        <v>0</v>
      </c>
      <c r="Q17" s="400"/>
      <c r="R17" s="401"/>
      <c r="S17" s="23"/>
      <c r="T17" s="23"/>
      <c r="U17" s="23"/>
      <c r="V17" s="3" t="s">
        <v>49</v>
      </c>
      <c r="W17" s="23">
        <v>6.3216658141373188</v>
      </c>
      <c r="X17" s="24" t="str">
        <f t="shared" si="3"/>
        <v/>
      </c>
      <c r="Y17" s="25" t="str">
        <f t="shared" si="31"/>
        <v/>
      </c>
      <c r="Z17" s="24" t="str">
        <f t="shared" si="4"/>
        <v/>
      </c>
      <c r="AA17" s="24" t="str">
        <f t="shared" si="28"/>
        <v/>
      </c>
      <c r="AB17" s="25">
        <f t="shared" si="5"/>
        <v>0</v>
      </c>
      <c r="AC17" s="3" t="str">
        <f t="shared" ref="AC17:AG17" si="41">IF(C17&gt;0,AC$21-$AB17*FLOOR(AC$21/$AB17,1),"")</f>
        <v/>
      </c>
      <c r="AD17" s="3" t="str">
        <f t="shared" si="41"/>
        <v/>
      </c>
      <c r="AE17" s="3" t="str">
        <f t="shared" si="41"/>
        <v/>
      </c>
      <c r="AF17" s="3" t="str">
        <f t="shared" si="41"/>
        <v/>
      </c>
      <c r="AG17" s="3" t="str">
        <f t="shared" si="41"/>
        <v/>
      </c>
      <c r="AH17" s="3" t="str">
        <f t="shared" si="7"/>
        <v/>
      </c>
      <c r="AI17" s="26" t="str">
        <f>IF(AB17&gt;0,HLOOKUP(AH17,AC17:AG33,5,FALSE),"")</f>
        <v/>
      </c>
      <c r="AJ17" s="3"/>
      <c r="AK17" s="3"/>
      <c r="AL17" s="3"/>
      <c r="AM17" s="3"/>
      <c r="AN17" s="3"/>
      <c r="AO17" s="3"/>
      <c r="AP17" s="89">
        <f t="shared" si="8"/>
        <v>0</v>
      </c>
      <c r="AQ17" s="89">
        <f t="shared" si="9"/>
        <v>0</v>
      </c>
      <c r="AR17" s="89" t="str">
        <f t="shared" si="10"/>
        <v/>
      </c>
      <c r="AS17" s="90" t="str">
        <f ca="1">IF(AP17&gt;0,INDIRECT(AQ17) INDIRECT(AR17),"")</f>
        <v/>
      </c>
      <c r="AT17" s="90" t="str">
        <f t="shared" si="11"/>
        <v/>
      </c>
      <c r="AU17" s="90" t="str">
        <f t="shared" si="12"/>
        <v/>
      </c>
      <c r="AV17" s="90" t="str">
        <f t="shared" si="13"/>
        <v/>
      </c>
      <c r="AW17" s="90" t="str">
        <f t="shared" si="14"/>
        <v/>
      </c>
      <c r="AX17" s="91" t="str">
        <f t="shared" si="15"/>
        <v/>
      </c>
      <c r="AY17" s="91" t="str">
        <f t="shared" si="16"/>
        <v/>
      </c>
      <c r="AZ17" s="91" t="str">
        <f t="shared" si="17"/>
        <v/>
      </c>
      <c r="BA17" s="92"/>
      <c r="BB17" s="25">
        <f t="shared" si="18"/>
        <v>0</v>
      </c>
      <c r="BC17" s="3"/>
      <c r="BD17" s="25">
        <f t="shared" si="19"/>
        <v>0</v>
      </c>
      <c r="BE17" s="3" t="str">
        <f t="shared" ref="BE17:BI17" si="42">IF(C17&gt;0,BE$21-$BD17*FLOOR(BE$21/$BD17,1),"")</f>
        <v/>
      </c>
      <c r="BF17" s="3" t="str">
        <f t="shared" si="42"/>
        <v/>
      </c>
      <c r="BG17" s="3" t="str">
        <f t="shared" si="42"/>
        <v/>
      </c>
      <c r="BH17" s="3" t="str">
        <f t="shared" si="42"/>
        <v/>
      </c>
      <c r="BI17" s="3" t="str">
        <f t="shared" si="42"/>
        <v/>
      </c>
      <c r="BJ17" s="3" t="str">
        <f t="shared" si="21"/>
        <v/>
      </c>
      <c r="BK17" s="26" t="str">
        <f>IF(BD17&gt;0,HLOOKUP(BJ17,BE17:BI33,5,FALSE),"")</f>
        <v/>
      </c>
      <c r="BL17" s="3" t="str">
        <f t="shared" si="36"/>
        <v/>
      </c>
      <c r="BM17" s="3" t="str">
        <f>IF(BD17&gt;0,HLOOKUP(BL17,BE17:BI33,5,FALSE),"")</f>
        <v/>
      </c>
      <c r="BN17" s="3"/>
      <c r="BO17" s="3"/>
      <c r="BP17" s="3"/>
      <c r="BQ17" s="3"/>
      <c r="BR17" s="25">
        <f t="shared" si="22"/>
        <v>0</v>
      </c>
      <c r="BS17" s="25">
        <f t="shared" si="23"/>
        <v>0</v>
      </c>
      <c r="BT17" s="25">
        <f t="shared" si="24"/>
        <v>0</v>
      </c>
      <c r="BU17" s="25">
        <f t="shared" si="25"/>
        <v>0</v>
      </c>
      <c r="BV17" s="25">
        <f t="shared" si="26"/>
        <v>0</v>
      </c>
    </row>
    <row r="18" spans="1:74" ht="16.5" customHeight="1">
      <c r="A18" s="3"/>
      <c r="B18" s="215" t="s">
        <v>199</v>
      </c>
      <c r="C18" s="216"/>
      <c r="D18" s="216"/>
      <c r="E18" s="216"/>
      <c r="F18" s="425"/>
      <c r="G18" s="217"/>
      <c r="H18" s="218"/>
      <c r="I18" s="219"/>
      <c r="J18" s="398">
        <f t="shared" si="0"/>
        <v>0</v>
      </c>
      <c r="K18" s="426"/>
      <c r="L18" s="222"/>
      <c r="M18" s="223"/>
      <c r="N18" s="219"/>
      <c r="O18" s="220" t="str">
        <f t="shared" si="1"/>
        <v/>
      </c>
      <c r="P18" s="221">
        <f t="shared" si="2"/>
        <v>0</v>
      </c>
      <c r="Q18" s="400"/>
      <c r="R18" s="401"/>
      <c r="S18" s="23"/>
      <c r="T18" s="23"/>
      <c r="U18" s="23"/>
      <c r="V18" s="23"/>
      <c r="W18" s="23"/>
      <c r="X18" s="24" t="str">
        <f t="shared" si="3"/>
        <v/>
      </c>
      <c r="Y18" s="25" t="str">
        <f t="shared" si="31"/>
        <v/>
      </c>
      <c r="Z18" s="24" t="str">
        <f t="shared" si="4"/>
        <v/>
      </c>
      <c r="AA18" s="24" t="str">
        <f t="shared" si="28"/>
        <v/>
      </c>
      <c r="AB18" s="25">
        <f t="shared" si="5"/>
        <v>0</v>
      </c>
      <c r="AC18" s="3" t="str">
        <f t="shared" ref="AC18:AG18" si="43">IF(C18&gt;0,AC$21-$AB18*FLOOR(AC$21/$AB18,1),"")</f>
        <v/>
      </c>
      <c r="AD18" s="3" t="str">
        <f t="shared" si="43"/>
        <v/>
      </c>
      <c r="AE18" s="3" t="str">
        <f t="shared" si="43"/>
        <v/>
      </c>
      <c r="AF18" s="3" t="str">
        <f t="shared" si="43"/>
        <v/>
      </c>
      <c r="AG18" s="3" t="str">
        <f t="shared" si="43"/>
        <v/>
      </c>
      <c r="AH18" s="3" t="str">
        <f t="shared" si="7"/>
        <v/>
      </c>
      <c r="AI18" s="26" t="str">
        <f>IF(AB18&gt;0,HLOOKUP(AH18,AC18:AG34,4,FALSE),"")</f>
        <v/>
      </c>
      <c r="AJ18" s="3"/>
      <c r="AK18" s="3"/>
      <c r="AL18" s="3"/>
      <c r="AM18" s="3"/>
      <c r="AN18" s="3"/>
      <c r="AO18" s="3"/>
      <c r="AP18" s="89">
        <f t="shared" si="8"/>
        <v>0</v>
      </c>
      <c r="AQ18" s="89">
        <f t="shared" si="9"/>
        <v>0</v>
      </c>
      <c r="AR18" s="89" t="str">
        <f t="shared" si="10"/>
        <v/>
      </c>
      <c r="AS18" s="90" t="str">
        <f ca="1">IF(AP18&gt;0,INDIRECT(AQ18) INDIRECT(AR18),"")</f>
        <v/>
      </c>
      <c r="AT18" s="90" t="str">
        <f t="shared" si="11"/>
        <v/>
      </c>
      <c r="AU18" s="90" t="str">
        <f t="shared" si="12"/>
        <v/>
      </c>
      <c r="AV18" s="90" t="str">
        <f t="shared" si="13"/>
        <v/>
      </c>
      <c r="AW18" s="90" t="str">
        <f t="shared" si="14"/>
        <v/>
      </c>
      <c r="AX18" s="91" t="str">
        <f t="shared" si="15"/>
        <v/>
      </c>
      <c r="AY18" s="91" t="str">
        <f t="shared" si="16"/>
        <v/>
      </c>
      <c r="AZ18" s="91" t="str">
        <f t="shared" si="17"/>
        <v/>
      </c>
      <c r="BA18" s="92"/>
      <c r="BB18" s="25">
        <f t="shared" si="18"/>
        <v>0</v>
      </c>
      <c r="BC18" s="3"/>
      <c r="BD18" s="25">
        <f t="shared" si="19"/>
        <v>0</v>
      </c>
      <c r="BE18" s="3" t="str">
        <f t="shared" ref="BE18:BI18" si="44">IF(C18&gt;0,BE$21-$BD18*FLOOR(BE$21/$BD18,1),"")</f>
        <v/>
      </c>
      <c r="BF18" s="3" t="str">
        <f t="shared" si="44"/>
        <v/>
      </c>
      <c r="BG18" s="3" t="str">
        <f t="shared" si="44"/>
        <v/>
      </c>
      <c r="BH18" s="3" t="str">
        <f t="shared" si="44"/>
        <v/>
      </c>
      <c r="BI18" s="3" t="str">
        <f t="shared" si="44"/>
        <v/>
      </c>
      <c r="BJ18" s="3" t="str">
        <f t="shared" si="21"/>
        <v/>
      </c>
      <c r="BK18" s="26" t="str">
        <f>IF(BD18&gt;0,HLOOKUP(BJ18,BE18:BI34,4,FALSE),"")</f>
        <v/>
      </c>
      <c r="BL18" s="3" t="str">
        <f t="shared" si="36"/>
        <v/>
      </c>
      <c r="BM18" s="3" t="str">
        <f>IF(BD18&gt;0,HLOOKUP(BL18,BE18:BI34,4,FALSE),"")</f>
        <v/>
      </c>
      <c r="BN18" s="3"/>
      <c r="BO18" s="3"/>
      <c r="BP18" s="3"/>
      <c r="BQ18" s="3"/>
      <c r="BR18" s="25">
        <f t="shared" si="22"/>
        <v>0</v>
      </c>
      <c r="BS18" s="25">
        <f t="shared" si="23"/>
        <v>0</v>
      </c>
      <c r="BT18" s="25">
        <f t="shared" si="24"/>
        <v>0</v>
      </c>
      <c r="BU18" s="25">
        <f t="shared" si="25"/>
        <v>0</v>
      </c>
      <c r="BV18" s="25">
        <f t="shared" si="26"/>
        <v>0</v>
      </c>
    </row>
    <row r="19" spans="1:74" ht="16.5" customHeight="1">
      <c r="A19" s="3"/>
      <c r="B19" s="215" t="s">
        <v>200</v>
      </c>
      <c r="C19" s="216"/>
      <c r="D19" s="216"/>
      <c r="E19" s="216"/>
      <c r="F19" s="425"/>
      <c r="G19" s="217"/>
      <c r="H19" s="218"/>
      <c r="I19" s="219"/>
      <c r="J19" s="398">
        <f t="shared" si="0"/>
        <v>0</v>
      </c>
      <c r="K19" s="426"/>
      <c r="L19" s="222"/>
      <c r="M19" s="223"/>
      <c r="N19" s="219"/>
      <c r="O19" s="220" t="str">
        <f t="shared" si="1"/>
        <v/>
      </c>
      <c r="P19" s="221">
        <f t="shared" si="2"/>
        <v>0</v>
      </c>
      <c r="Q19" s="400"/>
      <c r="R19" s="401"/>
      <c r="S19" s="23"/>
      <c r="T19" s="23"/>
      <c r="U19" s="23"/>
      <c r="V19" s="23"/>
      <c r="W19" s="23"/>
      <c r="X19" s="24" t="str">
        <f t="shared" si="3"/>
        <v/>
      </c>
      <c r="Y19" s="25" t="str">
        <f t="shared" si="31"/>
        <v/>
      </c>
      <c r="Z19" s="24" t="str">
        <f t="shared" si="4"/>
        <v/>
      </c>
      <c r="AA19" s="24" t="str">
        <f t="shared" si="28"/>
        <v/>
      </c>
      <c r="AB19" s="25">
        <f t="shared" si="5"/>
        <v>0</v>
      </c>
      <c r="AC19" s="3" t="str">
        <f t="shared" ref="AC19:AG19" si="45">IF(C19&gt;0,AC$21-$AB19*FLOOR(AC$21/$AB19,1),"")</f>
        <v/>
      </c>
      <c r="AD19" s="3" t="str">
        <f t="shared" si="45"/>
        <v/>
      </c>
      <c r="AE19" s="3" t="str">
        <f t="shared" si="45"/>
        <v/>
      </c>
      <c r="AF19" s="3" t="str">
        <f t="shared" si="45"/>
        <v/>
      </c>
      <c r="AG19" s="3" t="str">
        <f t="shared" si="45"/>
        <v/>
      </c>
      <c r="AH19" s="3" t="str">
        <f t="shared" si="7"/>
        <v/>
      </c>
      <c r="AI19" s="26" t="str">
        <f>IF(AB19&gt;0,HLOOKUP(AH19,AC19:AG35,3,FALSE),"")</f>
        <v/>
      </c>
      <c r="AJ19" s="3"/>
      <c r="AK19" s="3"/>
      <c r="AL19" s="3"/>
      <c r="AM19" s="3"/>
      <c r="AN19" s="3"/>
      <c r="AO19" s="3"/>
      <c r="AP19" s="89">
        <f t="shared" si="8"/>
        <v>0</v>
      </c>
      <c r="AQ19" s="89">
        <f t="shared" si="9"/>
        <v>0</v>
      </c>
      <c r="AR19" s="89" t="str">
        <f t="shared" si="10"/>
        <v/>
      </c>
      <c r="AS19" s="90" t="str">
        <f ca="1">IF(AP19&gt;0,INDIRECT(AQ19) INDIRECT(AR19),"")</f>
        <v/>
      </c>
      <c r="AT19" s="90" t="str">
        <f t="shared" si="11"/>
        <v/>
      </c>
      <c r="AU19" s="90" t="str">
        <f t="shared" si="12"/>
        <v/>
      </c>
      <c r="AV19" s="90" t="str">
        <f t="shared" si="13"/>
        <v/>
      </c>
      <c r="AW19" s="90" t="str">
        <f t="shared" si="14"/>
        <v/>
      </c>
      <c r="AX19" s="91" t="str">
        <f t="shared" si="15"/>
        <v/>
      </c>
      <c r="AY19" s="91" t="str">
        <f t="shared" si="16"/>
        <v/>
      </c>
      <c r="AZ19" s="91" t="str">
        <f t="shared" si="17"/>
        <v/>
      </c>
      <c r="BA19" s="92"/>
      <c r="BB19" s="25">
        <f t="shared" si="18"/>
        <v>0</v>
      </c>
      <c r="BC19" s="3"/>
      <c r="BD19" s="25">
        <f t="shared" si="19"/>
        <v>0</v>
      </c>
      <c r="BE19" s="3" t="str">
        <f t="shared" ref="BE19:BI19" si="46">IF(C19&gt;0,BE$21-$BD19*FLOOR(BE$21/$BD19,1),"")</f>
        <v/>
      </c>
      <c r="BF19" s="3" t="str">
        <f t="shared" si="46"/>
        <v/>
      </c>
      <c r="BG19" s="3" t="str">
        <f t="shared" si="46"/>
        <v/>
      </c>
      <c r="BH19" s="3" t="str">
        <f t="shared" si="46"/>
        <v/>
      </c>
      <c r="BI19" s="3" t="str">
        <f t="shared" si="46"/>
        <v/>
      </c>
      <c r="BJ19" s="3" t="str">
        <f t="shared" si="21"/>
        <v/>
      </c>
      <c r="BK19" s="26" t="str">
        <f>IF(BD19&gt;0,HLOOKUP(BJ19,BE19:BI35,3,FALSE),"")</f>
        <v/>
      </c>
      <c r="BL19" s="3" t="str">
        <f t="shared" si="36"/>
        <v/>
      </c>
      <c r="BM19" s="3" t="str">
        <f>IF(BD19&gt;0,HLOOKUP(BL19,BE19:BI35,3,FALSE),"")</f>
        <v/>
      </c>
      <c r="BN19" s="3"/>
      <c r="BO19" s="3"/>
      <c r="BP19" s="3"/>
      <c r="BQ19" s="3"/>
      <c r="BR19" s="25">
        <f t="shared" si="22"/>
        <v>0</v>
      </c>
      <c r="BS19" s="25">
        <f t="shared" si="23"/>
        <v>0</v>
      </c>
      <c r="BT19" s="25">
        <f t="shared" si="24"/>
        <v>0</v>
      </c>
      <c r="BU19" s="25">
        <f t="shared" si="25"/>
        <v>0</v>
      </c>
      <c r="BV19" s="25">
        <f t="shared" si="26"/>
        <v>0</v>
      </c>
    </row>
    <row r="20" spans="1:74" ht="16.5" customHeight="1">
      <c r="A20" s="3"/>
      <c r="B20" s="215" t="s">
        <v>201</v>
      </c>
      <c r="C20" s="226"/>
      <c r="D20" s="226"/>
      <c r="E20" s="226"/>
      <c r="F20" s="427"/>
      <c r="G20" s="227"/>
      <c r="H20" s="228"/>
      <c r="I20" s="229"/>
      <c r="J20" s="402">
        <f t="shared" si="0"/>
        <v>0</v>
      </c>
      <c r="K20" s="428"/>
      <c r="L20" s="232"/>
      <c r="M20" s="233"/>
      <c r="N20" s="229"/>
      <c r="O20" s="230" t="str">
        <f t="shared" si="1"/>
        <v/>
      </c>
      <c r="P20" s="231">
        <f t="shared" si="2"/>
        <v>0</v>
      </c>
      <c r="Q20" s="404"/>
      <c r="R20" s="405"/>
      <c r="S20" s="23"/>
      <c r="T20" s="23"/>
      <c r="U20" s="23"/>
      <c r="V20" s="23"/>
      <c r="W20" s="23"/>
      <c r="X20" s="24" t="str">
        <f t="shared" si="3"/>
        <v/>
      </c>
      <c r="Y20" s="25" t="str">
        <f t="shared" si="31"/>
        <v/>
      </c>
      <c r="Z20" s="24" t="str">
        <f t="shared" si="4"/>
        <v/>
      </c>
      <c r="AA20" s="24" t="str">
        <f t="shared" si="28"/>
        <v/>
      </c>
      <c r="AB20" s="25">
        <f t="shared" si="5"/>
        <v>0</v>
      </c>
      <c r="AC20" s="3" t="str">
        <f t="shared" ref="AC20:AG20" si="47">IF(C20&gt;0,AC$21-$AB20*FLOOR(AC$21/$AB20,1),"")</f>
        <v/>
      </c>
      <c r="AD20" s="3" t="str">
        <f t="shared" si="47"/>
        <v/>
      </c>
      <c r="AE20" s="3" t="str">
        <f t="shared" si="47"/>
        <v/>
      </c>
      <c r="AF20" s="3" t="str">
        <f t="shared" si="47"/>
        <v/>
      </c>
      <c r="AG20" s="3" t="str">
        <f t="shared" si="47"/>
        <v/>
      </c>
      <c r="AH20" s="3" t="str">
        <f t="shared" si="7"/>
        <v/>
      </c>
      <c r="AI20" s="26" t="str">
        <f>IF(AB20&gt;0,HLOOKUP(AH20,AC20:AG36,2,FALSE),"")</f>
        <v/>
      </c>
      <c r="AJ20" s="3"/>
      <c r="AK20" s="3"/>
      <c r="AL20" s="3"/>
      <c r="AM20" s="3"/>
      <c r="AN20" s="3"/>
      <c r="AO20" s="3"/>
      <c r="AP20" s="89">
        <f t="shared" si="8"/>
        <v>0</v>
      </c>
      <c r="AQ20" s="89">
        <f t="shared" si="9"/>
        <v>0</v>
      </c>
      <c r="AR20" s="89" t="str">
        <f t="shared" si="10"/>
        <v/>
      </c>
      <c r="AS20" s="90" t="str">
        <f ca="1">IF(AP20&gt;0,INDIRECT(AQ20) INDIRECT(AR20),"")</f>
        <v/>
      </c>
      <c r="AT20" s="90" t="str">
        <f t="shared" si="11"/>
        <v/>
      </c>
      <c r="AU20" s="90" t="str">
        <f t="shared" si="12"/>
        <v/>
      </c>
      <c r="AV20" s="90" t="str">
        <f t="shared" si="13"/>
        <v/>
      </c>
      <c r="AW20" s="90" t="str">
        <f t="shared" si="14"/>
        <v/>
      </c>
      <c r="AX20" s="91" t="str">
        <f t="shared" si="15"/>
        <v/>
      </c>
      <c r="AY20" s="91" t="str">
        <f t="shared" si="16"/>
        <v/>
      </c>
      <c r="AZ20" s="91" t="str">
        <f t="shared" si="17"/>
        <v/>
      </c>
      <c r="BA20" s="92"/>
      <c r="BB20" s="25">
        <f t="shared" si="18"/>
        <v>0</v>
      </c>
      <c r="BC20" s="3"/>
      <c r="BD20" s="25">
        <f t="shared" si="19"/>
        <v>0</v>
      </c>
      <c r="BE20" s="3" t="str">
        <f t="shared" ref="BE20:BI20" si="48">IF(C20&gt;0,BE$21-$BD20*FLOOR(BE$21/$BD20,1),"")</f>
        <v/>
      </c>
      <c r="BF20" s="3" t="str">
        <f t="shared" si="48"/>
        <v/>
      </c>
      <c r="BG20" s="3" t="str">
        <f t="shared" si="48"/>
        <v/>
      </c>
      <c r="BH20" s="3" t="str">
        <f t="shared" si="48"/>
        <v/>
      </c>
      <c r="BI20" s="3" t="str">
        <f t="shared" si="48"/>
        <v/>
      </c>
      <c r="BJ20" s="3" t="str">
        <f t="shared" si="21"/>
        <v/>
      </c>
      <c r="BK20" s="26" t="str">
        <f>IF(BD20&gt;0,HLOOKUP(BJ20,BE20:BI36,2,FALSE),"")</f>
        <v/>
      </c>
      <c r="BL20" s="3" t="str">
        <f t="shared" si="36"/>
        <v/>
      </c>
      <c r="BM20" s="3" t="str">
        <f>IF(BD20&gt;0,HLOOKUP(BL20,BE20:BI36,2,FALSE),"")</f>
        <v/>
      </c>
      <c r="BN20" s="3"/>
      <c r="BO20" s="3"/>
      <c r="BP20" s="3"/>
      <c r="BQ20" s="3"/>
      <c r="BR20" s="25">
        <f t="shared" si="22"/>
        <v>0</v>
      </c>
      <c r="BS20" s="25">
        <f t="shared" si="23"/>
        <v>0</v>
      </c>
      <c r="BT20" s="25">
        <f t="shared" si="24"/>
        <v>0</v>
      </c>
      <c r="BU20" s="25">
        <f t="shared" si="25"/>
        <v>0</v>
      </c>
      <c r="BV20" s="25">
        <f t="shared" si="26"/>
        <v>0</v>
      </c>
    </row>
    <row r="21" spans="1:74" ht="16.5" customHeight="1">
      <c r="A21" s="3"/>
      <c r="B21" s="174"/>
      <c r="C21" s="174"/>
      <c r="D21" s="174"/>
      <c r="E21" s="174"/>
      <c r="F21" s="174"/>
      <c r="G21" s="174"/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3"/>
      <c r="T21" s="3"/>
      <c r="U21" s="3"/>
      <c r="V21" s="3"/>
      <c r="W21" s="3"/>
      <c r="X21" s="24">
        <f t="shared" ref="X21:Y21" si="49">SUM(X11:X17)</f>
        <v>56.006008072122803</v>
      </c>
      <c r="Y21" s="24">
        <f t="shared" si="49"/>
        <v>0</v>
      </c>
      <c r="Z21" s="3"/>
      <c r="AA21" s="3"/>
      <c r="AB21" s="3"/>
      <c r="AC21" s="3">
        <v>6</v>
      </c>
      <c r="AD21" s="3">
        <f t="shared" ref="AD21:AG21" si="50">AC21+1.5</f>
        <v>7.5</v>
      </c>
      <c r="AE21" s="3">
        <f t="shared" si="50"/>
        <v>9</v>
      </c>
      <c r="AF21" s="3">
        <f t="shared" si="50"/>
        <v>10.5</v>
      </c>
      <c r="AG21" s="3">
        <f t="shared" si="50"/>
        <v>12</v>
      </c>
      <c r="AH21" s="3"/>
      <c r="AI21" s="26"/>
      <c r="AJ21" s="3"/>
      <c r="AK21" s="3"/>
      <c r="AL21" s="3"/>
      <c r="AM21" s="3"/>
      <c r="AN21" s="3"/>
      <c r="AO21" s="3"/>
      <c r="AP21" s="89">
        <f>SUM(AP11:AP20)</f>
        <v>21.599999999999998</v>
      </c>
      <c r="AQ21" s="89"/>
      <c r="AR21" s="89"/>
      <c r="AS21" s="89"/>
      <c r="AT21" s="93">
        <f t="shared" ref="AT21:AZ21" ca="1" si="51">SUM(AT11:AT20)</f>
        <v>21.988799999999998</v>
      </c>
      <c r="AU21" s="93">
        <f t="shared" si="51"/>
        <v>1.8230399999999998</v>
      </c>
      <c r="AV21" s="93">
        <f t="shared" si="51"/>
        <v>12.959999999999999</v>
      </c>
      <c r="AW21" s="93">
        <f t="shared" si="51"/>
        <v>1.0799999999999998</v>
      </c>
      <c r="AX21" s="93">
        <f t="shared" si="51"/>
        <v>0</v>
      </c>
      <c r="AY21" s="93">
        <f t="shared" si="51"/>
        <v>270</v>
      </c>
      <c r="AZ21" s="93">
        <f t="shared" si="51"/>
        <v>0</v>
      </c>
      <c r="BA21" s="25"/>
      <c r="BB21" s="25"/>
      <c r="BC21" s="3"/>
      <c r="BD21" s="3"/>
      <c r="BE21" s="3">
        <v>6</v>
      </c>
      <c r="BF21" s="3">
        <f t="shared" ref="BF21:BI21" si="52">BE21+1.5</f>
        <v>7.5</v>
      </c>
      <c r="BG21" s="3">
        <f t="shared" si="52"/>
        <v>9</v>
      </c>
      <c r="BH21" s="3">
        <f t="shared" si="52"/>
        <v>10.5</v>
      </c>
      <c r="BI21" s="3">
        <f t="shared" si="52"/>
        <v>12</v>
      </c>
      <c r="BJ21" s="3"/>
      <c r="BK21" s="3"/>
      <c r="BL21" s="3"/>
      <c r="BM21" s="3"/>
      <c r="BN21" s="3"/>
      <c r="BO21" s="3"/>
      <c r="BP21" s="3"/>
      <c r="BQ21" s="3"/>
      <c r="BR21" s="25">
        <f>SUM(BR11:BR20)</f>
        <v>21.599999999999998</v>
      </c>
      <c r="BS21" s="25">
        <f t="shared" ref="BS21:BV21" si="53">CEILING(SUM(BS11:BS20),1)</f>
        <v>8</v>
      </c>
      <c r="BT21" s="25">
        <f t="shared" si="53"/>
        <v>34</v>
      </c>
      <c r="BU21" s="25">
        <f t="shared" si="53"/>
        <v>3</v>
      </c>
      <c r="BV21" s="25">
        <f t="shared" si="53"/>
        <v>1</v>
      </c>
    </row>
    <row r="22" spans="1:74" ht="16.5" customHeight="1">
      <c r="A22" s="3"/>
      <c r="B22" s="174"/>
      <c r="C22" s="174"/>
      <c r="D22" s="174"/>
      <c r="E22" s="174"/>
      <c r="F22" s="235" t="s">
        <v>53</v>
      </c>
      <c r="G22" s="172"/>
      <c r="H22" s="172"/>
      <c r="I22" s="172"/>
      <c r="J22" s="172"/>
      <c r="K22" s="173"/>
      <c r="L22" s="174"/>
      <c r="M22" s="174"/>
      <c r="N22" s="174"/>
      <c r="O22" s="174"/>
      <c r="P22" s="174"/>
      <c r="Q22" s="174"/>
      <c r="R22" s="174"/>
      <c r="S22" s="3"/>
      <c r="T22" s="3"/>
      <c r="U22" s="3"/>
      <c r="V22" s="3"/>
      <c r="W22" s="3"/>
      <c r="X22" s="24">
        <f>X21+Y21</f>
        <v>56.006008072122803</v>
      </c>
      <c r="Y22" s="2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25"/>
      <c r="BS22" s="25"/>
      <c r="BT22" s="25"/>
      <c r="BU22" s="25"/>
      <c r="BV22" s="25"/>
    </row>
    <row r="23" spans="1:74" ht="16.5" customHeight="1">
      <c r="A23" s="3"/>
      <c r="B23" s="174"/>
      <c r="C23" s="174"/>
      <c r="D23" s="174"/>
      <c r="E23" s="174"/>
      <c r="F23" s="236"/>
      <c r="G23" s="237"/>
      <c r="H23" s="237"/>
      <c r="I23" s="237"/>
      <c r="J23" s="237"/>
      <c r="K23" s="238"/>
      <c r="L23" s="174"/>
      <c r="M23" s="174"/>
      <c r="N23" s="174"/>
      <c r="O23" s="174"/>
      <c r="P23" s="174"/>
      <c r="Q23" s="174"/>
      <c r="R23" s="174"/>
      <c r="S23" s="3"/>
      <c r="T23" s="3"/>
      <c r="U23" s="3"/>
      <c r="V23" s="3"/>
      <c r="W23" s="3"/>
      <c r="X23" s="23" t="s">
        <v>30</v>
      </c>
      <c r="Y23" s="24">
        <f>CEILING(0.013*X22,0.5)</f>
        <v>1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 t="s">
        <v>54</v>
      </c>
      <c r="AP23" s="25">
        <f ca="1">CEILING(AT21+AV21,1)</f>
        <v>35</v>
      </c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25"/>
      <c r="BS23" s="25"/>
      <c r="BT23" s="25"/>
      <c r="BU23" s="25"/>
      <c r="BV23" s="25"/>
    </row>
    <row r="24" spans="1:74" ht="16.5" customHeight="1">
      <c r="A24" s="3"/>
      <c r="B24" s="174"/>
      <c r="C24" s="174"/>
      <c r="D24" s="174"/>
      <c r="E24" s="174"/>
      <c r="F24" s="239" t="s">
        <v>1</v>
      </c>
      <c r="G24" s="239" t="s">
        <v>55</v>
      </c>
      <c r="H24" s="239" t="s">
        <v>56</v>
      </c>
      <c r="I24" s="239" t="s">
        <v>57</v>
      </c>
      <c r="J24" s="239" t="s">
        <v>58</v>
      </c>
      <c r="K24" s="239" t="s">
        <v>59</v>
      </c>
      <c r="L24" s="174"/>
      <c r="M24" s="174"/>
      <c r="N24" s="174"/>
      <c r="O24" s="174"/>
      <c r="P24" s="174"/>
      <c r="Q24" s="174"/>
      <c r="R24" s="174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 t="s">
        <v>60</v>
      </c>
      <c r="AP24" s="25">
        <f>SUM(AU21+AW21)</f>
        <v>2.9030399999999998</v>
      </c>
      <c r="AQ24" s="25"/>
      <c r="AR24" s="25"/>
      <c r="AS24" s="25"/>
      <c r="AT24" s="25"/>
      <c r="AU24" s="25"/>
      <c r="AV24" s="25"/>
      <c r="AW24" s="25" t="s">
        <v>202</v>
      </c>
      <c r="AX24" s="25">
        <f>CEILING(AX21,10)</f>
        <v>0</v>
      </c>
      <c r="AY24" s="25"/>
      <c r="AZ24" s="25"/>
      <c r="BA24" s="25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25"/>
      <c r="BS24" s="25"/>
      <c r="BT24" s="25"/>
      <c r="BU24" s="25"/>
      <c r="BV24" s="25"/>
    </row>
    <row r="25" spans="1:74" ht="16.5" customHeight="1">
      <c r="A25" s="3"/>
      <c r="B25" s="174"/>
      <c r="C25" s="174"/>
      <c r="D25" s="174"/>
      <c r="E25" s="174"/>
      <c r="F25" s="240"/>
      <c r="G25" s="241" t="str">
        <f>'Materials Price List'!A8</f>
        <v>Cement</v>
      </c>
      <c r="H25" s="242">
        <f t="shared" ref="H25:H26" ca="1" si="54">AP23</f>
        <v>35</v>
      </c>
      <c r="I25" s="242" t="s">
        <v>61</v>
      </c>
      <c r="J25" s="243">
        <f ca="1">IF(H25="","",VLOOKUP(G25,'Materials Price List'!$A$8:$B$46,2,FALSE))</f>
        <v>220</v>
      </c>
      <c r="K25" s="243">
        <f t="shared" ref="K25:K40" ca="1" si="55">IF(H25="","",H25*J25)</f>
        <v>7700</v>
      </c>
      <c r="L25" s="174"/>
      <c r="M25" s="174"/>
      <c r="N25" s="174"/>
      <c r="O25" s="174"/>
      <c r="P25" s="174"/>
      <c r="Q25" s="174"/>
      <c r="R25" s="174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25"/>
      <c r="AQ25" s="25"/>
      <c r="AR25" s="25"/>
      <c r="AS25" s="25"/>
      <c r="AT25" s="25"/>
      <c r="AU25" s="25"/>
      <c r="AV25" s="25"/>
      <c r="AW25" s="25" t="s">
        <v>203</v>
      </c>
      <c r="AX25" s="25">
        <f>CEILING(AY21,10)</f>
        <v>270</v>
      </c>
      <c r="AY25" s="25"/>
      <c r="AZ25" s="25"/>
      <c r="BA25" s="25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25"/>
      <c r="BS25" s="25"/>
      <c r="BT25" s="25"/>
      <c r="BU25" s="25"/>
      <c r="BV25" s="25"/>
    </row>
    <row r="26" spans="1:74" ht="16.5" customHeight="1">
      <c r="A26" s="3"/>
      <c r="B26" s="174"/>
      <c r="C26" s="174"/>
      <c r="D26" s="174"/>
      <c r="E26" s="174"/>
      <c r="F26" s="240"/>
      <c r="G26" s="241" t="str">
        <f>'Materials Price List'!A9</f>
        <v>Sand</v>
      </c>
      <c r="H26" s="242">
        <f t="shared" si="54"/>
        <v>2.9030399999999998</v>
      </c>
      <c r="I26" s="241" t="s">
        <v>63</v>
      </c>
      <c r="J26" s="243">
        <f>IF(H26="","",VLOOKUP(G26,'Materials Price List'!$A$8:$B$46,2,FALSE))</f>
        <v>875</v>
      </c>
      <c r="K26" s="243">
        <f t="shared" si="55"/>
        <v>2540.16</v>
      </c>
      <c r="L26" s="174"/>
      <c r="M26" s="174"/>
      <c r="N26" s="174"/>
      <c r="O26" s="174"/>
      <c r="P26" s="174"/>
      <c r="Q26" s="174"/>
      <c r="R26" s="174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 t="s">
        <v>204</v>
      </c>
      <c r="AX26" s="92">
        <f>CEILING(AZ21,10)</f>
        <v>0</v>
      </c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25"/>
      <c r="BS26" s="25"/>
      <c r="BT26" s="25"/>
      <c r="BU26" s="25"/>
      <c r="BV26" s="25"/>
    </row>
    <row r="27" spans="1:74" ht="16.5" customHeight="1">
      <c r="A27" s="3"/>
      <c r="B27" s="174"/>
      <c r="C27" s="174"/>
      <c r="D27" s="174"/>
      <c r="E27" s="174"/>
      <c r="F27" s="240"/>
      <c r="G27" s="241" t="s">
        <v>30</v>
      </c>
      <c r="H27" s="242">
        <f>Y23</f>
        <v>1</v>
      </c>
      <c r="I27" s="241" t="s">
        <v>64</v>
      </c>
      <c r="J27" s="243">
        <f>IF(H27="","",VLOOKUP(G27,'Materials Price List'!$A$8:$B$46,2,FALSE))</f>
        <v>95</v>
      </c>
      <c r="K27" s="243">
        <f t="shared" si="55"/>
        <v>95</v>
      </c>
      <c r="L27" s="174"/>
      <c r="M27" s="174"/>
      <c r="N27" s="174"/>
      <c r="O27" s="174"/>
      <c r="P27" s="174"/>
      <c r="Q27" s="174"/>
      <c r="R27" s="174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25"/>
      <c r="BS27" s="25"/>
      <c r="BT27" s="25"/>
      <c r="BU27" s="25"/>
      <c r="BV27" s="25"/>
    </row>
    <row r="28" spans="1:74" ht="16.5" customHeight="1">
      <c r="A28" s="3"/>
      <c r="B28" s="174"/>
      <c r="C28" s="174"/>
      <c r="D28" s="174"/>
      <c r="E28" s="174"/>
      <c r="F28" s="240"/>
      <c r="G28" s="241" t="s">
        <v>202</v>
      </c>
      <c r="H28" s="242">
        <f t="shared" ref="H28:H30" si="56">AX24</f>
        <v>0</v>
      </c>
      <c r="I28" s="241" t="s">
        <v>120</v>
      </c>
      <c r="J28" s="243">
        <f>IF(H28="","",VLOOKUP(G28,'Materials Price List'!$A$8:$B$419,2,FALSE))</f>
        <v>14</v>
      </c>
      <c r="K28" s="243">
        <f t="shared" si="55"/>
        <v>0</v>
      </c>
      <c r="L28" s="174"/>
      <c r="M28" s="174"/>
      <c r="N28" s="174"/>
      <c r="O28" s="174"/>
      <c r="P28" s="174"/>
      <c r="Q28" s="174"/>
      <c r="R28" s="174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9"/>
      <c r="AL28" s="9"/>
      <c r="AM28" s="9"/>
      <c r="AN28" s="9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25"/>
      <c r="BS28" s="25"/>
      <c r="BT28" s="25"/>
      <c r="BU28" s="25"/>
      <c r="BV28" s="25"/>
    </row>
    <row r="29" spans="1:74" ht="16.5" customHeight="1">
      <c r="A29" s="3"/>
      <c r="B29" s="174"/>
      <c r="C29" s="174"/>
      <c r="D29" s="174"/>
      <c r="E29" s="174"/>
      <c r="F29" s="240"/>
      <c r="G29" s="241" t="s">
        <v>203</v>
      </c>
      <c r="H29" s="242">
        <f t="shared" si="56"/>
        <v>270</v>
      </c>
      <c r="I29" s="241" t="s">
        <v>120</v>
      </c>
      <c r="J29" s="243">
        <f>IF(H29="","",VLOOKUP(G29,'Materials Price List'!$A$8:$B$419,2,FALSE))</f>
        <v>18</v>
      </c>
      <c r="K29" s="243">
        <f t="shared" si="55"/>
        <v>4860</v>
      </c>
      <c r="L29" s="174"/>
      <c r="M29" s="174"/>
      <c r="N29" s="174"/>
      <c r="O29" s="174"/>
      <c r="P29" s="174"/>
      <c r="Q29" s="174"/>
      <c r="R29" s="174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9"/>
      <c r="AL29" s="9"/>
      <c r="AM29" s="9"/>
      <c r="AN29" s="9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25"/>
      <c r="BS29" s="25"/>
      <c r="BT29" s="25"/>
      <c r="BU29" s="25"/>
      <c r="BV29" s="25"/>
    </row>
    <row r="30" spans="1:74" ht="16.5" customHeight="1">
      <c r="A30" s="3"/>
      <c r="B30" s="174"/>
      <c r="C30" s="174"/>
      <c r="D30" s="174"/>
      <c r="E30" s="174"/>
      <c r="F30" s="240"/>
      <c r="G30" s="241" t="s">
        <v>204</v>
      </c>
      <c r="H30" s="242">
        <f t="shared" si="56"/>
        <v>0</v>
      </c>
      <c r="I30" s="241" t="s">
        <v>120</v>
      </c>
      <c r="J30" s="243">
        <f>IF(H30="","",VLOOKUP(G30,'Materials Price List'!$A$8:$B$419,2,FALSE))</f>
        <v>25</v>
      </c>
      <c r="K30" s="243">
        <f t="shared" si="55"/>
        <v>0</v>
      </c>
      <c r="L30" s="174"/>
      <c r="M30" s="174"/>
      <c r="N30" s="174"/>
      <c r="O30" s="174"/>
      <c r="P30" s="174"/>
      <c r="Q30" s="174"/>
      <c r="R30" s="174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9"/>
      <c r="AL30" s="9"/>
      <c r="AM30" s="9"/>
      <c r="AN30" s="9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25"/>
      <c r="BS30" s="25"/>
      <c r="BT30" s="25"/>
      <c r="BU30" s="25"/>
      <c r="BV30" s="25"/>
    </row>
    <row r="31" spans="1:74" ht="16.5" customHeight="1">
      <c r="A31" s="37"/>
      <c r="B31" s="244"/>
      <c r="C31" s="244"/>
      <c r="D31" s="244"/>
      <c r="E31" s="244"/>
      <c r="F31" s="245" t="str">
        <f t="shared" ref="F31:F40" si="57">IF(C11&gt;0,B11,"")</f>
        <v>W-1</v>
      </c>
      <c r="G31" s="246" t="str">
        <f t="shared" ref="G31:G40" si="58">IF(C11&gt;0,CONCATENATE(I11," X ",J11,"m"),"")</f>
        <v>12mm Ø X 9m</v>
      </c>
      <c r="H31" s="247">
        <f t="shared" ref="H31:H40" si="59">Z11</f>
        <v>7</v>
      </c>
      <c r="I31" s="247" t="str">
        <f t="shared" ref="I31:I40" si="60">IF(H31="","","pcs")</f>
        <v>pcs</v>
      </c>
      <c r="J31" s="248">
        <f>IF(H31="","",VLOOKUP(G31,'Materials Price List'!$A$8:$B$46,2))</f>
        <v>354.40140845070425</v>
      </c>
      <c r="K31" s="248">
        <f t="shared" si="55"/>
        <v>2480.8098591549297</v>
      </c>
      <c r="L31" s="244"/>
      <c r="M31" s="244"/>
      <c r="N31" s="244"/>
      <c r="O31" s="244"/>
      <c r="P31" s="244"/>
      <c r="Q31" s="244"/>
      <c r="R31" s="244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23" t="s">
        <v>38</v>
      </c>
      <c r="AK31" s="3">
        <v>0.45</v>
      </c>
      <c r="AL31" s="23"/>
      <c r="AM31" s="23"/>
      <c r="AN31" s="23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86"/>
      <c r="BS31" s="86"/>
      <c r="BT31" s="86"/>
      <c r="BU31" s="86"/>
      <c r="BV31" s="86"/>
    </row>
    <row r="32" spans="1:74" ht="16.5" customHeight="1">
      <c r="A32" s="37"/>
      <c r="B32" s="244"/>
      <c r="C32" s="244"/>
      <c r="D32" s="244"/>
      <c r="E32" s="244"/>
      <c r="F32" s="245" t="str">
        <f t="shared" si="57"/>
        <v/>
      </c>
      <c r="G32" s="246" t="str">
        <f t="shared" si="58"/>
        <v/>
      </c>
      <c r="H32" s="247" t="str">
        <f t="shared" si="59"/>
        <v/>
      </c>
      <c r="I32" s="247" t="str">
        <f t="shared" si="60"/>
        <v/>
      </c>
      <c r="J32" s="248" t="str">
        <f>IF(H32="","",VLOOKUP(G32,'Materials Price List'!$A$8:$B$46,2))</f>
        <v/>
      </c>
      <c r="K32" s="248" t="str">
        <f t="shared" si="55"/>
        <v/>
      </c>
      <c r="L32" s="244"/>
      <c r="M32" s="244"/>
      <c r="N32" s="244"/>
      <c r="O32" s="244"/>
      <c r="P32" s="244"/>
      <c r="Q32" s="244"/>
      <c r="R32" s="244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23" t="s">
        <v>40</v>
      </c>
      <c r="AK32" s="3">
        <v>0.3</v>
      </c>
      <c r="AL32" s="23"/>
      <c r="AM32" s="23"/>
      <c r="AN32" s="23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86"/>
      <c r="BS32" s="86"/>
      <c r="BT32" s="86"/>
      <c r="BU32" s="86"/>
      <c r="BV32" s="86"/>
    </row>
    <row r="33" spans="1:74" ht="16.5" customHeight="1">
      <c r="A33" s="37"/>
      <c r="B33" s="244"/>
      <c r="C33" s="244"/>
      <c r="D33" s="244"/>
      <c r="E33" s="244"/>
      <c r="F33" s="245" t="str">
        <f t="shared" si="57"/>
        <v/>
      </c>
      <c r="G33" s="246" t="str">
        <f t="shared" si="58"/>
        <v/>
      </c>
      <c r="H33" s="247" t="str">
        <f t="shared" si="59"/>
        <v/>
      </c>
      <c r="I33" s="247" t="str">
        <f t="shared" si="60"/>
        <v/>
      </c>
      <c r="J33" s="248" t="str">
        <f>IF(H33="","",VLOOKUP(G33,'Materials Price List'!$A$8:$B$46,2))</f>
        <v/>
      </c>
      <c r="K33" s="248" t="str">
        <f t="shared" si="55"/>
        <v/>
      </c>
      <c r="L33" s="244"/>
      <c r="M33" s="244"/>
      <c r="N33" s="244"/>
      <c r="O33" s="244"/>
      <c r="P33" s="244"/>
      <c r="Q33" s="244"/>
      <c r="R33" s="244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23" t="s">
        <v>193</v>
      </c>
      <c r="AK33" s="3">
        <v>0.22500000000000001</v>
      </c>
      <c r="AL33" s="23"/>
      <c r="AM33" s="23"/>
      <c r="AN33" s="23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86"/>
      <c r="BS33" s="86"/>
      <c r="BT33" s="86"/>
      <c r="BU33" s="86"/>
      <c r="BV33" s="86"/>
    </row>
    <row r="34" spans="1:74" ht="16.5" customHeight="1">
      <c r="A34" s="37"/>
      <c r="B34" s="244"/>
      <c r="C34" s="244"/>
      <c r="D34" s="244"/>
      <c r="E34" s="244"/>
      <c r="F34" s="245" t="str">
        <f t="shared" si="57"/>
        <v/>
      </c>
      <c r="G34" s="246" t="str">
        <f t="shared" si="58"/>
        <v/>
      </c>
      <c r="H34" s="247" t="str">
        <f t="shared" si="59"/>
        <v/>
      </c>
      <c r="I34" s="247" t="str">
        <f t="shared" si="60"/>
        <v/>
      </c>
      <c r="J34" s="248" t="str">
        <f>IF(H34="","",VLOOKUP(G34,'Materials Price List'!$A$8:$B$46,2))</f>
        <v/>
      </c>
      <c r="K34" s="248" t="str">
        <f t="shared" si="55"/>
        <v/>
      </c>
      <c r="L34" s="244"/>
      <c r="M34" s="244"/>
      <c r="N34" s="244"/>
      <c r="O34" s="244"/>
      <c r="P34" s="244"/>
      <c r="Q34" s="244"/>
      <c r="R34" s="244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23" t="s">
        <v>195</v>
      </c>
      <c r="AK34" s="3">
        <v>0.188</v>
      </c>
      <c r="AL34" s="23"/>
      <c r="AM34" s="23"/>
      <c r="AN34" s="23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86"/>
      <c r="BS34" s="86"/>
      <c r="BT34" s="86"/>
      <c r="BU34" s="86"/>
      <c r="BV34" s="86"/>
    </row>
    <row r="35" spans="1:74" ht="16.5" customHeight="1">
      <c r="A35" s="37"/>
      <c r="B35" s="244"/>
      <c r="C35" s="244"/>
      <c r="D35" s="244"/>
      <c r="E35" s="244"/>
      <c r="F35" s="245" t="str">
        <f t="shared" si="57"/>
        <v/>
      </c>
      <c r="G35" s="246" t="str">
        <f t="shared" si="58"/>
        <v/>
      </c>
      <c r="H35" s="247" t="str">
        <f t="shared" si="59"/>
        <v/>
      </c>
      <c r="I35" s="247" t="str">
        <f t="shared" si="60"/>
        <v/>
      </c>
      <c r="J35" s="248" t="str">
        <f>IF(H35="","",VLOOKUP(G35,'Materials Price List'!$A$8:$B$46,2))</f>
        <v/>
      </c>
      <c r="K35" s="248" t="str">
        <f t="shared" si="55"/>
        <v/>
      </c>
      <c r="L35" s="244"/>
      <c r="M35" s="244"/>
      <c r="N35" s="244"/>
      <c r="O35" s="244"/>
      <c r="P35" s="244"/>
      <c r="Q35" s="244"/>
      <c r="R35" s="244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 t="s">
        <v>189</v>
      </c>
      <c r="AK35" s="37">
        <v>2.5000000000000001E-2</v>
      </c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86"/>
      <c r="BS35" s="86"/>
      <c r="BT35" s="86"/>
      <c r="BU35" s="86"/>
      <c r="BV35" s="86"/>
    </row>
    <row r="36" spans="1:74" ht="16.5" customHeight="1">
      <c r="A36" s="37"/>
      <c r="B36" s="244"/>
      <c r="C36" s="244"/>
      <c r="D36" s="244"/>
      <c r="E36" s="244"/>
      <c r="F36" s="245" t="str">
        <f t="shared" si="57"/>
        <v/>
      </c>
      <c r="G36" s="246" t="str">
        <f t="shared" si="58"/>
        <v/>
      </c>
      <c r="H36" s="247" t="str">
        <f t="shared" si="59"/>
        <v/>
      </c>
      <c r="I36" s="247" t="str">
        <f t="shared" si="60"/>
        <v/>
      </c>
      <c r="J36" s="248" t="str">
        <f>IF(H36="","",VLOOKUP(G36,'Materials Price List'!$A$8:$B$46,2))</f>
        <v/>
      </c>
      <c r="K36" s="248" t="str">
        <f t="shared" si="55"/>
        <v/>
      </c>
      <c r="L36" s="244"/>
      <c r="M36" s="244"/>
      <c r="N36" s="244"/>
      <c r="O36" s="244"/>
      <c r="P36" s="244"/>
      <c r="Q36" s="244"/>
      <c r="R36" s="244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86"/>
      <c r="BS36" s="86"/>
      <c r="BT36" s="86"/>
      <c r="BU36" s="86"/>
      <c r="BV36" s="86"/>
    </row>
    <row r="37" spans="1:74" ht="16.5" customHeight="1">
      <c r="A37" s="37"/>
      <c r="B37" s="244"/>
      <c r="C37" s="244"/>
      <c r="D37" s="244"/>
      <c r="E37" s="244"/>
      <c r="F37" s="245" t="str">
        <f t="shared" si="57"/>
        <v/>
      </c>
      <c r="G37" s="246" t="str">
        <f t="shared" si="58"/>
        <v/>
      </c>
      <c r="H37" s="247" t="str">
        <f t="shared" si="59"/>
        <v/>
      </c>
      <c r="I37" s="247" t="str">
        <f t="shared" si="60"/>
        <v/>
      </c>
      <c r="J37" s="248" t="str">
        <f>IF(H37="","",VLOOKUP(G37,'Materials Price List'!$A$8:$B$46,2))</f>
        <v/>
      </c>
      <c r="K37" s="248" t="str">
        <f t="shared" si="55"/>
        <v/>
      </c>
      <c r="L37" s="244"/>
      <c r="M37" s="244"/>
      <c r="N37" s="244"/>
      <c r="O37" s="244"/>
      <c r="P37" s="244"/>
      <c r="Q37" s="244"/>
      <c r="R37" s="244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86"/>
      <c r="BS37" s="86"/>
      <c r="BT37" s="86"/>
      <c r="BU37" s="86"/>
      <c r="BV37" s="86"/>
    </row>
    <row r="38" spans="1:74" ht="16.5" customHeight="1">
      <c r="A38" s="37"/>
      <c r="B38" s="244"/>
      <c r="C38" s="244"/>
      <c r="D38" s="244"/>
      <c r="E38" s="244"/>
      <c r="F38" s="245" t="str">
        <f t="shared" si="57"/>
        <v/>
      </c>
      <c r="G38" s="246" t="str">
        <f t="shared" si="58"/>
        <v/>
      </c>
      <c r="H38" s="247" t="str">
        <f t="shared" si="59"/>
        <v/>
      </c>
      <c r="I38" s="247" t="str">
        <f t="shared" si="60"/>
        <v/>
      </c>
      <c r="J38" s="248" t="str">
        <f>IF(H38="","",VLOOKUP(G38,'Materials Price List'!$A$8:$B$46,2))</f>
        <v/>
      </c>
      <c r="K38" s="248" t="str">
        <f t="shared" si="55"/>
        <v/>
      </c>
      <c r="L38" s="244"/>
      <c r="M38" s="244"/>
      <c r="N38" s="244"/>
      <c r="O38" s="244"/>
      <c r="P38" s="244"/>
      <c r="Q38" s="244"/>
      <c r="R38" s="244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86"/>
      <c r="BS38" s="86"/>
      <c r="BT38" s="86"/>
      <c r="BU38" s="86"/>
      <c r="BV38" s="86"/>
    </row>
    <row r="39" spans="1:74" ht="16.5" customHeight="1">
      <c r="A39" s="37"/>
      <c r="B39" s="244"/>
      <c r="C39" s="244"/>
      <c r="D39" s="244"/>
      <c r="E39" s="244"/>
      <c r="F39" s="245" t="str">
        <f t="shared" si="57"/>
        <v/>
      </c>
      <c r="G39" s="246" t="str">
        <f t="shared" si="58"/>
        <v/>
      </c>
      <c r="H39" s="247" t="str">
        <f t="shared" si="59"/>
        <v/>
      </c>
      <c r="I39" s="247" t="str">
        <f t="shared" si="60"/>
        <v/>
      </c>
      <c r="J39" s="248" t="str">
        <f>IF(H39="","",VLOOKUP(G39,'Materials Price List'!$A$8:$B$46,2))</f>
        <v/>
      </c>
      <c r="K39" s="248" t="str">
        <f t="shared" si="55"/>
        <v/>
      </c>
      <c r="L39" s="244"/>
      <c r="M39" s="244"/>
      <c r="N39" s="244"/>
      <c r="O39" s="244"/>
      <c r="P39" s="244"/>
      <c r="Q39" s="244"/>
      <c r="R39" s="244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86"/>
      <c r="BS39" s="86"/>
      <c r="BT39" s="86"/>
      <c r="BU39" s="86"/>
      <c r="BV39" s="86"/>
    </row>
    <row r="40" spans="1:74" ht="16.5" customHeight="1">
      <c r="A40" s="37"/>
      <c r="B40" s="244"/>
      <c r="C40" s="244"/>
      <c r="D40" s="244"/>
      <c r="E40" s="244"/>
      <c r="F40" s="245" t="str">
        <f t="shared" si="57"/>
        <v/>
      </c>
      <c r="G40" s="246" t="str">
        <f t="shared" si="58"/>
        <v/>
      </c>
      <c r="H40" s="247" t="str">
        <f t="shared" si="59"/>
        <v/>
      </c>
      <c r="I40" s="247" t="str">
        <f t="shared" si="60"/>
        <v/>
      </c>
      <c r="J40" s="248" t="str">
        <f>IF(H40="","",VLOOKUP(G40,'Materials Price List'!$A$8:$B$46,2))</f>
        <v/>
      </c>
      <c r="K40" s="248" t="str">
        <f t="shared" si="55"/>
        <v/>
      </c>
      <c r="L40" s="244"/>
      <c r="M40" s="244"/>
      <c r="N40" s="244"/>
      <c r="O40" s="244"/>
      <c r="P40" s="244"/>
      <c r="Q40" s="244"/>
      <c r="R40" s="244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86"/>
      <c r="BS40" s="86"/>
      <c r="BT40" s="86"/>
      <c r="BU40" s="86"/>
      <c r="BV40" s="86"/>
    </row>
    <row r="41" spans="1:74" ht="16.5" customHeight="1">
      <c r="A41" s="3"/>
      <c r="B41" s="174"/>
      <c r="C41" s="174"/>
      <c r="D41" s="174"/>
      <c r="E41" s="174"/>
      <c r="F41" s="250" t="s">
        <v>65</v>
      </c>
      <c r="G41" s="251"/>
      <c r="H41" s="251"/>
      <c r="I41" s="251"/>
      <c r="J41" s="252"/>
      <c r="K41" s="253">
        <f ca="1">SUM(K25:K40)</f>
        <v>17675.969859154931</v>
      </c>
      <c r="L41" s="174"/>
      <c r="M41" s="174"/>
      <c r="N41" s="174"/>
      <c r="O41" s="174"/>
      <c r="P41" s="174"/>
      <c r="Q41" s="174"/>
      <c r="R41" s="174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25"/>
      <c r="BS41" s="25"/>
      <c r="BT41" s="25"/>
      <c r="BU41" s="25"/>
      <c r="BV41" s="25"/>
    </row>
    <row r="42" spans="1:74" ht="16.5" customHeight="1">
      <c r="A42" s="3"/>
      <c r="B42" s="174"/>
      <c r="C42" s="174"/>
      <c r="D42" s="174"/>
      <c r="E42" s="174"/>
      <c r="F42" s="254" t="s">
        <v>66</v>
      </c>
      <c r="G42" s="183"/>
      <c r="H42" s="183"/>
      <c r="I42" s="184"/>
      <c r="J42" s="255">
        <v>0.35</v>
      </c>
      <c r="K42" s="256">
        <f ca="1">J42*K41</f>
        <v>6186.5894507042258</v>
      </c>
      <c r="L42" s="174"/>
      <c r="M42" s="174"/>
      <c r="N42" s="174"/>
      <c r="O42" s="174"/>
      <c r="P42" s="174"/>
      <c r="Q42" s="174"/>
      <c r="R42" s="174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25"/>
      <c r="BS42" s="25"/>
      <c r="BT42" s="25"/>
      <c r="BU42" s="25"/>
      <c r="BV42" s="25"/>
    </row>
    <row r="43" spans="1:74" ht="16.5" customHeight="1">
      <c r="A43" s="3"/>
      <c r="B43" s="174"/>
      <c r="C43" s="174"/>
      <c r="D43" s="174"/>
      <c r="E43" s="174"/>
      <c r="F43" s="170"/>
      <c r="G43" s="170"/>
      <c r="H43" s="170"/>
      <c r="I43" s="170"/>
      <c r="J43" s="170"/>
      <c r="K43" s="170"/>
      <c r="L43" s="174"/>
      <c r="M43" s="174"/>
      <c r="N43" s="174"/>
      <c r="O43" s="174"/>
      <c r="P43" s="174"/>
      <c r="Q43" s="174"/>
      <c r="R43" s="174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25"/>
      <c r="BS43" s="25"/>
      <c r="BT43" s="25"/>
      <c r="BU43" s="25"/>
      <c r="BV43" s="25"/>
    </row>
    <row r="44" spans="1:74" ht="16.5" customHeight="1">
      <c r="A44" s="3"/>
      <c r="B44" s="174"/>
      <c r="C44" s="174"/>
      <c r="D44" s="174"/>
      <c r="E44" s="174"/>
      <c r="F44" s="174"/>
      <c r="G44" s="174"/>
      <c r="H44" s="174"/>
      <c r="I44" s="174"/>
      <c r="J44" s="174"/>
      <c r="K44" s="275"/>
      <c r="L44" s="174"/>
      <c r="M44" s="174"/>
      <c r="N44" s="174"/>
      <c r="O44" s="174"/>
      <c r="P44" s="174"/>
      <c r="Q44" s="174"/>
      <c r="R44" s="174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25"/>
      <c r="BS44" s="25"/>
      <c r="BT44" s="25"/>
      <c r="BU44" s="25"/>
      <c r="BV44" s="25"/>
    </row>
    <row r="45" spans="1:74" ht="16.5" customHeight="1">
      <c r="A45" s="3"/>
      <c r="B45" s="174"/>
      <c r="C45" s="174"/>
      <c r="D45" s="174"/>
      <c r="E45" s="174"/>
      <c r="F45" s="174"/>
      <c r="G45" s="174"/>
      <c r="H45" s="260" t="s">
        <v>79</v>
      </c>
      <c r="I45" s="176"/>
      <c r="J45" s="176"/>
      <c r="K45" s="276">
        <f ca="1">K41+K42</f>
        <v>23862.559309859156</v>
      </c>
      <c r="L45" s="174"/>
      <c r="M45" s="174"/>
      <c r="N45" s="174"/>
      <c r="O45" s="174"/>
      <c r="P45" s="174"/>
      <c r="Q45" s="174"/>
      <c r="R45" s="174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25"/>
      <c r="BS45" s="25"/>
      <c r="BT45" s="25"/>
      <c r="BU45" s="25"/>
      <c r="BV45" s="25"/>
    </row>
    <row r="46" spans="1:74" ht="16.5" customHeight="1">
      <c r="A46" s="3"/>
      <c r="B46" s="174"/>
      <c r="C46" s="174"/>
      <c r="D46" s="174"/>
      <c r="E46" s="174"/>
      <c r="F46" s="174"/>
      <c r="G46" s="275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25"/>
      <c r="BS46" s="25"/>
      <c r="BT46" s="25"/>
      <c r="BU46" s="25"/>
      <c r="BV46" s="25"/>
    </row>
    <row r="47" spans="1:74" ht="16.5" hidden="1" customHeight="1">
      <c r="A47" s="3"/>
      <c r="B47" s="174"/>
      <c r="C47" s="174"/>
      <c r="D47" s="174"/>
      <c r="E47" s="174"/>
      <c r="F47" s="174"/>
      <c r="G47" s="275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25"/>
      <c r="BS47" s="25"/>
      <c r="BT47" s="25"/>
      <c r="BU47" s="25"/>
      <c r="BV47" s="25"/>
    </row>
    <row r="48" spans="1:74" ht="16.5" hidden="1" customHeight="1">
      <c r="A48" s="3"/>
      <c r="B48" s="174"/>
      <c r="C48" s="174"/>
      <c r="D48" s="174"/>
      <c r="E48" s="174"/>
      <c r="F48" s="174"/>
      <c r="G48" s="275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25"/>
      <c r="BS48" s="25"/>
      <c r="BT48" s="25"/>
      <c r="BU48" s="25"/>
      <c r="BV48" s="25"/>
    </row>
    <row r="49" spans="1:74" ht="16.5" hidden="1" customHeight="1">
      <c r="A49" s="3"/>
      <c r="B49" s="174"/>
      <c r="C49" s="174"/>
      <c r="D49" s="174"/>
      <c r="E49" s="174"/>
      <c r="F49" s="174"/>
      <c r="G49" s="275"/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25"/>
      <c r="BS49" s="25"/>
      <c r="BT49" s="25"/>
      <c r="BU49" s="25"/>
      <c r="BV49" s="25"/>
    </row>
    <row r="50" spans="1:74" ht="16.5" hidden="1" customHeight="1">
      <c r="A50" s="3"/>
      <c r="B50" s="174"/>
      <c r="C50" s="174"/>
      <c r="D50" s="174"/>
      <c r="E50" s="174"/>
      <c r="F50" s="174"/>
      <c r="G50" s="275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25"/>
      <c r="BS50" s="25"/>
      <c r="BT50" s="25"/>
      <c r="BU50" s="25"/>
      <c r="BV50" s="25"/>
    </row>
    <row r="51" spans="1:74" ht="16.5" hidden="1" customHeight="1">
      <c r="A51" s="3"/>
      <c r="B51" s="174"/>
      <c r="C51" s="174"/>
      <c r="D51" s="174"/>
      <c r="E51" s="174"/>
      <c r="F51" s="174"/>
      <c r="G51" s="275"/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25"/>
      <c r="BS51" s="25"/>
      <c r="BT51" s="25"/>
      <c r="BU51" s="25"/>
      <c r="BV51" s="25"/>
    </row>
    <row r="52" spans="1:74" ht="16.5" hidden="1" customHeight="1">
      <c r="A52" s="3"/>
      <c r="B52" s="174"/>
      <c r="C52" s="174"/>
      <c r="D52" s="174"/>
      <c r="E52" s="174"/>
      <c r="F52" s="174"/>
      <c r="G52" s="275"/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25"/>
      <c r="BS52" s="25"/>
      <c r="BT52" s="25"/>
      <c r="BU52" s="25"/>
      <c r="BV52" s="25"/>
    </row>
    <row r="53" spans="1:74" ht="16.5" hidden="1" customHeight="1">
      <c r="A53" s="3"/>
      <c r="B53" s="174"/>
      <c r="C53" s="174"/>
      <c r="D53" s="174"/>
      <c r="E53" s="174"/>
      <c r="F53" s="174"/>
      <c r="G53" s="275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25"/>
      <c r="BS53" s="25"/>
      <c r="BT53" s="25"/>
      <c r="BU53" s="25"/>
      <c r="BV53" s="25"/>
    </row>
    <row r="54" spans="1:74" ht="16.5" hidden="1" customHeight="1">
      <c r="A54" s="3"/>
      <c r="B54" s="174"/>
      <c r="C54" s="174"/>
      <c r="D54" s="174"/>
      <c r="E54" s="174"/>
      <c r="F54" s="174"/>
      <c r="G54" s="275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25"/>
      <c r="BS54" s="25"/>
      <c r="BT54" s="25"/>
      <c r="BU54" s="25"/>
      <c r="BV54" s="25"/>
    </row>
    <row r="55" spans="1:74" ht="16.5" hidden="1" customHeight="1">
      <c r="A55" s="3"/>
      <c r="B55" s="174"/>
      <c r="C55" s="174"/>
      <c r="D55" s="174"/>
      <c r="E55" s="174"/>
      <c r="F55" s="174"/>
      <c r="G55" s="275"/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25"/>
      <c r="BS55" s="25"/>
      <c r="BT55" s="25"/>
      <c r="BU55" s="25"/>
      <c r="BV55" s="25"/>
    </row>
    <row r="56" spans="1:74" ht="16.5" hidden="1" customHeight="1">
      <c r="A56" s="3"/>
      <c r="B56" s="174"/>
      <c r="C56" s="174"/>
      <c r="D56" s="174"/>
      <c r="E56" s="174"/>
      <c r="F56" s="174"/>
      <c r="G56" s="275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25"/>
      <c r="BS56" s="25"/>
      <c r="BT56" s="25"/>
      <c r="BU56" s="25"/>
      <c r="BV56" s="25"/>
    </row>
    <row r="57" spans="1:74" ht="16.5" hidden="1" customHeight="1">
      <c r="A57" s="3"/>
      <c r="B57" s="174"/>
      <c r="C57" s="174"/>
      <c r="D57" s="174"/>
      <c r="E57" s="174"/>
      <c r="F57" s="174"/>
      <c r="G57" s="275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25"/>
      <c r="BS57" s="25"/>
      <c r="BT57" s="25"/>
      <c r="BU57" s="25"/>
      <c r="BV57" s="25"/>
    </row>
    <row r="58" spans="1:74" ht="16.5" hidden="1" customHeight="1">
      <c r="A58" s="3"/>
      <c r="B58" s="174"/>
      <c r="C58" s="174"/>
      <c r="D58" s="174"/>
      <c r="E58" s="174"/>
      <c r="F58" s="174"/>
      <c r="G58" s="275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25"/>
      <c r="BS58" s="25"/>
      <c r="BT58" s="25"/>
      <c r="BU58" s="25"/>
      <c r="BV58" s="25"/>
    </row>
    <row r="59" spans="1:74" ht="16.5" hidden="1" customHeight="1">
      <c r="A59" s="3"/>
      <c r="B59" s="174"/>
      <c r="C59" s="174"/>
      <c r="D59" s="174"/>
      <c r="E59" s="174"/>
      <c r="F59" s="174"/>
      <c r="G59" s="275"/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25"/>
      <c r="BS59" s="25"/>
      <c r="BT59" s="25"/>
      <c r="BU59" s="25"/>
      <c r="BV59" s="25"/>
    </row>
    <row r="60" spans="1:74" ht="16.5" hidden="1" customHeight="1">
      <c r="A60" s="3"/>
      <c r="B60" s="174"/>
      <c r="C60" s="174"/>
      <c r="D60" s="174"/>
      <c r="E60" s="174"/>
      <c r="F60" s="174"/>
      <c r="G60" s="275"/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25"/>
      <c r="BS60" s="25"/>
      <c r="BT60" s="25"/>
      <c r="BU60" s="25"/>
      <c r="BV60" s="25"/>
    </row>
    <row r="61" spans="1:74" ht="16.5" hidden="1" customHeight="1">
      <c r="A61" s="3"/>
      <c r="B61" s="174"/>
      <c r="C61" s="174"/>
      <c r="D61" s="174"/>
      <c r="E61" s="174"/>
      <c r="F61" s="174"/>
      <c r="G61" s="275"/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25"/>
      <c r="BS61" s="25"/>
      <c r="BT61" s="25"/>
      <c r="BU61" s="25"/>
      <c r="BV61" s="25"/>
    </row>
    <row r="62" spans="1:74" ht="16.5" hidden="1" customHeight="1">
      <c r="A62" s="3"/>
      <c r="B62" s="174"/>
      <c r="C62" s="174"/>
      <c r="D62" s="174"/>
      <c r="E62" s="174"/>
      <c r="F62" s="174"/>
      <c r="G62" s="275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25"/>
      <c r="BS62" s="25"/>
      <c r="BT62" s="25"/>
      <c r="BU62" s="25"/>
      <c r="BV62" s="25"/>
    </row>
    <row r="63" spans="1:74" ht="16.5" hidden="1" customHeight="1">
      <c r="A63" s="3"/>
      <c r="B63" s="174"/>
      <c r="C63" s="174"/>
      <c r="D63" s="174"/>
      <c r="E63" s="174"/>
      <c r="F63" s="174"/>
      <c r="G63" s="275"/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25"/>
      <c r="BS63" s="25"/>
      <c r="BT63" s="25"/>
      <c r="BU63" s="25"/>
      <c r="BV63" s="25"/>
    </row>
    <row r="64" spans="1:74" ht="16.5" hidden="1" customHeight="1">
      <c r="A64" s="3"/>
      <c r="B64" s="174"/>
      <c r="C64" s="174"/>
      <c r="D64" s="174"/>
      <c r="E64" s="174"/>
      <c r="F64" s="174"/>
      <c r="G64" s="275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25"/>
      <c r="BS64" s="25"/>
      <c r="BT64" s="25"/>
      <c r="BU64" s="25"/>
      <c r="BV64" s="25"/>
    </row>
    <row r="65" spans="1:74" ht="16.5" hidden="1" customHeight="1">
      <c r="A65" s="3"/>
      <c r="B65" s="174"/>
      <c r="C65" s="174"/>
      <c r="D65" s="174"/>
      <c r="E65" s="174"/>
      <c r="F65" s="174"/>
      <c r="G65" s="275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25"/>
      <c r="BS65" s="25"/>
      <c r="BT65" s="25"/>
      <c r="BU65" s="25"/>
      <c r="BV65" s="25"/>
    </row>
    <row r="66" spans="1:74" ht="16.5" hidden="1" customHeight="1">
      <c r="A66" s="3"/>
      <c r="B66" s="174"/>
      <c r="C66" s="174"/>
      <c r="D66" s="174"/>
      <c r="E66" s="174"/>
      <c r="F66" s="174"/>
      <c r="G66" s="275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25"/>
      <c r="BS66" s="25"/>
      <c r="BT66" s="25"/>
      <c r="BU66" s="25"/>
      <c r="BV66" s="25"/>
    </row>
    <row r="67" spans="1:74" ht="16.5" hidden="1" customHeight="1">
      <c r="A67" s="3"/>
      <c r="B67" s="174"/>
      <c r="C67" s="174"/>
      <c r="D67" s="174"/>
      <c r="E67" s="174"/>
      <c r="F67" s="174"/>
      <c r="G67" s="275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25"/>
      <c r="BS67" s="25"/>
      <c r="BT67" s="25"/>
      <c r="BU67" s="25"/>
      <c r="BV67" s="25"/>
    </row>
    <row r="68" spans="1:74" ht="16.5" hidden="1" customHeight="1">
      <c r="A68" s="3"/>
      <c r="B68" s="174"/>
      <c r="C68" s="174"/>
      <c r="D68" s="174"/>
      <c r="E68" s="174"/>
      <c r="F68" s="174"/>
      <c r="G68" s="275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25"/>
      <c r="BS68" s="25"/>
      <c r="BT68" s="25"/>
      <c r="BU68" s="25"/>
      <c r="BV68" s="25"/>
    </row>
    <row r="69" spans="1:74" ht="16.5" hidden="1" customHeight="1">
      <c r="A69" s="3"/>
      <c r="B69" s="174"/>
      <c r="C69" s="174"/>
      <c r="D69" s="174"/>
      <c r="E69" s="174"/>
      <c r="F69" s="174"/>
      <c r="G69" s="275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25"/>
      <c r="BS69" s="25"/>
      <c r="BT69" s="25"/>
      <c r="BU69" s="25"/>
      <c r="BV69" s="25"/>
    </row>
    <row r="70" spans="1:74" ht="16.5" hidden="1" customHeight="1">
      <c r="A70" s="3"/>
      <c r="B70" s="174"/>
      <c r="C70" s="174"/>
      <c r="D70" s="174"/>
      <c r="E70" s="174"/>
      <c r="F70" s="174"/>
      <c r="G70" s="275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25"/>
      <c r="BS70" s="25"/>
      <c r="BT70" s="25"/>
      <c r="BU70" s="25"/>
      <c r="BV70" s="25"/>
    </row>
    <row r="71" spans="1:74" ht="16.5" hidden="1" customHeight="1">
      <c r="A71" s="3"/>
      <c r="B71" s="174"/>
      <c r="C71" s="174"/>
      <c r="D71" s="174"/>
      <c r="E71" s="174"/>
      <c r="F71" s="174"/>
      <c r="G71" s="275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25"/>
      <c r="BS71" s="25"/>
      <c r="BT71" s="25"/>
      <c r="BU71" s="25"/>
      <c r="BV71" s="25"/>
    </row>
    <row r="72" spans="1:74" ht="16.5" customHeight="1">
      <c r="A72" s="3"/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25"/>
      <c r="BS72" s="25"/>
      <c r="BT72" s="25"/>
      <c r="BU72" s="25"/>
      <c r="BV72" s="25"/>
    </row>
    <row r="73" spans="1:74" ht="16.5" customHeight="1">
      <c r="A73" s="3"/>
      <c r="B73" s="174"/>
      <c r="C73" s="174"/>
      <c r="D73" s="174"/>
      <c r="E73" s="174"/>
      <c r="F73" s="174"/>
      <c r="G73" s="174"/>
      <c r="H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25"/>
      <c r="BS73" s="25"/>
      <c r="BT73" s="25"/>
      <c r="BU73" s="25"/>
      <c r="BV73" s="25"/>
    </row>
    <row r="74" spans="1:74" ht="16.5" customHeight="1">
      <c r="A74" s="3"/>
      <c r="B74" s="174"/>
      <c r="C74" s="174"/>
      <c r="D74" s="174"/>
      <c r="E74" s="174"/>
      <c r="F74" s="174"/>
      <c r="G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25"/>
      <c r="BS74" s="25"/>
      <c r="BT74" s="25"/>
      <c r="BU74" s="25"/>
      <c r="BV74" s="25"/>
    </row>
    <row r="75" spans="1:74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25"/>
      <c r="BS75" s="25"/>
      <c r="BT75" s="25"/>
      <c r="BU75" s="25"/>
      <c r="BV75" s="25"/>
    </row>
    <row r="76" spans="1:74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25"/>
      <c r="BS76" s="25"/>
      <c r="BT76" s="25"/>
      <c r="BU76" s="25"/>
      <c r="BV76" s="25"/>
    </row>
    <row r="77" spans="1:74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25"/>
      <c r="BS77" s="25"/>
      <c r="BT77" s="25"/>
      <c r="BU77" s="25"/>
      <c r="BV77" s="25"/>
    </row>
    <row r="78" spans="1:74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25"/>
      <c r="BS78" s="25"/>
      <c r="BT78" s="25"/>
      <c r="BU78" s="25"/>
      <c r="BV78" s="25"/>
    </row>
    <row r="79" spans="1:74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25"/>
      <c r="BS79" s="25"/>
      <c r="BT79" s="25"/>
      <c r="BU79" s="25"/>
      <c r="BV79" s="25"/>
    </row>
    <row r="80" spans="1:74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25"/>
      <c r="BS80" s="25"/>
      <c r="BT80" s="25"/>
      <c r="BU80" s="25"/>
      <c r="BV80" s="25"/>
    </row>
    <row r="81" spans="1:74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25"/>
      <c r="BS81" s="25"/>
      <c r="BT81" s="25"/>
      <c r="BU81" s="25"/>
      <c r="BV81" s="25"/>
    </row>
    <row r="82" spans="1:74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25"/>
      <c r="BS82" s="25"/>
      <c r="BT82" s="25"/>
      <c r="BU82" s="25"/>
      <c r="BV82" s="25"/>
    </row>
    <row r="83" spans="1:74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25"/>
      <c r="BS83" s="25"/>
      <c r="BT83" s="25"/>
      <c r="BU83" s="25"/>
      <c r="BV83" s="25"/>
    </row>
    <row r="84" spans="1:7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25"/>
      <c r="BS84" s="25"/>
      <c r="BT84" s="25"/>
      <c r="BU84" s="25"/>
      <c r="BV84" s="25"/>
    </row>
    <row r="85" spans="1:74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25"/>
      <c r="BS85" s="25"/>
      <c r="BT85" s="25"/>
      <c r="BU85" s="25"/>
      <c r="BV85" s="25"/>
    </row>
    <row r="86" spans="1:74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25"/>
      <c r="BS86" s="25"/>
      <c r="BT86" s="25"/>
      <c r="BU86" s="25"/>
      <c r="BV86" s="25"/>
    </row>
    <row r="87" spans="1:74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25"/>
      <c r="BS87" s="25"/>
      <c r="BT87" s="25"/>
      <c r="BU87" s="25"/>
      <c r="BV87" s="25"/>
    </row>
    <row r="88" spans="1:74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25"/>
      <c r="BS88" s="25"/>
      <c r="BT88" s="25"/>
      <c r="BU88" s="25"/>
      <c r="BV88" s="25"/>
    </row>
    <row r="89" spans="1:74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25"/>
      <c r="BS89" s="25"/>
      <c r="BT89" s="25"/>
      <c r="BU89" s="25"/>
      <c r="BV89" s="25"/>
    </row>
    <row r="90" spans="1:74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25"/>
      <c r="BS90" s="25"/>
      <c r="BT90" s="25"/>
      <c r="BU90" s="25"/>
      <c r="BV90" s="25"/>
    </row>
    <row r="91" spans="1:74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25"/>
      <c r="BS91" s="25"/>
      <c r="BT91" s="25"/>
      <c r="BU91" s="25"/>
      <c r="BV91" s="25"/>
    </row>
    <row r="92" spans="1:74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25"/>
      <c r="BS92" s="25"/>
      <c r="BT92" s="25"/>
      <c r="BU92" s="25"/>
      <c r="BV92" s="25"/>
    </row>
    <row r="93" spans="1:74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25"/>
      <c r="BS93" s="25"/>
      <c r="BT93" s="25"/>
      <c r="BU93" s="25"/>
      <c r="BV93" s="25"/>
    </row>
    <row r="94" spans="1:7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25"/>
      <c r="BS94" s="25"/>
      <c r="BT94" s="25"/>
      <c r="BU94" s="25"/>
      <c r="BV94" s="25"/>
    </row>
    <row r="95" spans="1:74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25"/>
      <c r="BS95" s="25"/>
      <c r="BT95" s="25"/>
      <c r="BU95" s="25"/>
      <c r="BV95" s="25"/>
    </row>
    <row r="96" spans="1:74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25"/>
      <c r="BS96" s="25"/>
      <c r="BT96" s="25"/>
      <c r="BU96" s="25"/>
      <c r="BV96" s="25"/>
    </row>
    <row r="97" spans="1:74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25"/>
      <c r="BS97" s="25"/>
      <c r="BT97" s="25"/>
      <c r="BU97" s="25"/>
      <c r="BV97" s="25"/>
    </row>
    <row r="98" spans="1:74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25"/>
      <c r="BS98" s="25"/>
      <c r="BT98" s="25"/>
      <c r="BU98" s="25"/>
      <c r="BV98" s="25"/>
    </row>
    <row r="99" spans="1:74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25"/>
      <c r="BS99" s="25"/>
      <c r="BT99" s="25"/>
      <c r="BU99" s="25"/>
      <c r="BV99" s="25"/>
    </row>
    <row r="100" spans="1:74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25"/>
      <c r="BS100" s="25"/>
      <c r="BT100" s="25"/>
      <c r="BU100" s="25"/>
      <c r="BV100" s="25"/>
    </row>
    <row r="101" spans="1:74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25"/>
      <c r="BS101" s="25"/>
      <c r="BT101" s="25"/>
      <c r="BU101" s="25"/>
      <c r="BV101" s="25"/>
    </row>
    <row r="102" spans="1:74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25"/>
      <c r="BS102" s="25"/>
      <c r="BT102" s="25"/>
      <c r="BU102" s="25"/>
      <c r="BV102" s="25"/>
    </row>
    <row r="103" spans="1:74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25"/>
      <c r="BS103" s="25"/>
      <c r="BT103" s="25"/>
      <c r="BU103" s="25"/>
      <c r="BV103" s="25"/>
    </row>
    <row r="104" spans="1:7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25"/>
      <c r="BS104" s="25"/>
      <c r="BT104" s="25"/>
      <c r="BU104" s="25"/>
      <c r="BV104" s="25"/>
    </row>
    <row r="105" spans="1:74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25"/>
      <c r="BS105" s="25"/>
      <c r="BT105" s="25"/>
      <c r="BU105" s="25"/>
      <c r="BV105" s="25"/>
    </row>
    <row r="106" spans="1:74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25"/>
      <c r="BS106" s="25"/>
      <c r="BT106" s="25"/>
      <c r="BU106" s="25"/>
      <c r="BV106" s="25"/>
    </row>
    <row r="107" spans="1:74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25"/>
      <c r="BS107" s="25"/>
      <c r="BT107" s="25"/>
      <c r="BU107" s="25"/>
      <c r="BV107" s="25"/>
    </row>
    <row r="108" spans="1:74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25"/>
      <c r="BS108" s="25"/>
      <c r="BT108" s="25"/>
      <c r="BU108" s="25"/>
      <c r="BV108" s="25"/>
    </row>
    <row r="109" spans="1:74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25"/>
      <c r="BS109" s="25"/>
      <c r="BT109" s="25"/>
      <c r="BU109" s="25"/>
      <c r="BV109" s="25"/>
    </row>
    <row r="110" spans="1:74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25"/>
      <c r="BS110" s="25"/>
      <c r="BT110" s="25"/>
      <c r="BU110" s="25"/>
      <c r="BV110" s="25"/>
    </row>
    <row r="111" spans="1:74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25"/>
      <c r="BS111" s="25"/>
      <c r="BT111" s="25"/>
      <c r="BU111" s="25"/>
      <c r="BV111" s="25"/>
    </row>
    <row r="112" spans="1:74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25"/>
      <c r="BS112" s="25"/>
      <c r="BT112" s="25"/>
      <c r="BU112" s="25"/>
      <c r="BV112" s="25"/>
    </row>
    <row r="113" spans="1:74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25"/>
      <c r="BS113" s="25"/>
      <c r="BT113" s="25"/>
      <c r="BU113" s="25"/>
      <c r="BV113" s="25"/>
    </row>
    <row r="114" spans="1:7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25"/>
      <c r="BS114" s="25"/>
      <c r="BT114" s="25"/>
      <c r="BU114" s="25"/>
      <c r="BV114" s="25"/>
    </row>
    <row r="115" spans="1:74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25"/>
      <c r="BS115" s="25"/>
      <c r="BT115" s="25"/>
      <c r="BU115" s="25"/>
      <c r="BV115" s="25"/>
    </row>
    <row r="116" spans="1:74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25"/>
      <c r="BS116" s="25"/>
      <c r="BT116" s="25"/>
      <c r="BU116" s="25"/>
      <c r="BV116" s="25"/>
    </row>
    <row r="117" spans="1:74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25"/>
      <c r="BS117" s="25"/>
      <c r="BT117" s="25"/>
      <c r="BU117" s="25"/>
      <c r="BV117" s="25"/>
    </row>
    <row r="118" spans="1:74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25"/>
      <c r="BS118" s="25"/>
      <c r="BT118" s="25"/>
      <c r="BU118" s="25"/>
      <c r="BV118" s="25"/>
    </row>
    <row r="119" spans="1:74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25"/>
      <c r="BS119" s="25"/>
      <c r="BT119" s="25"/>
      <c r="BU119" s="25"/>
      <c r="BV119" s="25"/>
    </row>
    <row r="120" spans="1:74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25"/>
      <c r="BS120" s="25"/>
      <c r="BT120" s="25"/>
      <c r="BU120" s="25"/>
      <c r="BV120" s="25"/>
    </row>
    <row r="121" spans="1:74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25"/>
      <c r="BS121" s="25"/>
      <c r="BT121" s="25"/>
      <c r="BU121" s="25"/>
      <c r="BV121" s="25"/>
    </row>
    <row r="122" spans="1:74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25"/>
      <c r="BS122" s="25"/>
      <c r="BT122" s="25"/>
      <c r="BU122" s="25"/>
      <c r="BV122" s="25"/>
    </row>
    <row r="123" spans="1:74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25"/>
      <c r="BS123" s="25"/>
      <c r="BT123" s="25"/>
      <c r="BU123" s="25"/>
      <c r="BV123" s="25"/>
    </row>
    <row r="124" spans="1:7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25"/>
      <c r="BS124" s="25"/>
      <c r="BT124" s="25"/>
      <c r="BU124" s="25"/>
      <c r="BV124" s="25"/>
    </row>
    <row r="125" spans="1:74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25"/>
      <c r="BS125" s="25"/>
      <c r="BT125" s="25"/>
      <c r="BU125" s="25"/>
      <c r="BV125" s="25"/>
    </row>
    <row r="126" spans="1:74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25"/>
      <c r="BS126" s="25"/>
      <c r="BT126" s="25"/>
      <c r="BU126" s="25"/>
      <c r="BV126" s="25"/>
    </row>
    <row r="127" spans="1:74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25"/>
      <c r="BS127" s="25"/>
      <c r="BT127" s="25"/>
      <c r="BU127" s="25"/>
      <c r="BV127" s="25"/>
    </row>
    <row r="128" spans="1:74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25"/>
      <c r="BS128" s="25"/>
      <c r="BT128" s="25"/>
      <c r="BU128" s="25"/>
      <c r="BV128" s="25"/>
    </row>
    <row r="129" spans="1:74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25"/>
      <c r="BS129" s="25"/>
      <c r="BT129" s="25"/>
      <c r="BU129" s="25"/>
      <c r="BV129" s="25"/>
    </row>
    <row r="130" spans="1:74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25"/>
      <c r="BS130" s="25"/>
      <c r="BT130" s="25"/>
      <c r="BU130" s="25"/>
      <c r="BV130" s="25"/>
    </row>
    <row r="131" spans="1:74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25"/>
      <c r="BS131" s="25"/>
      <c r="BT131" s="25"/>
      <c r="BU131" s="25"/>
      <c r="BV131" s="25"/>
    </row>
    <row r="132" spans="1:74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25"/>
      <c r="BS132" s="25"/>
      <c r="BT132" s="25"/>
      <c r="BU132" s="25"/>
      <c r="BV132" s="25"/>
    </row>
    <row r="133" spans="1:74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25"/>
      <c r="BS133" s="25"/>
      <c r="BT133" s="25"/>
      <c r="BU133" s="25"/>
      <c r="BV133" s="25"/>
    </row>
    <row r="134" spans="1:7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25"/>
      <c r="BS134" s="25"/>
      <c r="BT134" s="25"/>
      <c r="BU134" s="25"/>
      <c r="BV134" s="25"/>
    </row>
    <row r="135" spans="1:74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25"/>
      <c r="BS135" s="25"/>
      <c r="BT135" s="25"/>
      <c r="BU135" s="25"/>
      <c r="BV135" s="25"/>
    </row>
    <row r="136" spans="1:74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25"/>
      <c r="BS136" s="25"/>
      <c r="BT136" s="25"/>
      <c r="BU136" s="25"/>
      <c r="BV136" s="25"/>
    </row>
    <row r="137" spans="1:74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25"/>
      <c r="BS137" s="25"/>
      <c r="BT137" s="25"/>
      <c r="BU137" s="25"/>
      <c r="BV137" s="25"/>
    </row>
    <row r="138" spans="1:74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25"/>
      <c r="BS138" s="25"/>
      <c r="BT138" s="25"/>
      <c r="BU138" s="25"/>
      <c r="BV138" s="25"/>
    </row>
    <row r="139" spans="1:74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25"/>
      <c r="BS139" s="25"/>
      <c r="BT139" s="25"/>
      <c r="BU139" s="25"/>
      <c r="BV139" s="25"/>
    </row>
    <row r="140" spans="1:74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25"/>
      <c r="BS140" s="25"/>
      <c r="BT140" s="25"/>
      <c r="BU140" s="25"/>
      <c r="BV140" s="25"/>
    </row>
    <row r="141" spans="1:74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25"/>
      <c r="BS141" s="25"/>
      <c r="BT141" s="25"/>
      <c r="BU141" s="25"/>
      <c r="BV141" s="25"/>
    </row>
    <row r="142" spans="1:74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25"/>
      <c r="BS142" s="25"/>
      <c r="BT142" s="25"/>
      <c r="BU142" s="25"/>
      <c r="BV142" s="25"/>
    </row>
    <row r="143" spans="1:74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25"/>
      <c r="BS143" s="25"/>
      <c r="BT143" s="25"/>
      <c r="BU143" s="25"/>
      <c r="BV143" s="25"/>
    </row>
    <row r="144" spans="1:7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25"/>
      <c r="BS144" s="25"/>
      <c r="BT144" s="25"/>
      <c r="BU144" s="25"/>
      <c r="BV144" s="25"/>
    </row>
    <row r="145" spans="1:74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25"/>
      <c r="BS145" s="25"/>
      <c r="BT145" s="25"/>
      <c r="BU145" s="25"/>
      <c r="BV145" s="25"/>
    </row>
    <row r="146" spans="1:74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25"/>
      <c r="BS146" s="25"/>
      <c r="BT146" s="25"/>
      <c r="BU146" s="25"/>
      <c r="BV146" s="25"/>
    </row>
    <row r="147" spans="1:74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25"/>
      <c r="BS147" s="25"/>
      <c r="BT147" s="25"/>
      <c r="BU147" s="25"/>
      <c r="BV147" s="25"/>
    </row>
    <row r="148" spans="1:74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25"/>
      <c r="BS148" s="25"/>
      <c r="BT148" s="25"/>
      <c r="BU148" s="25"/>
      <c r="BV148" s="25"/>
    </row>
    <row r="149" spans="1:74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25"/>
      <c r="BS149" s="25"/>
      <c r="BT149" s="25"/>
      <c r="BU149" s="25"/>
      <c r="BV149" s="25"/>
    </row>
    <row r="150" spans="1:74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25"/>
      <c r="BS150" s="25"/>
      <c r="BT150" s="25"/>
      <c r="BU150" s="25"/>
      <c r="BV150" s="25"/>
    </row>
    <row r="151" spans="1:74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25"/>
      <c r="BS151" s="25"/>
      <c r="BT151" s="25"/>
      <c r="BU151" s="25"/>
      <c r="BV151" s="25"/>
    </row>
    <row r="152" spans="1:74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25"/>
      <c r="BS152" s="25"/>
      <c r="BT152" s="25"/>
      <c r="BU152" s="25"/>
      <c r="BV152" s="25"/>
    </row>
    <row r="153" spans="1:74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25"/>
      <c r="BS153" s="25"/>
      <c r="BT153" s="25"/>
      <c r="BU153" s="25"/>
      <c r="BV153" s="25"/>
    </row>
    <row r="154" spans="1:7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25"/>
      <c r="BS154" s="25"/>
      <c r="BT154" s="25"/>
      <c r="BU154" s="25"/>
      <c r="BV154" s="25"/>
    </row>
    <row r="155" spans="1:74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25"/>
      <c r="BS155" s="25"/>
      <c r="BT155" s="25"/>
      <c r="BU155" s="25"/>
      <c r="BV155" s="25"/>
    </row>
    <row r="156" spans="1:74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25"/>
      <c r="BS156" s="25"/>
      <c r="BT156" s="25"/>
      <c r="BU156" s="25"/>
      <c r="BV156" s="25"/>
    </row>
    <row r="157" spans="1:74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25"/>
      <c r="BS157" s="25"/>
      <c r="BT157" s="25"/>
      <c r="BU157" s="25"/>
      <c r="BV157" s="25"/>
    </row>
    <row r="158" spans="1:74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25"/>
      <c r="BS158" s="25"/>
      <c r="BT158" s="25"/>
      <c r="BU158" s="25"/>
      <c r="BV158" s="25"/>
    </row>
    <row r="159" spans="1:74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25"/>
      <c r="BS159" s="25"/>
      <c r="BT159" s="25"/>
      <c r="BU159" s="25"/>
      <c r="BV159" s="25"/>
    </row>
    <row r="160" spans="1:74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25"/>
      <c r="BS160" s="25"/>
      <c r="BT160" s="25"/>
      <c r="BU160" s="25"/>
      <c r="BV160" s="25"/>
    </row>
    <row r="161" spans="1:74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25"/>
      <c r="BS161" s="25"/>
      <c r="BT161" s="25"/>
      <c r="BU161" s="25"/>
      <c r="BV161" s="25"/>
    </row>
    <row r="162" spans="1:74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25"/>
      <c r="BS162" s="25"/>
      <c r="BT162" s="25"/>
      <c r="BU162" s="25"/>
      <c r="BV162" s="25"/>
    </row>
    <row r="163" spans="1:74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25"/>
      <c r="BS163" s="25"/>
      <c r="BT163" s="25"/>
      <c r="BU163" s="25"/>
      <c r="BV163" s="25"/>
    </row>
    <row r="164" spans="1:7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25"/>
      <c r="BS164" s="25"/>
      <c r="BT164" s="25"/>
      <c r="BU164" s="25"/>
      <c r="BV164" s="25"/>
    </row>
    <row r="165" spans="1:74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25"/>
      <c r="BS165" s="25"/>
      <c r="BT165" s="25"/>
      <c r="BU165" s="25"/>
      <c r="BV165" s="25"/>
    </row>
    <row r="166" spans="1:74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25"/>
      <c r="BS166" s="25"/>
      <c r="BT166" s="25"/>
      <c r="BU166" s="25"/>
      <c r="BV166" s="25"/>
    </row>
    <row r="167" spans="1:74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25"/>
      <c r="BS167" s="25"/>
      <c r="BT167" s="25"/>
      <c r="BU167" s="25"/>
      <c r="BV167" s="25"/>
    </row>
    <row r="168" spans="1:74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25"/>
      <c r="BS168" s="25"/>
      <c r="BT168" s="25"/>
      <c r="BU168" s="25"/>
      <c r="BV168" s="25"/>
    </row>
    <row r="169" spans="1:74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25"/>
      <c r="BS169" s="25"/>
      <c r="BT169" s="25"/>
      <c r="BU169" s="25"/>
      <c r="BV169" s="25"/>
    </row>
    <row r="170" spans="1:74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25"/>
      <c r="BS170" s="25"/>
      <c r="BT170" s="25"/>
      <c r="BU170" s="25"/>
      <c r="BV170" s="25"/>
    </row>
    <row r="171" spans="1:74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25"/>
      <c r="BS171" s="25"/>
      <c r="BT171" s="25"/>
      <c r="BU171" s="25"/>
      <c r="BV171" s="25"/>
    </row>
    <row r="172" spans="1:74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25"/>
      <c r="BS172" s="25"/>
      <c r="BT172" s="25"/>
      <c r="BU172" s="25"/>
      <c r="BV172" s="25"/>
    </row>
    <row r="173" spans="1:74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25"/>
      <c r="BS173" s="25"/>
      <c r="BT173" s="25"/>
      <c r="BU173" s="25"/>
      <c r="BV173" s="25"/>
    </row>
    <row r="174" spans="1: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25"/>
      <c r="BS174" s="25"/>
      <c r="BT174" s="25"/>
      <c r="BU174" s="25"/>
      <c r="BV174" s="25"/>
    </row>
    <row r="175" spans="1:74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25"/>
      <c r="BS175" s="25"/>
      <c r="BT175" s="25"/>
      <c r="BU175" s="25"/>
      <c r="BV175" s="25"/>
    </row>
    <row r="176" spans="1:74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25"/>
      <c r="BS176" s="25"/>
      <c r="BT176" s="25"/>
      <c r="BU176" s="25"/>
      <c r="BV176" s="25"/>
    </row>
    <row r="177" spans="1:74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25"/>
      <c r="BS177" s="25"/>
      <c r="BT177" s="25"/>
      <c r="BU177" s="25"/>
      <c r="BV177" s="25"/>
    </row>
    <row r="178" spans="1:74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25"/>
      <c r="BS178" s="25"/>
      <c r="BT178" s="25"/>
      <c r="BU178" s="25"/>
      <c r="BV178" s="25"/>
    </row>
    <row r="179" spans="1:74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25"/>
      <c r="BS179" s="25"/>
      <c r="BT179" s="25"/>
      <c r="BU179" s="25"/>
      <c r="BV179" s="25"/>
    </row>
    <row r="180" spans="1:74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25"/>
      <c r="BS180" s="25"/>
      <c r="BT180" s="25"/>
      <c r="BU180" s="25"/>
      <c r="BV180" s="25"/>
    </row>
    <row r="181" spans="1:74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25"/>
      <c r="BS181" s="25"/>
      <c r="BT181" s="25"/>
      <c r="BU181" s="25"/>
      <c r="BV181" s="25"/>
    </row>
    <row r="182" spans="1:74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25"/>
      <c r="BS182" s="25"/>
      <c r="BT182" s="25"/>
      <c r="BU182" s="25"/>
      <c r="BV182" s="25"/>
    </row>
    <row r="183" spans="1:74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25"/>
      <c r="BS183" s="25"/>
      <c r="BT183" s="25"/>
      <c r="BU183" s="25"/>
      <c r="BV183" s="25"/>
    </row>
    <row r="184" spans="1:7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25"/>
      <c r="BS184" s="25"/>
      <c r="BT184" s="25"/>
      <c r="BU184" s="25"/>
      <c r="BV184" s="25"/>
    </row>
    <row r="185" spans="1:74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25"/>
      <c r="BS185" s="25"/>
      <c r="BT185" s="25"/>
      <c r="BU185" s="25"/>
      <c r="BV185" s="25"/>
    </row>
    <row r="186" spans="1:74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25"/>
      <c r="BS186" s="25"/>
      <c r="BT186" s="25"/>
      <c r="BU186" s="25"/>
      <c r="BV186" s="25"/>
    </row>
    <row r="187" spans="1:74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25"/>
      <c r="BS187" s="25"/>
      <c r="BT187" s="25"/>
      <c r="BU187" s="25"/>
      <c r="BV187" s="25"/>
    </row>
    <row r="188" spans="1:74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25"/>
      <c r="BS188" s="25"/>
      <c r="BT188" s="25"/>
      <c r="BU188" s="25"/>
      <c r="BV188" s="25"/>
    </row>
    <row r="189" spans="1:74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25"/>
      <c r="BS189" s="25"/>
      <c r="BT189" s="25"/>
      <c r="BU189" s="25"/>
      <c r="BV189" s="25"/>
    </row>
    <row r="190" spans="1:74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25"/>
      <c r="BS190" s="25"/>
      <c r="BT190" s="25"/>
      <c r="BU190" s="25"/>
      <c r="BV190" s="25"/>
    </row>
    <row r="191" spans="1:74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25"/>
      <c r="BS191" s="25"/>
      <c r="BT191" s="25"/>
      <c r="BU191" s="25"/>
      <c r="BV191" s="25"/>
    </row>
    <row r="192" spans="1:74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25"/>
      <c r="BS192" s="25"/>
      <c r="BT192" s="25"/>
      <c r="BU192" s="25"/>
      <c r="BV192" s="25"/>
    </row>
    <row r="193" spans="1:74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25"/>
      <c r="BS193" s="25"/>
      <c r="BT193" s="25"/>
      <c r="BU193" s="25"/>
      <c r="BV193" s="25"/>
    </row>
    <row r="194" spans="1:7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25"/>
      <c r="BS194" s="25"/>
      <c r="BT194" s="25"/>
      <c r="BU194" s="25"/>
      <c r="BV194" s="25"/>
    </row>
    <row r="195" spans="1:74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25"/>
      <c r="BS195" s="25"/>
      <c r="BT195" s="25"/>
      <c r="BU195" s="25"/>
      <c r="BV195" s="25"/>
    </row>
    <row r="196" spans="1:74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25"/>
      <c r="BS196" s="25"/>
      <c r="BT196" s="25"/>
      <c r="BU196" s="25"/>
      <c r="BV196" s="25"/>
    </row>
    <row r="197" spans="1:74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25"/>
      <c r="BS197" s="25"/>
      <c r="BT197" s="25"/>
      <c r="BU197" s="25"/>
      <c r="BV197" s="25"/>
    </row>
    <row r="198" spans="1:74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25"/>
      <c r="BS198" s="25"/>
      <c r="BT198" s="25"/>
      <c r="BU198" s="25"/>
      <c r="BV198" s="25"/>
    </row>
    <row r="199" spans="1:74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25"/>
      <c r="BS199" s="25"/>
      <c r="BT199" s="25"/>
      <c r="BU199" s="25"/>
      <c r="BV199" s="25"/>
    </row>
    <row r="200" spans="1:74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25"/>
      <c r="BS200" s="25"/>
      <c r="BT200" s="25"/>
      <c r="BU200" s="25"/>
      <c r="BV200" s="25"/>
    </row>
    <row r="201" spans="1:74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25"/>
      <c r="BS201" s="25"/>
      <c r="BT201" s="25"/>
      <c r="BU201" s="25"/>
      <c r="BV201" s="25"/>
    </row>
    <row r="202" spans="1:74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25"/>
      <c r="BS202" s="25"/>
      <c r="BT202" s="25"/>
      <c r="BU202" s="25"/>
      <c r="BV202" s="25"/>
    </row>
    <row r="203" spans="1:74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25"/>
      <c r="BS203" s="25"/>
      <c r="BT203" s="25"/>
      <c r="BU203" s="25"/>
      <c r="BV203" s="25"/>
    </row>
    <row r="204" spans="1:7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25"/>
      <c r="BS204" s="25"/>
      <c r="BT204" s="25"/>
      <c r="BU204" s="25"/>
      <c r="BV204" s="25"/>
    </row>
    <row r="205" spans="1:74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25"/>
      <c r="BS205" s="25"/>
      <c r="BT205" s="25"/>
      <c r="BU205" s="25"/>
      <c r="BV205" s="25"/>
    </row>
    <row r="206" spans="1:74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25"/>
      <c r="BS206" s="25"/>
      <c r="BT206" s="25"/>
      <c r="BU206" s="25"/>
      <c r="BV206" s="25"/>
    </row>
    <row r="207" spans="1:74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25"/>
      <c r="BS207" s="25"/>
      <c r="BT207" s="25"/>
      <c r="BU207" s="25"/>
      <c r="BV207" s="25"/>
    </row>
    <row r="208" spans="1:74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25"/>
      <c r="BS208" s="25"/>
      <c r="BT208" s="25"/>
      <c r="BU208" s="25"/>
      <c r="BV208" s="25"/>
    </row>
    <row r="209" spans="1:74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25"/>
      <c r="BS209" s="25"/>
      <c r="BT209" s="25"/>
      <c r="BU209" s="25"/>
      <c r="BV209" s="25"/>
    </row>
    <row r="210" spans="1:74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25"/>
      <c r="BS210" s="25"/>
      <c r="BT210" s="25"/>
      <c r="BU210" s="25"/>
      <c r="BV210" s="25"/>
    </row>
    <row r="211" spans="1:74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25"/>
      <c r="BS211" s="25"/>
      <c r="BT211" s="25"/>
      <c r="BU211" s="25"/>
      <c r="BV211" s="25"/>
    </row>
    <row r="212" spans="1:74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25"/>
      <c r="BS212" s="25"/>
      <c r="BT212" s="25"/>
      <c r="BU212" s="25"/>
      <c r="BV212" s="25"/>
    </row>
    <row r="213" spans="1:74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25"/>
      <c r="BS213" s="25"/>
      <c r="BT213" s="25"/>
      <c r="BU213" s="25"/>
      <c r="BV213" s="25"/>
    </row>
    <row r="214" spans="1:7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25"/>
      <c r="BS214" s="25"/>
      <c r="BT214" s="25"/>
      <c r="BU214" s="25"/>
      <c r="BV214" s="25"/>
    </row>
    <row r="215" spans="1:74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25"/>
      <c r="BS215" s="25"/>
      <c r="BT215" s="25"/>
      <c r="BU215" s="25"/>
      <c r="BV215" s="25"/>
    </row>
    <row r="216" spans="1:74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25"/>
      <c r="BS216" s="25"/>
      <c r="BT216" s="25"/>
      <c r="BU216" s="25"/>
      <c r="BV216" s="25"/>
    </row>
    <row r="217" spans="1:74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25"/>
      <c r="BS217" s="25"/>
      <c r="BT217" s="25"/>
      <c r="BU217" s="25"/>
      <c r="BV217" s="25"/>
    </row>
    <row r="218" spans="1:74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25"/>
      <c r="BS218" s="25"/>
      <c r="BT218" s="25"/>
      <c r="BU218" s="25"/>
      <c r="BV218" s="25"/>
    </row>
    <row r="219" spans="1:74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25"/>
      <c r="BS219" s="25"/>
      <c r="BT219" s="25"/>
      <c r="BU219" s="25"/>
      <c r="BV219" s="25"/>
    </row>
    <row r="220" spans="1:74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25"/>
      <c r="BS220" s="25"/>
      <c r="BT220" s="25"/>
      <c r="BU220" s="25"/>
      <c r="BV220" s="25"/>
    </row>
    <row r="221" spans="1:74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25"/>
      <c r="BS221" s="25"/>
      <c r="BT221" s="25"/>
      <c r="BU221" s="25"/>
      <c r="BV221" s="25"/>
    </row>
    <row r="222" spans="1:74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25"/>
      <c r="BS222" s="25"/>
      <c r="BT222" s="25"/>
      <c r="BU222" s="25"/>
      <c r="BV222" s="25"/>
    </row>
    <row r="223" spans="1:74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25"/>
      <c r="BS223" s="25"/>
      <c r="BT223" s="25"/>
      <c r="BU223" s="25"/>
      <c r="BV223" s="25"/>
    </row>
    <row r="224" spans="1:7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25"/>
      <c r="BS224" s="25"/>
      <c r="BT224" s="25"/>
      <c r="BU224" s="25"/>
      <c r="BV224" s="25"/>
    </row>
    <row r="225" spans="1:74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25"/>
      <c r="BS225" s="25"/>
      <c r="BT225" s="25"/>
      <c r="BU225" s="25"/>
      <c r="BV225" s="25"/>
    </row>
    <row r="226" spans="1:74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25"/>
      <c r="BS226" s="25"/>
      <c r="BT226" s="25"/>
      <c r="BU226" s="25"/>
      <c r="BV226" s="25"/>
    </row>
    <row r="227" spans="1:74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25"/>
      <c r="BS227" s="25"/>
      <c r="BT227" s="25"/>
      <c r="BU227" s="25"/>
      <c r="BV227" s="25"/>
    </row>
    <row r="228" spans="1:74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25"/>
      <c r="BS228" s="25"/>
      <c r="BT228" s="25"/>
      <c r="BU228" s="25"/>
      <c r="BV228" s="25"/>
    </row>
    <row r="229" spans="1:74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25"/>
      <c r="BS229" s="25"/>
      <c r="BT229" s="25"/>
      <c r="BU229" s="25"/>
      <c r="BV229" s="25"/>
    </row>
    <row r="230" spans="1:74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25"/>
      <c r="BS230" s="25"/>
      <c r="BT230" s="25"/>
      <c r="BU230" s="25"/>
      <c r="BV230" s="25"/>
    </row>
    <row r="231" spans="1:74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25"/>
      <c r="BS231" s="25"/>
      <c r="BT231" s="25"/>
      <c r="BU231" s="25"/>
      <c r="BV231" s="25"/>
    </row>
    <row r="232" spans="1:74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25"/>
      <c r="BS232" s="25"/>
      <c r="BT232" s="25"/>
      <c r="BU232" s="25"/>
      <c r="BV232" s="25"/>
    </row>
    <row r="233" spans="1:74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25"/>
      <c r="BS233" s="25"/>
      <c r="BT233" s="25"/>
      <c r="BU233" s="25"/>
      <c r="BV233" s="25"/>
    </row>
    <row r="234" spans="1:7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25"/>
      <c r="BS234" s="25"/>
      <c r="BT234" s="25"/>
      <c r="BU234" s="25"/>
      <c r="BV234" s="25"/>
    </row>
    <row r="235" spans="1:74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25"/>
      <c r="BS235" s="25"/>
      <c r="BT235" s="25"/>
      <c r="BU235" s="25"/>
      <c r="BV235" s="25"/>
    </row>
    <row r="236" spans="1:74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25"/>
      <c r="BS236" s="25"/>
      <c r="BT236" s="25"/>
      <c r="BU236" s="25"/>
      <c r="BV236" s="25"/>
    </row>
    <row r="237" spans="1:74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25"/>
      <c r="BS237" s="25"/>
      <c r="BT237" s="25"/>
      <c r="BU237" s="25"/>
      <c r="BV237" s="25"/>
    </row>
    <row r="238" spans="1:74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25"/>
      <c r="BS238" s="25"/>
      <c r="BT238" s="25"/>
      <c r="BU238" s="25"/>
      <c r="BV238" s="25"/>
    </row>
    <row r="239" spans="1:74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25"/>
      <c r="BS239" s="25"/>
      <c r="BT239" s="25"/>
      <c r="BU239" s="25"/>
      <c r="BV239" s="25"/>
    </row>
    <row r="240" spans="1:74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25"/>
      <c r="BS240" s="25"/>
      <c r="BT240" s="25"/>
      <c r="BU240" s="25"/>
      <c r="BV240" s="25"/>
    </row>
    <row r="241" spans="1:74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25"/>
      <c r="BS241" s="25"/>
      <c r="BT241" s="25"/>
      <c r="BU241" s="25"/>
      <c r="BV241" s="25"/>
    </row>
    <row r="242" spans="1:74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25"/>
      <c r="BS242" s="25"/>
      <c r="BT242" s="25"/>
      <c r="BU242" s="25"/>
      <c r="BV242" s="25"/>
    </row>
    <row r="243" spans="1:74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25"/>
      <c r="BS243" s="25"/>
      <c r="BT243" s="25"/>
      <c r="BU243" s="25"/>
      <c r="BV243" s="25"/>
    </row>
    <row r="244" spans="1:7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25"/>
      <c r="BS244" s="25"/>
      <c r="BT244" s="25"/>
      <c r="BU244" s="25"/>
      <c r="BV244" s="25"/>
    </row>
    <row r="245" spans="1:74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25"/>
      <c r="BS245" s="25"/>
      <c r="BT245" s="25"/>
      <c r="BU245" s="25"/>
      <c r="BV245" s="25"/>
    </row>
    <row r="246" spans="1:74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25"/>
      <c r="BS246" s="25"/>
      <c r="BT246" s="25"/>
      <c r="BU246" s="25"/>
      <c r="BV246" s="25"/>
    </row>
    <row r="247" spans="1:74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25"/>
      <c r="BS247" s="25"/>
      <c r="BT247" s="25"/>
      <c r="BU247" s="25"/>
      <c r="BV247" s="25"/>
    </row>
    <row r="248" spans="1:74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25"/>
      <c r="BS248" s="25"/>
      <c r="BT248" s="25"/>
      <c r="BU248" s="25"/>
      <c r="BV248" s="25"/>
    </row>
    <row r="249" spans="1:74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25"/>
      <c r="BS249" s="25"/>
      <c r="BT249" s="25"/>
      <c r="BU249" s="25"/>
      <c r="BV249" s="25"/>
    </row>
    <row r="250" spans="1:74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25"/>
      <c r="BS250" s="25"/>
      <c r="BT250" s="25"/>
      <c r="BU250" s="25"/>
      <c r="BV250" s="25"/>
    </row>
    <row r="251" spans="1:74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25"/>
      <c r="BS251" s="25"/>
      <c r="BT251" s="25"/>
      <c r="BU251" s="25"/>
      <c r="BV251" s="25"/>
    </row>
    <row r="252" spans="1:74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25"/>
      <c r="BS252" s="25"/>
      <c r="BT252" s="25"/>
      <c r="BU252" s="25"/>
      <c r="BV252" s="25"/>
    </row>
    <row r="253" spans="1:74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25"/>
      <c r="BS253" s="25"/>
      <c r="BT253" s="25"/>
      <c r="BU253" s="25"/>
      <c r="BV253" s="25"/>
    </row>
    <row r="254" spans="1:7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25"/>
      <c r="BS254" s="25"/>
      <c r="BT254" s="25"/>
      <c r="BU254" s="25"/>
      <c r="BV254" s="25"/>
    </row>
    <row r="255" spans="1:74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25"/>
      <c r="BS255" s="25"/>
      <c r="BT255" s="25"/>
      <c r="BU255" s="25"/>
      <c r="BV255" s="25"/>
    </row>
    <row r="256" spans="1:74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25"/>
      <c r="BS256" s="25"/>
      <c r="BT256" s="25"/>
      <c r="BU256" s="25"/>
      <c r="BV256" s="25"/>
    </row>
    <row r="257" spans="1:74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25"/>
      <c r="BS257" s="25"/>
      <c r="BT257" s="25"/>
      <c r="BU257" s="25"/>
      <c r="BV257" s="25"/>
    </row>
    <row r="258" spans="1:74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25"/>
      <c r="BS258" s="25"/>
      <c r="BT258" s="25"/>
      <c r="BU258" s="25"/>
      <c r="BV258" s="25"/>
    </row>
    <row r="259" spans="1:74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25"/>
      <c r="BS259" s="25"/>
      <c r="BT259" s="25"/>
      <c r="BU259" s="25"/>
      <c r="BV259" s="25"/>
    </row>
    <row r="260" spans="1:74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25"/>
      <c r="BS260" s="25"/>
      <c r="BT260" s="25"/>
      <c r="BU260" s="25"/>
      <c r="BV260" s="25"/>
    </row>
    <row r="261" spans="1:74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25"/>
      <c r="BS261" s="25"/>
      <c r="BT261" s="25"/>
      <c r="BU261" s="25"/>
      <c r="BV261" s="25"/>
    </row>
    <row r="262" spans="1:74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25"/>
      <c r="BS262" s="25"/>
      <c r="BT262" s="25"/>
      <c r="BU262" s="25"/>
      <c r="BV262" s="25"/>
    </row>
    <row r="263" spans="1:74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25"/>
      <c r="BS263" s="25"/>
      <c r="BT263" s="25"/>
      <c r="BU263" s="25"/>
      <c r="BV263" s="25"/>
    </row>
    <row r="264" spans="1:7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25"/>
      <c r="BS264" s="25"/>
      <c r="BT264" s="25"/>
      <c r="BU264" s="25"/>
      <c r="BV264" s="25"/>
    </row>
    <row r="265" spans="1:74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25"/>
      <c r="BS265" s="25"/>
      <c r="BT265" s="25"/>
      <c r="BU265" s="25"/>
      <c r="BV265" s="25"/>
    </row>
    <row r="266" spans="1:74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25"/>
      <c r="BS266" s="25"/>
      <c r="BT266" s="25"/>
      <c r="BU266" s="25"/>
      <c r="BV266" s="25"/>
    </row>
    <row r="267" spans="1:74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25"/>
      <c r="BS267" s="25"/>
      <c r="BT267" s="25"/>
      <c r="BU267" s="25"/>
      <c r="BV267" s="25"/>
    </row>
    <row r="268" spans="1:74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25"/>
      <c r="BS268" s="25"/>
      <c r="BT268" s="25"/>
      <c r="BU268" s="25"/>
      <c r="BV268" s="25"/>
    </row>
    <row r="269" spans="1:74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25"/>
      <c r="BS269" s="25"/>
      <c r="BT269" s="25"/>
      <c r="BU269" s="25"/>
      <c r="BV269" s="25"/>
    </row>
    <row r="270" spans="1:74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25"/>
      <c r="BS270" s="25"/>
      <c r="BT270" s="25"/>
      <c r="BU270" s="25"/>
      <c r="BV270" s="25"/>
    </row>
    <row r="271" spans="1:74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25"/>
      <c r="BS271" s="25"/>
      <c r="BT271" s="25"/>
      <c r="BU271" s="25"/>
      <c r="BV271" s="25"/>
    </row>
    <row r="272" spans="1:74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25"/>
      <c r="BS272" s="25"/>
      <c r="BT272" s="25"/>
      <c r="BU272" s="25"/>
      <c r="BV272" s="25"/>
    </row>
    <row r="273" spans="1:74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25"/>
      <c r="BS273" s="25"/>
      <c r="BT273" s="25"/>
      <c r="BU273" s="25"/>
      <c r="BV273" s="25"/>
    </row>
    <row r="274" spans="1: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25"/>
      <c r="BS274" s="25"/>
      <c r="BT274" s="25"/>
      <c r="BU274" s="25"/>
      <c r="BV274" s="25"/>
    </row>
    <row r="275" spans="1:74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25"/>
      <c r="BS275" s="25"/>
      <c r="BT275" s="25"/>
      <c r="BU275" s="25"/>
      <c r="BV275" s="25"/>
    </row>
    <row r="276" spans="1:74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25"/>
      <c r="BS276" s="25"/>
      <c r="BT276" s="25"/>
      <c r="BU276" s="25"/>
      <c r="BV276" s="25"/>
    </row>
    <row r="277" spans="1:74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25"/>
      <c r="BS277" s="25"/>
      <c r="BT277" s="25"/>
      <c r="BU277" s="25"/>
      <c r="BV277" s="25"/>
    </row>
    <row r="278" spans="1:74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25"/>
      <c r="BS278" s="25"/>
      <c r="BT278" s="25"/>
      <c r="BU278" s="25"/>
      <c r="BV278" s="25"/>
    </row>
    <row r="279" spans="1:74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25"/>
      <c r="BS279" s="25"/>
      <c r="BT279" s="25"/>
      <c r="BU279" s="25"/>
      <c r="BV279" s="25"/>
    </row>
    <row r="280" spans="1:74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25"/>
      <c r="BS280" s="25"/>
      <c r="BT280" s="25"/>
      <c r="BU280" s="25"/>
      <c r="BV280" s="25"/>
    </row>
    <row r="281" spans="1:74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25"/>
      <c r="BS281" s="25"/>
      <c r="BT281" s="25"/>
      <c r="BU281" s="25"/>
      <c r="BV281" s="25"/>
    </row>
    <row r="282" spans="1:74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25"/>
      <c r="BS282" s="25"/>
      <c r="BT282" s="25"/>
      <c r="BU282" s="25"/>
      <c r="BV282" s="25"/>
    </row>
    <row r="283" spans="1:74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25"/>
      <c r="BS283" s="25"/>
      <c r="BT283" s="25"/>
      <c r="BU283" s="25"/>
      <c r="BV283" s="25"/>
    </row>
    <row r="284" spans="1:7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25"/>
      <c r="BS284" s="25"/>
      <c r="BT284" s="25"/>
      <c r="BU284" s="25"/>
      <c r="BV284" s="25"/>
    </row>
    <row r="285" spans="1:74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25"/>
      <c r="BS285" s="25"/>
      <c r="BT285" s="25"/>
      <c r="BU285" s="25"/>
      <c r="BV285" s="25"/>
    </row>
    <row r="286" spans="1:74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25"/>
      <c r="BS286" s="25"/>
      <c r="BT286" s="25"/>
      <c r="BU286" s="25"/>
      <c r="BV286" s="25"/>
    </row>
    <row r="287" spans="1:74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25"/>
      <c r="BS287" s="25"/>
      <c r="BT287" s="25"/>
      <c r="BU287" s="25"/>
      <c r="BV287" s="25"/>
    </row>
    <row r="288" spans="1:74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25"/>
      <c r="BS288" s="25"/>
      <c r="BT288" s="25"/>
      <c r="BU288" s="25"/>
      <c r="BV288" s="25"/>
    </row>
    <row r="289" spans="1:74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25"/>
      <c r="BS289" s="25"/>
      <c r="BT289" s="25"/>
      <c r="BU289" s="25"/>
      <c r="BV289" s="25"/>
    </row>
    <row r="290" spans="1:74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25"/>
      <c r="BS290" s="25"/>
      <c r="BT290" s="25"/>
      <c r="BU290" s="25"/>
      <c r="BV290" s="25"/>
    </row>
    <row r="291" spans="1:74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25"/>
      <c r="BS291" s="25"/>
      <c r="BT291" s="25"/>
      <c r="BU291" s="25"/>
      <c r="BV291" s="25"/>
    </row>
    <row r="292" spans="1:74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25"/>
      <c r="BS292" s="25"/>
      <c r="BT292" s="25"/>
      <c r="BU292" s="25"/>
      <c r="BV292" s="25"/>
    </row>
    <row r="293" spans="1:74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25"/>
      <c r="BS293" s="25"/>
      <c r="BT293" s="25"/>
      <c r="BU293" s="25"/>
      <c r="BV293" s="25"/>
    </row>
    <row r="294" spans="1:7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25"/>
      <c r="BS294" s="25"/>
      <c r="BT294" s="25"/>
      <c r="BU294" s="25"/>
      <c r="BV294" s="25"/>
    </row>
    <row r="295" spans="1:74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25"/>
      <c r="BS295" s="25"/>
      <c r="BT295" s="25"/>
      <c r="BU295" s="25"/>
      <c r="BV295" s="25"/>
    </row>
    <row r="296" spans="1:74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25"/>
      <c r="BS296" s="25"/>
      <c r="BT296" s="25"/>
      <c r="BU296" s="25"/>
      <c r="BV296" s="25"/>
    </row>
    <row r="297" spans="1:74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25"/>
      <c r="BS297" s="25"/>
      <c r="BT297" s="25"/>
      <c r="BU297" s="25"/>
      <c r="BV297" s="25"/>
    </row>
    <row r="298" spans="1:74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25"/>
      <c r="BS298" s="25"/>
      <c r="BT298" s="25"/>
      <c r="BU298" s="25"/>
      <c r="BV298" s="25"/>
    </row>
    <row r="299" spans="1:74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25"/>
      <c r="BS299" s="25"/>
      <c r="BT299" s="25"/>
      <c r="BU299" s="25"/>
      <c r="BV299" s="25"/>
    </row>
    <row r="300" spans="1:74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25"/>
      <c r="BS300" s="25"/>
      <c r="BT300" s="25"/>
      <c r="BU300" s="25"/>
      <c r="BV300" s="25"/>
    </row>
    <row r="301" spans="1:74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25"/>
      <c r="BS301" s="25"/>
      <c r="BT301" s="25"/>
      <c r="BU301" s="25"/>
      <c r="BV301" s="25"/>
    </row>
    <row r="302" spans="1:74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25"/>
      <c r="BS302" s="25"/>
      <c r="BT302" s="25"/>
      <c r="BU302" s="25"/>
      <c r="BV302" s="25"/>
    </row>
    <row r="303" spans="1:74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25"/>
      <c r="BS303" s="25"/>
      <c r="BT303" s="25"/>
      <c r="BU303" s="25"/>
      <c r="BV303" s="25"/>
    </row>
    <row r="304" spans="1:7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25"/>
      <c r="BS304" s="25"/>
      <c r="BT304" s="25"/>
      <c r="BU304" s="25"/>
      <c r="BV304" s="25"/>
    </row>
    <row r="305" spans="1:74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25"/>
      <c r="BS305" s="25"/>
      <c r="BT305" s="25"/>
      <c r="BU305" s="25"/>
      <c r="BV305" s="25"/>
    </row>
    <row r="306" spans="1:74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25"/>
      <c r="BS306" s="25"/>
      <c r="BT306" s="25"/>
      <c r="BU306" s="25"/>
      <c r="BV306" s="25"/>
    </row>
    <row r="307" spans="1:74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25"/>
      <c r="BS307" s="25"/>
      <c r="BT307" s="25"/>
      <c r="BU307" s="25"/>
      <c r="BV307" s="25"/>
    </row>
    <row r="308" spans="1:74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25"/>
      <c r="BS308" s="25"/>
      <c r="BT308" s="25"/>
      <c r="BU308" s="25"/>
      <c r="BV308" s="25"/>
    </row>
    <row r="309" spans="1:74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25"/>
      <c r="BS309" s="25"/>
      <c r="BT309" s="25"/>
      <c r="BU309" s="25"/>
      <c r="BV309" s="25"/>
    </row>
    <row r="310" spans="1:74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25"/>
      <c r="BS310" s="25"/>
      <c r="BT310" s="25"/>
      <c r="BU310" s="25"/>
      <c r="BV310" s="25"/>
    </row>
    <row r="311" spans="1:74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25"/>
      <c r="BS311" s="25"/>
      <c r="BT311" s="25"/>
      <c r="BU311" s="25"/>
      <c r="BV311" s="25"/>
    </row>
    <row r="312" spans="1:74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25"/>
      <c r="BS312" s="25"/>
      <c r="BT312" s="25"/>
      <c r="BU312" s="25"/>
      <c r="BV312" s="25"/>
    </row>
    <row r="313" spans="1:74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25"/>
      <c r="BS313" s="25"/>
      <c r="BT313" s="25"/>
      <c r="BU313" s="25"/>
      <c r="BV313" s="25"/>
    </row>
    <row r="314" spans="1:7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25"/>
      <c r="BS314" s="25"/>
      <c r="BT314" s="25"/>
      <c r="BU314" s="25"/>
      <c r="BV314" s="25"/>
    </row>
    <row r="315" spans="1:74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25"/>
      <c r="BS315" s="25"/>
      <c r="BT315" s="25"/>
      <c r="BU315" s="25"/>
      <c r="BV315" s="25"/>
    </row>
    <row r="316" spans="1:74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25"/>
      <c r="BS316" s="25"/>
      <c r="BT316" s="25"/>
      <c r="BU316" s="25"/>
      <c r="BV316" s="25"/>
    </row>
    <row r="317" spans="1:74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25"/>
      <c r="BS317" s="25"/>
      <c r="BT317" s="25"/>
      <c r="BU317" s="25"/>
      <c r="BV317" s="25"/>
    </row>
    <row r="318" spans="1:74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25"/>
      <c r="BS318" s="25"/>
      <c r="BT318" s="25"/>
      <c r="BU318" s="25"/>
      <c r="BV318" s="25"/>
    </row>
    <row r="319" spans="1:74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25"/>
      <c r="BS319" s="25"/>
      <c r="BT319" s="25"/>
      <c r="BU319" s="25"/>
      <c r="BV319" s="25"/>
    </row>
    <row r="320" spans="1:74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25"/>
      <c r="BS320" s="25"/>
      <c r="BT320" s="25"/>
      <c r="BU320" s="25"/>
      <c r="BV320" s="25"/>
    </row>
    <row r="321" spans="1:74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25"/>
      <c r="BS321" s="25"/>
      <c r="BT321" s="25"/>
      <c r="BU321" s="25"/>
      <c r="BV321" s="25"/>
    </row>
    <row r="322" spans="1:74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25"/>
      <c r="BS322" s="25"/>
      <c r="BT322" s="25"/>
      <c r="BU322" s="25"/>
      <c r="BV322" s="25"/>
    </row>
    <row r="323" spans="1:74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25"/>
      <c r="BS323" s="25"/>
      <c r="BT323" s="25"/>
      <c r="BU323" s="25"/>
      <c r="BV323" s="25"/>
    </row>
    <row r="324" spans="1:7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25"/>
      <c r="BS324" s="25"/>
      <c r="BT324" s="25"/>
      <c r="BU324" s="25"/>
      <c r="BV324" s="25"/>
    </row>
    <row r="325" spans="1:74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25"/>
      <c r="BS325" s="25"/>
      <c r="BT325" s="25"/>
      <c r="BU325" s="25"/>
      <c r="BV325" s="25"/>
    </row>
    <row r="326" spans="1:74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25"/>
      <c r="BS326" s="25"/>
      <c r="BT326" s="25"/>
      <c r="BU326" s="25"/>
      <c r="BV326" s="25"/>
    </row>
    <row r="327" spans="1:74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25"/>
      <c r="BS327" s="25"/>
      <c r="BT327" s="25"/>
      <c r="BU327" s="25"/>
      <c r="BV327" s="25"/>
    </row>
    <row r="328" spans="1:74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25"/>
      <c r="BS328" s="25"/>
      <c r="BT328" s="25"/>
      <c r="BU328" s="25"/>
      <c r="BV328" s="25"/>
    </row>
    <row r="329" spans="1:74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25"/>
      <c r="BS329" s="25"/>
      <c r="BT329" s="25"/>
      <c r="BU329" s="25"/>
      <c r="BV329" s="25"/>
    </row>
    <row r="330" spans="1:74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25"/>
      <c r="BS330" s="25"/>
      <c r="BT330" s="25"/>
      <c r="BU330" s="25"/>
      <c r="BV330" s="25"/>
    </row>
    <row r="331" spans="1:74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25"/>
      <c r="BS331" s="25"/>
      <c r="BT331" s="25"/>
      <c r="BU331" s="25"/>
      <c r="BV331" s="25"/>
    </row>
    <row r="332" spans="1:74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25"/>
      <c r="BS332" s="25"/>
      <c r="BT332" s="25"/>
      <c r="BU332" s="25"/>
      <c r="BV332" s="25"/>
    </row>
    <row r="333" spans="1:74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25"/>
      <c r="BS333" s="25"/>
      <c r="BT333" s="25"/>
      <c r="BU333" s="25"/>
      <c r="BV333" s="25"/>
    </row>
    <row r="334" spans="1:7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25"/>
      <c r="BS334" s="25"/>
      <c r="BT334" s="25"/>
      <c r="BU334" s="25"/>
      <c r="BV334" s="25"/>
    </row>
    <row r="335" spans="1:74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25"/>
      <c r="BS335" s="25"/>
      <c r="BT335" s="25"/>
      <c r="BU335" s="25"/>
      <c r="BV335" s="25"/>
    </row>
    <row r="336" spans="1:74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25"/>
      <c r="BS336" s="25"/>
      <c r="BT336" s="25"/>
      <c r="BU336" s="25"/>
      <c r="BV336" s="25"/>
    </row>
    <row r="337" spans="1:74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25"/>
      <c r="BS337" s="25"/>
      <c r="BT337" s="25"/>
      <c r="BU337" s="25"/>
      <c r="BV337" s="25"/>
    </row>
    <row r="338" spans="1:74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25"/>
      <c r="BS338" s="25"/>
      <c r="BT338" s="25"/>
      <c r="BU338" s="25"/>
      <c r="BV338" s="25"/>
    </row>
    <row r="339" spans="1:74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25"/>
      <c r="BS339" s="25"/>
      <c r="BT339" s="25"/>
      <c r="BU339" s="25"/>
      <c r="BV339" s="25"/>
    </row>
    <row r="340" spans="1:74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25"/>
      <c r="BS340" s="25"/>
      <c r="BT340" s="25"/>
      <c r="BU340" s="25"/>
      <c r="BV340" s="25"/>
    </row>
    <row r="341" spans="1:74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25"/>
      <c r="BS341" s="25"/>
      <c r="BT341" s="25"/>
      <c r="BU341" s="25"/>
      <c r="BV341" s="25"/>
    </row>
    <row r="342" spans="1:74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25"/>
      <c r="BS342" s="25"/>
      <c r="BT342" s="25"/>
      <c r="BU342" s="25"/>
      <c r="BV342" s="25"/>
    </row>
    <row r="343" spans="1:74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25"/>
      <c r="BS343" s="25"/>
      <c r="BT343" s="25"/>
      <c r="BU343" s="25"/>
      <c r="BV343" s="25"/>
    </row>
    <row r="344" spans="1:7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25"/>
      <c r="BS344" s="25"/>
      <c r="BT344" s="25"/>
      <c r="BU344" s="25"/>
      <c r="BV344" s="25"/>
    </row>
    <row r="345" spans="1:74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25"/>
      <c r="BS345" s="25"/>
      <c r="BT345" s="25"/>
      <c r="BU345" s="25"/>
      <c r="BV345" s="25"/>
    </row>
    <row r="346" spans="1:74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25"/>
      <c r="BS346" s="25"/>
      <c r="BT346" s="25"/>
      <c r="BU346" s="25"/>
      <c r="BV346" s="25"/>
    </row>
    <row r="347" spans="1:74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25"/>
      <c r="BS347" s="25"/>
      <c r="BT347" s="25"/>
      <c r="BU347" s="25"/>
      <c r="BV347" s="25"/>
    </row>
    <row r="348" spans="1:74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25"/>
      <c r="BS348" s="25"/>
      <c r="BT348" s="25"/>
      <c r="BU348" s="25"/>
      <c r="BV348" s="25"/>
    </row>
    <row r="349" spans="1:74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25"/>
      <c r="BS349" s="25"/>
      <c r="BT349" s="25"/>
      <c r="BU349" s="25"/>
      <c r="BV349" s="25"/>
    </row>
    <row r="350" spans="1:74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25"/>
      <c r="BS350" s="25"/>
      <c r="BT350" s="25"/>
      <c r="BU350" s="25"/>
      <c r="BV350" s="25"/>
    </row>
    <row r="351" spans="1:74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25"/>
      <c r="BS351" s="25"/>
      <c r="BT351" s="25"/>
      <c r="BU351" s="25"/>
      <c r="BV351" s="25"/>
    </row>
    <row r="352" spans="1:74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25"/>
      <c r="BS352" s="25"/>
      <c r="BT352" s="25"/>
      <c r="BU352" s="25"/>
      <c r="BV352" s="25"/>
    </row>
    <row r="353" spans="1:74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25"/>
      <c r="BS353" s="25"/>
      <c r="BT353" s="25"/>
      <c r="BU353" s="25"/>
      <c r="BV353" s="25"/>
    </row>
    <row r="354" spans="1:7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25"/>
      <c r="BS354" s="25"/>
      <c r="BT354" s="25"/>
      <c r="BU354" s="25"/>
      <c r="BV354" s="25"/>
    </row>
    <row r="355" spans="1:74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25"/>
      <c r="BS355" s="25"/>
      <c r="BT355" s="25"/>
      <c r="BU355" s="25"/>
      <c r="BV355" s="25"/>
    </row>
    <row r="356" spans="1:74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25"/>
      <c r="BS356" s="25"/>
      <c r="BT356" s="25"/>
      <c r="BU356" s="25"/>
      <c r="BV356" s="25"/>
    </row>
    <row r="357" spans="1:74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25"/>
      <c r="BS357" s="25"/>
      <c r="BT357" s="25"/>
      <c r="BU357" s="25"/>
      <c r="BV357" s="25"/>
    </row>
    <row r="358" spans="1:74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25"/>
      <c r="BS358" s="25"/>
      <c r="BT358" s="25"/>
      <c r="BU358" s="25"/>
      <c r="BV358" s="25"/>
    </row>
    <row r="359" spans="1:74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25"/>
      <c r="BS359" s="25"/>
      <c r="BT359" s="25"/>
      <c r="BU359" s="25"/>
      <c r="BV359" s="25"/>
    </row>
    <row r="360" spans="1:74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25"/>
      <c r="BS360" s="25"/>
      <c r="BT360" s="25"/>
      <c r="BU360" s="25"/>
      <c r="BV360" s="25"/>
    </row>
    <row r="361" spans="1:74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25"/>
      <c r="BS361" s="25"/>
      <c r="BT361" s="25"/>
      <c r="BU361" s="25"/>
      <c r="BV361" s="25"/>
    </row>
    <row r="362" spans="1:74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25"/>
      <c r="BS362" s="25"/>
      <c r="BT362" s="25"/>
      <c r="BU362" s="25"/>
      <c r="BV362" s="25"/>
    </row>
    <row r="363" spans="1:74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25"/>
      <c r="BS363" s="25"/>
      <c r="BT363" s="25"/>
      <c r="BU363" s="25"/>
      <c r="BV363" s="25"/>
    </row>
    <row r="364" spans="1:7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25"/>
      <c r="BS364" s="25"/>
      <c r="BT364" s="25"/>
      <c r="BU364" s="25"/>
      <c r="BV364" s="25"/>
    </row>
    <row r="365" spans="1:74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25"/>
      <c r="BS365" s="25"/>
      <c r="BT365" s="25"/>
      <c r="BU365" s="25"/>
      <c r="BV365" s="25"/>
    </row>
    <row r="366" spans="1:74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25"/>
      <c r="BS366" s="25"/>
      <c r="BT366" s="25"/>
      <c r="BU366" s="25"/>
      <c r="BV366" s="25"/>
    </row>
    <row r="367" spans="1:74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25"/>
      <c r="BS367" s="25"/>
      <c r="BT367" s="25"/>
      <c r="BU367" s="25"/>
      <c r="BV367" s="25"/>
    </row>
    <row r="368" spans="1:74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25"/>
      <c r="BS368" s="25"/>
      <c r="BT368" s="25"/>
      <c r="BU368" s="25"/>
      <c r="BV368" s="25"/>
    </row>
    <row r="369" spans="1:74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25"/>
      <c r="BS369" s="25"/>
      <c r="BT369" s="25"/>
      <c r="BU369" s="25"/>
      <c r="BV369" s="25"/>
    </row>
    <row r="370" spans="1:74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25"/>
      <c r="BS370" s="25"/>
      <c r="BT370" s="25"/>
      <c r="BU370" s="25"/>
      <c r="BV370" s="25"/>
    </row>
    <row r="371" spans="1:74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25"/>
      <c r="BS371" s="25"/>
      <c r="BT371" s="25"/>
      <c r="BU371" s="25"/>
      <c r="BV371" s="25"/>
    </row>
    <row r="372" spans="1:74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25"/>
      <c r="BS372" s="25"/>
      <c r="BT372" s="25"/>
      <c r="BU372" s="25"/>
      <c r="BV372" s="25"/>
    </row>
    <row r="373" spans="1:74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25"/>
      <c r="BS373" s="25"/>
      <c r="BT373" s="25"/>
      <c r="BU373" s="25"/>
      <c r="BV373" s="25"/>
    </row>
    <row r="374" spans="1: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25"/>
      <c r="BS374" s="25"/>
      <c r="BT374" s="25"/>
      <c r="BU374" s="25"/>
      <c r="BV374" s="25"/>
    </row>
    <row r="375" spans="1:74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25"/>
      <c r="BS375" s="25"/>
      <c r="BT375" s="25"/>
      <c r="BU375" s="25"/>
      <c r="BV375" s="25"/>
    </row>
    <row r="376" spans="1:74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25"/>
      <c r="BS376" s="25"/>
      <c r="BT376" s="25"/>
      <c r="BU376" s="25"/>
      <c r="BV376" s="25"/>
    </row>
    <row r="377" spans="1:74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25"/>
      <c r="BS377" s="25"/>
      <c r="BT377" s="25"/>
      <c r="BU377" s="25"/>
      <c r="BV377" s="25"/>
    </row>
    <row r="378" spans="1:74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25"/>
      <c r="BS378" s="25"/>
      <c r="BT378" s="25"/>
      <c r="BU378" s="25"/>
      <c r="BV378" s="25"/>
    </row>
    <row r="379" spans="1:74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25"/>
      <c r="BS379" s="25"/>
      <c r="BT379" s="25"/>
      <c r="BU379" s="25"/>
      <c r="BV379" s="25"/>
    </row>
    <row r="380" spans="1:74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25"/>
      <c r="BS380" s="25"/>
      <c r="BT380" s="25"/>
      <c r="BU380" s="25"/>
      <c r="BV380" s="25"/>
    </row>
    <row r="381" spans="1:74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25"/>
      <c r="BS381" s="25"/>
      <c r="BT381" s="25"/>
      <c r="BU381" s="25"/>
      <c r="BV381" s="25"/>
    </row>
    <row r="382" spans="1:74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25"/>
      <c r="BS382" s="25"/>
      <c r="BT382" s="25"/>
      <c r="BU382" s="25"/>
      <c r="BV382" s="25"/>
    </row>
    <row r="383" spans="1:74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25"/>
      <c r="BS383" s="25"/>
      <c r="BT383" s="25"/>
      <c r="BU383" s="25"/>
      <c r="BV383" s="25"/>
    </row>
    <row r="384" spans="1:7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25"/>
      <c r="BS384" s="25"/>
      <c r="BT384" s="25"/>
      <c r="BU384" s="25"/>
      <c r="BV384" s="25"/>
    </row>
    <row r="385" spans="1:74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25"/>
      <c r="BS385" s="25"/>
      <c r="BT385" s="25"/>
      <c r="BU385" s="25"/>
      <c r="BV385" s="25"/>
    </row>
    <row r="386" spans="1:74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25"/>
      <c r="BS386" s="25"/>
      <c r="BT386" s="25"/>
      <c r="BU386" s="25"/>
      <c r="BV386" s="25"/>
    </row>
    <row r="387" spans="1:74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25"/>
      <c r="BS387" s="25"/>
      <c r="BT387" s="25"/>
      <c r="BU387" s="25"/>
      <c r="BV387" s="25"/>
    </row>
    <row r="388" spans="1:74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25"/>
      <c r="BS388" s="25"/>
      <c r="BT388" s="25"/>
      <c r="BU388" s="25"/>
      <c r="BV388" s="25"/>
    </row>
    <row r="389" spans="1:74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25"/>
      <c r="BS389" s="25"/>
      <c r="BT389" s="25"/>
      <c r="BU389" s="25"/>
      <c r="BV389" s="25"/>
    </row>
    <row r="390" spans="1:74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25"/>
      <c r="BS390" s="25"/>
      <c r="BT390" s="25"/>
      <c r="BU390" s="25"/>
      <c r="BV390" s="25"/>
    </row>
    <row r="391" spans="1:74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25"/>
      <c r="BS391" s="25"/>
      <c r="BT391" s="25"/>
      <c r="BU391" s="25"/>
      <c r="BV391" s="25"/>
    </row>
    <row r="392" spans="1:74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25"/>
      <c r="BS392" s="25"/>
      <c r="BT392" s="25"/>
      <c r="BU392" s="25"/>
      <c r="BV392" s="25"/>
    </row>
    <row r="393" spans="1:74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25"/>
      <c r="BS393" s="25"/>
      <c r="BT393" s="25"/>
      <c r="BU393" s="25"/>
      <c r="BV393" s="25"/>
    </row>
    <row r="394" spans="1:7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25"/>
      <c r="BS394" s="25"/>
      <c r="BT394" s="25"/>
      <c r="BU394" s="25"/>
      <c r="BV394" s="25"/>
    </row>
    <row r="395" spans="1:74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25"/>
      <c r="BS395" s="25"/>
      <c r="BT395" s="25"/>
      <c r="BU395" s="25"/>
      <c r="BV395" s="25"/>
    </row>
    <row r="396" spans="1:74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25"/>
      <c r="BS396" s="25"/>
      <c r="BT396" s="25"/>
      <c r="BU396" s="25"/>
      <c r="BV396" s="25"/>
    </row>
    <row r="397" spans="1:74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25"/>
      <c r="BS397" s="25"/>
      <c r="BT397" s="25"/>
      <c r="BU397" s="25"/>
      <c r="BV397" s="25"/>
    </row>
    <row r="398" spans="1:74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25"/>
      <c r="BS398" s="25"/>
      <c r="BT398" s="25"/>
      <c r="BU398" s="25"/>
      <c r="BV398" s="25"/>
    </row>
    <row r="399" spans="1:74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25"/>
      <c r="BS399" s="25"/>
      <c r="BT399" s="25"/>
      <c r="BU399" s="25"/>
      <c r="BV399" s="25"/>
    </row>
    <row r="400" spans="1:74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25"/>
      <c r="BS400" s="25"/>
      <c r="BT400" s="25"/>
      <c r="BU400" s="25"/>
      <c r="BV400" s="25"/>
    </row>
    <row r="401" spans="1:74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25"/>
      <c r="BS401" s="25"/>
      <c r="BT401" s="25"/>
      <c r="BU401" s="25"/>
      <c r="BV401" s="25"/>
    </row>
    <row r="402" spans="1:74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25"/>
      <c r="BS402" s="25"/>
      <c r="BT402" s="25"/>
      <c r="BU402" s="25"/>
      <c r="BV402" s="25"/>
    </row>
    <row r="403" spans="1:74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25"/>
      <c r="BS403" s="25"/>
      <c r="BT403" s="25"/>
      <c r="BU403" s="25"/>
      <c r="BV403" s="25"/>
    </row>
    <row r="404" spans="1:7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25"/>
      <c r="BS404" s="25"/>
      <c r="BT404" s="25"/>
      <c r="BU404" s="25"/>
      <c r="BV404" s="25"/>
    </row>
    <row r="405" spans="1:74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25"/>
      <c r="BS405" s="25"/>
      <c r="BT405" s="25"/>
      <c r="BU405" s="25"/>
      <c r="BV405" s="25"/>
    </row>
    <row r="406" spans="1:74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25"/>
      <c r="BS406" s="25"/>
      <c r="BT406" s="25"/>
      <c r="BU406" s="25"/>
      <c r="BV406" s="25"/>
    </row>
    <row r="407" spans="1:74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25"/>
      <c r="BS407" s="25"/>
      <c r="BT407" s="25"/>
      <c r="BU407" s="25"/>
      <c r="BV407" s="25"/>
    </row>
    <row r="408" spans="1:74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25"/>
      <c r="BS408" s="25"/>
      <c r="BT408" s="25"/>
      <c r="BU408" s="25"/>
      <c r="BV408" s="25"/>
    </row>
    <row r="409" spans="1:74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25"/>
      <c r="BS409" s="25"/>
      <c r="BT409" s="25"/>
      <c r="BU409" s="25"/>
      <c r="BV409" s="25"/>
    </row>
    <row r="410" spans="1:74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25"/>
      <c r="BS410" s="25"/>
      <c r="BT410" s="25"/>
      <c r="BU410" s="25"/>
      <c r="BV410" s="25"/>
    </row>
    <row r="411" spans="1:74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25"/>
      <c r="BS411" s="25"/>
      <c r="BT411" s="25"/>
      <c r="BU411" s="25"/>
      <c r="BV411" s="25"/>
    </row>
    <row r="412" spans="1:74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25"/>
      <c r="BS412" s="25"/>
      <c r="BT412" s="25"/>
      <c r="BU412" s="25"/>
      <c r="BV412" s="25"/>
    </row>
    <row r="413" spans="1:74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25"/>
      <c r="BS413" s="25"/>
      <c r="BT413" s="25"/>
      <c r="BU413" s="25"/>
      <c r="BV413" s="25"/>
    </row>
    <row r="414" spans="1:7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25"/>
      <c r="BS414" s="25"/>
      <c r="BT414" s="25"/>
      <c r="BU414" s="25"/>
      <c r="BV414" s="25"/>
    </row>
    <row r="415" spans="1:74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25"/>
      <c r="BS415" s="25"/>
      <c r="BT415" s="25"/>
      <c r="BU415" s="25"/>
      <c r="BV415" s="25"/>
    </row>
    <row r="416" spans="1:74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25"/>
      <c r="BS416" s="25"/>
      <c r="BT416" s="25"/>
      <c r="BU416" s="25"/>
      <c r="BV416" s="25"/>
    </row>
    <row r="417" spans="1:74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25"/>
      <c r="BS417" s="25"/>
      <c r="BT417" s="25"/>
      <c r="BU417" s="25"/>
      <c r="BV417" s="25"/>
    </row>
    <row r="418" spans="1:74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25"/>
      <c r="BS418" s="25"/>
      <c r="BT418" s="25"/>
      <c r="BU418" s="25"/>
      <c r="BV418" s="25"/>
    </row>
    <row r="419" spans="1:74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25"/>
      <c r="BS419" s="25"/>
      <c r="BT419" s="25"/>
      <c r="BU419" s="25"/>
      <c r="BV419" s="25"/>
    </row>
    <row r="420" spans="1:74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25"/>
      <c r="BS420" s="25"/>
      <c r="BT420" s="25"/>
      <c r="BU420" s="25"/>
      <c r="BV420" s="25"/>
    </row>
    <row r="421" spans="1:74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25"/>
      <c r="BS421" s="25"/>
      <c r="BT421" s="25"/>
      <c r="BU421" s="25"/>
      <c r="BV421" s="25"/>
    </row>
    <row r="422" spans="1:74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25"/>
      <c r="BS422" s="25"/>
      <c r="BT422" s="25"/>
      <c r="BU422" s="25"/>
      <c r="BV422" s="25"/>
    </row>
    <row r="423" spans="1:74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25"/>
      <c r="BS423" s="25"/>
      <c r="BT423" s="25"/>
      <c r="BU423" s="25"/>
      <c r="BV423" s="25"/>
    </row>
    <row r="424" spans="1:7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25"/>
      <c r="BS424" s="25"/>
      <c r="BT424" s="25"/>
      <c r="BU424" s="25"/>
      <c r="BV424" s="25"/>
    </row>
    <row r="425" spans="1:74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25"/>
      <c r="BS425" s="25"/>
      <c r="BT425" s="25"/>
      <c r="BU425" s="25"/>
      <c r="BV425" s="25"/>
    </row>
    <row r="426" spans="1:74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25"/>
      <c r="BS426" s="25"/>
      <c r="BT426" s="25"/>
      <c r="BU426" s="25"/>
      <c r="BV426" s="25"/>
    </row>
    <row r="427" spans="1:74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25"/>
      <c r="BS427" s="25"/>
      <c r="BT427" s="25"/>
      <c r="BU427" s="25"/>
      <c r="BV427" s="25"/>
    </row>
    <row r="428" spans="1:74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25"/>
      <c r="BS428" s="25"/>
      <c r="BT428" s="25"/>
      <c r="BU428" s="25"/>
      <c r="BV428" s="25"/>
    </row>
    <row r="429" spans="1:74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25"/>
      <c r="BS429" s="25"/>
      <c r="BT429" s="25"/>
      <c r="BU429" s="25"/>
      <c r="BV429" s="25"/>
    </row>
    <row r="430" spans="1:74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25"/>
      <c r="BS430" s="25"/>
      <c r="BT430" s="25"/>
      <c r="BU430" s="25"/>
      <c r="BV430" s="25"/>
    </row>
    <row r="431" spans="1:74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25"/>
      <c r="BS431" s="25"/>
      <c r="BT431" s="25"/>
      <c r="BU431" s="25"/>
      <c r="BV431" s="25"/>
    </row>
    <row r="432" spans="1:74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25"/>
      <c r="BS432" s="25"/>
      <c r="BT432" s="25"/>
      <c r="BU432" s="25"/>
      <c r="BV432" s="25"/>
    </row>
    <row r="433" spans="1:74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25"/>
      <c r="BS433" s="25"/>
      <c r="BT433" s="25"/>
      <c r="BU433" s="25"/>
      <c r="BV433" s="25"/>
    </row>
    <row r="434" spans="1:7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25"/>
      <c r="BS434" s="25"/>
      <c r="BT434" s="25"/>
      <c r="BU434" s="25"/>
      <c r="BV434" s="25"/>
    </row>
    <row r="435" spans="1:74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25"/>
      <c r="BS435" s="25"/>
      <c r="BT435" s="25"/>
      <c r="BU435" s="25"/>
      <c r="BV435" s="25"/>
    </row>
    <row r="436" spans="1:74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25"/>
      <c r="BS436" s="25"/>
      <c r="BT436" s="25"/>
      <c r="BU436" s="25"/>
      <c r="BV436" s="25"/>
    </row>
    <row r="437" spans="1:74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25"/>
      <c r="BS437" s="25"/>
      <c r="BT437" s="25"/>
      <c r="BU437" s="25"/>
      <c r="BV437" s="25"/>
    </row>
    <row r="438" spans="1:74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25"/>
      <c r="BS438" s="25"/>
      <c r="BT438" s="25"/>
      <c r="BU438" s="25"/>
      <c r="BV438" s="25"/>
    </row>
    <row r="439" spans="1:74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25"/>
      <c r="BS439" s="25"/>
      <c r="BT439" s="25"/>
      <c r="BU439" s="25"/>
      <c r="BV439" s="25"/>
    </row>
    <row r="440" spans="1:74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25"/>
      <c r="BS440" s="25"/>
      <c r="BT440" s="25"/>
      <c r="BU440" s="25"/>
      <c r="BV440" s="25"/>
    </row>
    <row r="441" spans="1:74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25"/>
      <c r="BS441" s="25"/>
      <c r="BT441" s="25"/>
      <c r="BU441" s="25"/>
      <c r="BV441" s="25"/>
    </row>
    <row r="442" spans="1:74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/>
      <c r="BP442" s="3"/>
      <c r="BQ442" s="3"/>
      <c r="BR442" s="25"/>
      <c r="BS442" s="25"/>
      <c r="BT442" s="25"/>
      <c r="BU442" s="25"/>
      <c r="BV442" s="25"/>
    </row>
    <row r="443" spans="1:74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/>
      <c r="BP443" s="3"/>
      <c r="BQ443" s="3"/>
      <c r="BR443" s="25"/>
      <c r="BS443" s="25"/>
      <c r="BT443" s="25"/>
      <c r="BU443" s="25"/>
      <c r="BV443" s="25"/>
    </row>
    <row r="444" spans="1:7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25"/>
      <c r="BS444" s="25"/>
      <c r="BT444" s="25"/>
      <c r="BU444" s="25"/>
      <c r="BV444" s="25"/>
    </row>
    <row r="445" spans="1:74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25"/>
      <c r="BS445" s="25"/>
      <c r="BT445" s="25"/>
      <c r="BU445" s="25"/>
      <c r="BV445" s="25"/>
    </row>
    <row r="446" spans="1:74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25"/>
      <c r="BS446" s="25"/>
      <c r="BT446" s="25"/>
      <c r="BU446" s="25"/>
      <c r="BV446" s="25"/>
    </row>
    <row r="447" spans="1:74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25"/>
      <c r="BS447" s="25"/>
      <c r="BT447" s="25"/>
      <c r="BU447" s="25"/>
      <c r="BV447" s="25"/>
    </row>
    <row r="448" spans="1:74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25"/>
      <c r="BS448" s="25"/>
      <c r="BT448" s="25"/>
      <c r="BU448" s="25"/>
      <c r="BV448" s="25"/>
    </row>
    <row r="449" spans="1:74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25"/>
      <c r="BS449" s="25"/>
      <c r="BT449" s="25"/>
      <c r="BU449" s="25"/>
      <c r="BV449" s="25"/>
    </row>
    <row r="450" spans="1:74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25"/>
      <c r="BS450" s="25"/>
      <c r="BT450" s="25"/>
      <c r="BU450" s="25"/>
      <c r="BV450" s="25"/>
    </row>
    <row r="451" spans="1:74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25"/>
      <c r="BS451" s="25"/>
      <c r="BT451" s="25"/>
      <c r="BU451" s="25"/>
      <c r="BV451" s="25"/>
    </row>
    <row r="452" spans="1:74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25"/>
      <c r="BS452" s="25"/>
      <c r="BT452" s="25"/>
      <c r="BU452" s="25"/>
      <c r="BV452" s="25"/>
    </row>
    <row r="453" spans="1:74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25"/>
      <c r="BS453" s="25"/>
      <c r="BT453" s="25"/>
      <c r="BU453" s="25"/>
      <c r="BV453" s="25"/>
    </row>
    <row r="454" spans="1:7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25"/>
      <c r="BS454" s="25"/>
      <c r="BT454" s="25"/>
      <c r="BU454" s="25"/>
      <c r="BV454" s="25"/>
    </row>
    <row r="455" spans="1:74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25"/>
      <c r="BS455" s="25"/>
      <c r="BT455" s="25"/>
      <c r="BU455" s="25"/>
      <c r="BV455" s="25"/>
    </row>
    <row r="456" spans="1:74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25"/>
      <c r="BS456" s="25"/>
      <c r="BT456" s="25"/>
      <c r="BU456" s="25"/>
      <c r="BV456" s="25"/>
    </row>
    <row r="457" spans="1:74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25"/>
      <c r="BS457" s="25"/>
      <c r="BT457" s="25"/>
      <c r="BU457" s="25"/>
      <c r="BV457" s="25"/>
    </row>
    <row r="458" spans="1:74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25"/>
      <c r="BS458" s="25"/>
      <c r="BT458" s="25"/>
      <c r="BU458" s="25"/>
      <c r="BV458" s="25"/>
    </row>
    <row r="459" spans="1:74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25"/>
      <c r="BS459" s="25"/>
      <c r="BT459" s="25"/>
      <c r="BU459" s="25"/>
      <c r="BV459" s="25"/>
    </row>
    <row r="460" spans="1:74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25"/>
      <c r="BS460" s="25"/>
      <c r="BT460" s="25"/>
      <c r="BU460" s="25"/>
      <c r="BV460" s="25"/>
    </row>
    <row r="461" spans="1:74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25"/>
      <c r="BS461" s="25"/>
      <c r="BT461" s="25"/>
      <c r="BU461" s="25"/>
      <c r="BV461" s="25"/>
    </row>
    <row r="462" spans="1:74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25"/>
      <c r="BS462" s="25"/>
      <c r="BT462" s="25"/>
      <c r="BU462" s="25"/>
      <c r="BV462" s="25"/>
    </row>
    <row r="463" spans="1:74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25"/>
      <c r="BS463" s="25"/>
      <c r="BT463" s="25"/>
      <c r="BU463" s="25"/>
      <c r="BV463" s="25"/>
    </row>
    <row r="464" spans="1:7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25"/>
      <c r="BS464" s="25"/>
      <c r="BT464" s="25"/>
      <c r="BU464" s="25"/>
      <c r="BV464" s="25"/>
    </row>
    <row r="465" spans="1:74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25"/>
      <c r="BS465" s="25"/>
      <c r="BT465" s="25"/>
      <c r="BU465" s="25"/>
      <c r="BV465" s="25"/>
    </row>
    <row r="466" spans="1:74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25"/>
      <c r="BS466" s="25"/>
      <c r="BT466" s="25"/>
      <c r="BU466" s="25"/>
      <c r="BV466" s="25"/>
    </row>
    <row r="467" spans="1:74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25"/>
      <c r="BS467" s="25"/>
      <c r="BT467" s="25"/>
      <c r="BU467" s="25"/>
      <c r="BV467" s="25"/>
    </row>
    <row r="468" spans="1:74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25"/>
      <c r="BS468" s="25"/>
      <c r="BT468" s="25"/>
      <c r="BU468" s="25"/>
      <c r="BV468" s="25"/>
    </row>
    <row r="469" spans="1:74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25"/>
      <c r="BS469" s="25"/>
      <c r="BT469" s="25"/>
      <c r="BU469" s="25"/>
      <c r="BV469" s="25"/>
    </row>
    <row r="470" spans="1:74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25"/>
      <c r="BS470" s="25"/>
      <c r="BT470" s="25"/>
      <c r="BU470" s="25"/>
      <c r="BV470" s="25"/>
    </row>
    <row r="471" spans="1:74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25"/>
      <c r="BS471" s="25"/>
      <c r="BT471" s="25"/>
      <c r="BU471" s="25"/>
      <c r="BV471" s="25"/>
    </row>
    <row r="472" spans="1:74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25"/>
      <c r="BS472" s="25"/>
      <c r="BT472" s="25"/>
      <c r="BU472" s="25"/>
      <c r="BV472" s="25"/>
    </row>
    <row r="473" spans="1:74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25"/>
      <c r="BS473" s="25"/>
      <c r="BT473" s="25"/>
      <c r="BU473" s="25"/>
      <c r="BV473" s="25"/>
    </row>
    <row r="474" spans="1: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25"/>
      <c r="BS474" s="25"/>
      <c r="BT474" s="25"/>
      <c r="BU474" s="25"/>
      <c r="BV474" s="25"/>
    </row>
    <row r="475" spans="1:74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25"/>
      <c r="BS475" s="25"/>
      <c r="BT475" s="25"/>
      <c r="BU475" s="25"/>
      <c r="BV475" s="25"/>
    </row>
    <row r="476" spans="1:74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25"/>
      <c r="BS476" s="25"/>
      <c r="BT476" s="25"/>
      <c r="BU476" s="25"/>
      <c r="BV476" s="25"/>
    </row>
    <row r="477" spans="1:74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25"/>
      <c r="BS477" s="25"/>
      <c r="BT477" s="25"/>
      <c r="BU477" s="25"/>
      <c r="BV477" s="25"/>
    </row>
    <row r="478" spans="1:74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25"/>
      <c r="BS478" s="25"/>
      <c r="BT478" s="25"/>
      <c r="BU478" s="25"/>
      <c r="BV478" s="25"/>
    </row>
    <row r="479" spans="1:74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25"/>
      <c r="BS479" s="25"/>
      <c r="BT479" s="25"/>
      <c r="BU479" s="25"/>
      <c r="BV479" s="25"/>
    </row>
    <row r="480" spans="1:74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25"/>
      <c r="BS480" s="25"/>
      <c r="BT480" s="25"/>
      <c r="BU480" s="25"/>
      <c r="BV480" s="25"/>
    </row>
    <row r="481" spans="1:74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25"/>
      <c r="BS481" s="25"/>
      <c r="BT481" s="25"/>
      <c r="BU481" s="25"/>
      <c r="BV481" s="25"/>
    </row>
    <row r="482" spans="1:74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25"/>
      <c r="BS482" s="25"/>
      <c r="BT482" s="25"/>
      <c r="BU482" s="25"/>
      <c r="BV482" s="25"/>
    </row>
    <row r="483" spans="1:74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25"/>
      <c r="BS483" s="25"/>
      <c r="BT483" s="25"/>
      <c r="BU483" s="25"/>
      <c r="BV483" s="25"/>
    </row>
    <row r="484" spans="1:7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25"/>
      <c r="BS484" s="25"/>
      <c r="BT484" s="25"/>
      <c r="BU484" s="25"/>
      <c r="BV484" s="25"/>
    </row>
    <row r="485" spans="1:74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25"/>
      <c r="BS485" s="25"/>
      <c r="BT485" s="25"/>
      <c r="BU485" s="25"/>
      <c r="BV485" s="25"/>
    </row>
    <row r="486" spans="1:74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25"/>
      <c r="BS486" s="25"/>
      <c r="BT486" s="25"/>
      <c r="BU486" s="25"/>
      <c r="BV486" s="25"/>
    </row>
    <row r="487" spans="1:74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25"/>
      <c r="BS487" s="25"/>
      <c r="BT487" s="25"/>
      <c r="BU487" s="25"/>
      <c r="BV487" s="25"/>
    </row>
    <row r="488" spans="1:74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25"/>
      <c r="BS488" s="25"/>
      <c r="BT488" s="25"/>
      <c r="BU488" s="25"/>
      <c r="BV488" s="25"/>
    </row>
    <row r="489" spans="1:74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25"/>
      <c r="BS489" s="25"/>
      <c r="BT489" s="25"/>
      <c r="BU489" s="25"/>
      <c r="BV489" s="25"/>
    </row>
    <row r="490" spans="1:74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25"/>
      <c r="BS490" s="25"/>
      <c r="BT490" s="25"/>
      <c r="BU490" s="25"/>
      <c r="BV490" s="25"/>
    </row>
    <row r="491" spans="1:74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25"/>
      <c r="BS491" s="25"/>
      <c r="BT491" s="25"/>
      <c r="BU491" s="25"/>
      <c r="BV491" s="25"/>
    </row>
    <row r="492" spans="1:74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25"/>
      <c r="BS492" s="25"/>
      <c r="BT492" s="25"/>
      <c r="BU492" s="25"/>
      <c r="BV492" s="25"/>
    </row>
    <row r="493" spans="1:74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25"/>
      <c r="BS493" s="25"/>
      <c r="BT493" s="25"/>
      <c r="BU493" s="25"/>
      <c r="BV493" s="25"/>
    </row>
    <row r="494" spans="1:7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/>
      <c r="BP494" s="3"/>
      <c r="BQ494" s="3"/>
      <c r="BR494" s="25"/>
      <c r="BS494" s="25"/>
      <c r="BT494" s="25"/>
      <c r="BU494" s="25"/>
      <c r="BV494" s="25"/>
    </row>
    <row r="495" spans="1:74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25"/>
      <c r="BS495" s="25"/>
      <c r="BT495" s="25"/>
      <c r="BU495" s="25"/>
      <c r="BV495" s="25"/>
    </row>
    <row r="496" spans="1:74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25"/>
      <c r="BS496" s="25"/>
      <c r="BT496" s="25"/>
      <c r="BU496" s="25"/>
      <c r="BV496" s="25"/>
    </row>
    <row r="497" spans="1:74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25"/>
      <c r="BS497" s="25"/>
      <c r="BT497" s="25"/>
      <c r="BU497" s="25"/>
      <c r="BV497" s="25"/>
    </row>
    <row r="498" spans="1:74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25"/>
      <c r="BS498" s="25"/>
      <c r="BT498" s="25"/>
      <c r="BU498" s="25"/>
      <c r="BV498" s="25"/>
    </row>
    <row r="499" spans="1:74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25"/>
      <c r="BS499" s="25"/>
      <c r="BT499" s="25"/>
      <c r="BU499" s="25"/>
      <c r="BV499" s="25"/>
    </row>
    <row r="500" spans="1:74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25"/>
      <c r="BS500" s="25"/>
      <c r="BT500" s="25"/>
      <c r="BU500" s="25"/>
      <c r="BV500" s="25"/>
    </row>
    <row r="501" spans="1:74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25"/>
      <c r="BS501" s="25"/>
      <c r="BT501" s="25"/>
      <c r="BU501" s="25"/>
      <c r="BV501" s="25"/>
    </row>
    <row r="502" spans="1:74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25"/>
      <c r="BS502" s="25"/>
      <c r="BT502" s="25"/>
      <c r="BU502" s="25"/>
      <c r="BV502" s="25"/>
    </row>
    <row r="503" spans="1:74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25"/>
      <c r="BS503" s="25"/>
      <c r="BT503" s="25"/>
      <c r="BU503" s="25"/>
      <c r="BV503" s="25"/>
    </row>
    <row r="504" spans="1:7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25"/>
      <c r="BS504" s="25"/>
      <c r="BT504" s="25"/>
      <c r="BU504" s="25"/>
      <c r="BV504" s="25"/>
    </row>
    <row r="505" spans="1:74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25"/>
      <c r="BS505" s="25"/>
      <c r="BT505" s="25"/>
      <c r="BU505" s="25"/>
      <c r="BV505" s="25"/>
    </row>
    <row r="506" spans="1:74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25"/>
      <c r="BS506" s="25"/>
      <c r="BT506" s="25"/>
      <c r="BU506" s="25"/>
      <c r="BV506" s="25"/>
    </row>
    <row r="507" spans="1:74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25"/>
      <c r="BS507" s="25"/>
      <c r="BT507" s="25"/>
      <c r="BU507" s="25"/>
      <c r="BV507" s="25"/>
    </row>
    <row r="508" spans="1:74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25"/>
      <c r="BS508" s="25"/>
      <c r="BT508" s="25"/>
      <c r="BU508" s="25"/>
      <c r="BV508" s="25"/>
    </row>
    <row r="509" spans="1:74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25"/>
      <c r="BS509" s="25"/>
      <c r="BT509" s="25"/>
      <c r="BU509" s="25"/>
      <c r="BV509" s="25"/>
    </row>
    <row r="510" spans="1:74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25"/>
      <c r="BS510" s="25"/>
      <c r="BT510" s="25"/>
      <c r="BU510" s="25"/>
      <c r="BV510" s="25"/>
    </row>
    <row r="511" spans="1:74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25"/>
      <c r="BS511" s="25"/>
      <c r="BT511" s="25"/>
      <c r="BU511" s="25"/>
      <c r="BV511" s="25"/>
    </row>
    <row r="512" spans="1:74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25"/>
      <c r="BS512" s="25"/>
      <c r="BT512" s="25"/>
      <c r="BU512" s="25"/>
      <c r="BV512" s="25"/>
    </row>
    <row r="513" spans="1:74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25"/>
      <c r="BS513" s="25"/>
      <c r="BT513" s="25"/>
      <c r="BU513" s="25"/>
      <c r="BV513" s="25"/>
    </row>
    <row r="514" spans="1:7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25"/>
      <c r="BS514" s="25"/>
      <c r="BT514" s="25"/>
      <c r="BU514" s="25"/>
      <c r="BV514" s="25"/>
    </row>
    <row r="515" spans="1:74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25"/>
      <c r="BS515" s="25"/>
      <c r="BT515" s="25"/>
      <c r="BU515" s="25"/>
      <c r="BV515" s="25"/>
    </row>
    <row r="516" spans="1:74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25"/>
      <c r="BS516" s="25"/>
      <c r="BT516" s="25"/>
      <c r="BU516" s="25"/>
      <c r="BV516" s="25"/>
    </row>
    <row r="517" spans="1:74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25"/>
      <c r="BS517" s="25"/>
      <c r="BT517" s="25"/>
      <c r="BU517" s="25"/>
      <c r="BV517" s="25"/>
    </row>
    <row r="518" spans="1:74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25"/>
      <c r="BS518" s="25"/>
      <c r="BT518" s="25"/>
      <c r="BU518" s="25"/>
      <c r="BV518" s="25"/>
    </row>
    <row r="519" spans="1:74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25"/>
      <c r="BS519" s="25"/>
      <c r="BT519" s="25"/>
      <c r="BU519" s="25"/>
      <c r="BV519" s="25"/>
    </row>
    <row r="520" spans="1:74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/>
      <c r="BP520" s="3"/>
      <c r="BQ520" s="3"/>
      <c r="BR520" s="25"/>
      <c r="BS520" s="25"/>
      <c r="BT520" s="25"/>
      <c r="BU520" s="25"/>
      <c r="BV520" s="25"/>
    </row>
    <row r="521" spans="1:74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25"/>
      <c r="BS521" s="25"/>
      <c r="BT521" s="25"/>
      <c r="BU521" s="25"/>
      <c r="BV521" s="25"/>
    </row>
    <row r="522" spans="1:74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25"/>
      <c r="BS522" s="25"/>
      <c r="BT522" s="25"/>
      <c r="BU522" s="25"/>
      <c r="BV522" s="25"/>
    </row>
    <row r="523" spans="1:74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25"/>
      <c r="BS523" s="25"/>
      <c r="BT523" s="25"/>
      <c r="BU523" s="25"/>
      <c r="BV523" s="25"/>
    </row>
    <row r="524" spans="1:7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25"/>
      <c r="BS524" s="25"/>
      <c r="BT524" s="25"/>
      <c r="BU524" s="25"/>
      <c r="BV524" s="25"/>
    </row>
    <row r="525" spans="1:74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25"/>
      <c r="BS525" s="25"/>
      <c r="BT525" s="25"/>
      <c r="BU525" s="25"/>
      <c r="BV525" s="25"/>
    </row>
    <row r="526" spans="1:74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25"/>
      <c r="BS526" s="25"/>
      <c r="BT526" s="25"/>
      <c r="BU526" s="25"/>
      <c r="BV526" s="25"/>
    </row>
    <row r="527" spans="1:74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25"/>
      <c r="BS527" s="25"/>
      <c r="BT527" s="25"/>
      <c r="BU527" s="25"/>
      <c r="BV527" s="25"/>
    </row>
    <row r="528" spans="1:74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25"/>
      <c r="BS528" s="25"/>
      <c r="BT528" s="25"/>
      <c r="BU528" s="25"/>
      <c r="BV528" s="25"/>
    </row>
    <row r="529" spans="1:74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25"/>
      <c r="BS529" s="25"/>
      <c r="BT529" s="25"/>
      <c r="BU529" s="25"/>
      <c r="BV529" s="25"/>
    </row>
    <row r="530" spans="1:74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25"/>
      <c r="BS530" s="25"/>
      <c r="BT530" s="25"/>
      <c r="BU530" s="25"/>
      <c r="BV530" s="25"/>
    </row>
    <row r="531" spans="1:74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25"/>
      <c r="BS531" s="25"/>
      <c r="BT531" s="25"/>
      <c r="BU531" s="25"/>
      <c r="BV531" s="25"/>
    </row>
    <row r="532" spans="1:74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25"/>
      <c r="BS532" s="25"/>
      <c r="BT532" s="25"/>
      <c r="BU532" s="25"/>
      <c r="BV532" s="25"/>
    </row>
    <row r="533" spans="1:74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25"/>
      <c r="BS533" s="25"/>
      <c r="BT533" s="25"/>
      <c r="BU533" s="25"/>
      <c r="BV533" s="25"/>
    </row>
    <row r="534" spans="1:7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25"/>
      <c r="BS534" s="25"/>
      <c r="BT534" s="25"/>
      <c r="BU534" s="25"/>
      <c r="BV534" s="25"/>
    </row>
    <row r="535" spans="1:74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25"/>
      <c r="BS535" s="25"/>
      <c r="BT535" s="25"/>
      <c r="BU535" s="25"/>
      <c r="BV535" s="25"/>
    </row>
    <row r="536" spans="1:74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25"/>
      <c r="BS536" s="25"/>
      <c r="BT536" s="25"/>
      <c r="BU536" s="25"/>
      <c r="BV536" s="25"/>
    </row>
    <row r="537" spans="1:74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25"/>
      <c r="BS537" s="25"/>
      <c r="BT537" s="25"/>
      <c r="BU537" s="25"/>
      <c r="BV537" s="25"/>
    </row>
    <row r="538" spans="1:74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25"/>
      <c r="BS538" s="25"/>
      <c r="BT538" s="25"/>
      <c r="BU538" s="25"/>
      <c r="BV538" s="25"/>
    </row>
    <row r="539" spans="1:74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25"/>
      <c r="BS539" s="25"/>
      <c r="BT539" s="25"/>
      <c r="BU539" s="25"/>
      <c r="BV539" s="25"/>
    </row>
    <row r="540" spans="1:74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25"/>
      <c r="BS540" s="25"/>
      <c r="BT540" s="25"/>
      <c r="BU540" s="25"/>
      <c r="BV540" s="25"/>
    </row>
    <row r="541" spans="1:74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25"/>
      <c r="BS541" s="25"/>
      <c r="BT541" s="25"/>
      <c r="BU541" s="25"/>
      <c r="BV541" s="25"/>
    </row>
    <row r="542" spans="1:74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25"/>
      <c r="BS542" s="25"/>
      <c r="BT542" s="25"/>
      <c r="BU542" s="25"/>
      <c r="BV542" s="25"/>
    </row>
    <row r="543" spans="1:74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25"/>
      <c r="BS543" s="25"/>
      <c r="BT543" s="25"/>
      <c r="BU543" s="25"/>
      <c r="BV543" s="25"/>
    </row>
    <row r="544" spans="1:7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25"/>
      <c r="BS544" s="25"/>
      <c r="BT544" s="25"/>
      <c r="BU544" s="25"/>
      <c r="BV544" s="25"/>
    </row>
    <row r="545" spans="1:74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25"/>
      <c r="BS545" s="25"/>
      <c r="BT545" s="25"/>
      <c r="BU545" s="25"/>
      <c r="BV545" s="25"/>
    </row>
    <row r="546" spans="1:74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/>
      <c r="BP546" s="3"/>
      <c r="BQ546" s="3"/>
      <c r="BR546" s="25"/>
      <c r="BS546" s="25"/>
      <c r="BT546" s="25"/>
      <c r="BU546" s="25"/>
      <c r="BV546" s="25"/>
    </row>
    <row r="547" spans="1:74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/>
      <c r="BP547" s="3"/>
      <c r="BQ547" s="3"/>
      <c r="BR547" s="25"/>
      <c r="BS547" s="25"/>
      <c r="BT547" s="25"/>
      <c r="BU547" s="25"/>
      <c r="BV547" s="25"/>
    </row>
    <row r="548" spans="1:74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25"/>
      <c r="BS548" s="25"/>
      <c r="BT548" s="25"/>
      <c r="BU548" s="25"/>
      <c r="BV548" s="25"/>
    </row>
    <row r="549" spans="1:74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25"/>
      <c r="BS549" s="25"/>
      <c r="BT549" s="25"/>
      <c r="BU549" s="25"/>
      <c r="BV549" s="25"/>
    </row>
    <row r="550" spans="1:74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25"/>
      <c r="BS550" s="25"/>
      <c r="BT550" s="25"/>
      <c r="BU550" s="25"/>
      <c r="BV550" s="25"/>
    </row>
    <row r="551" spans="1:74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25"/>
      <c r="BS551" s="25"/>
      <c r="BT551" s="25"/>
      <c r="BU551" s="25"/>
      <c r="BV551" s="25"/>
    </row>
    <row r="552" spans="1:74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25"/>
      <c r="BS552" s="25"/>
      <c r="BT552" s="25"/>
      <c r="BU552" s="25"/>
      <c r="BV552" s="25"/>
    </row>
    <row r="553" spans="1:74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25"/>
      <c r="BS553" s="25"/>
      <c r="BT553" s="25"/>
      <c r="BU553" s="25"/>
      <c r="BV553" s="25"/>
    </row>
    <row r="554" spans="1:7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25"/>
      <c r="BS554" s="25"/>
      <c r="BT554" s="25"/>
      <c r="BU554" s="25"/>
      <c r="BV554" s="25"/>
    </row>
    <row r="555" spans="1:74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25"/>
      <c r="BS555" s="25"/>
      <c r="BT555" s="25"/>
      <c r="BU555" s="25"/>
      <c r="BV555" s="25"/>
    </row>
    <row r="556" spans="1:74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25"/>
      <c r="BS556" s="25"/>
      <c r="BT556" s="25"/>
      <c r="BU556" s="25"/>
      <c r="BV556" s="25"/>
    </row>
    <row r="557" spans="1:74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25"/>
      <c r="BS557" s="25"/>
      <c r="BT557" s="25"/>
      <c r="BU557" s="25"/>
      <c r="BV557" s="25"/>
    </row>
    <row r="558" spans="1:74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25"/>
      <c r="BS558" s="25"/>
      <c r="BT558" s="25"/>
      <c r="BU558" s="25"/>
      <c r="BV558" s="25"/>
    </row>
    <row r="559" spans="1:74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25"/>
      <c r="BS559" s="25"/>
      <c r="BT559" s="25"/>
      <c r="BU559" s="25"/>
      <c r="BV559" s="25"/>
    </row>
    <row r="560" spans="1:74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25"/>
      <c r="BS560" s="25"/>
      <c r="BT560" s="25"/>
      <c r="BU560" s="25"/>
      <c r="BV560" s="25"/>
    </row>
    <row r="561" spans="1:74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25"/>
      <c r="BS561" s="25"/>
      <c r="BT561" s="25"/>
      <c r="BU561" s="25"/>
      <c r="BV561" s="25"/>
    </row>
    <row r="562" spans="1:74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25"/>
      <c r="BS562" s="25"/>
      <c r="BT562" s="25"/>
      <c r="BU562" s="25"/>
      <c r="BV562" s="25"/>
    </row>
    <row r="563" spans="1:74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25"/>
      <c r="BS563" s="25"/>
      <c r="BT563" s="25"/>
      <c r="BU563" s="25"/>
      <c r="BV563" s="25"/>
    </row>
    <row r="564" spans="1:7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25"/>
      <c r="BS564" s="25"/>
      <c r="BT564" s="25"/>
      <c r="BU564" s="25"/>
      <c r="BV564" s="25"/>
    </row>
    <row r="565" spans="1:74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25"/>
      <c r="BS565" s="25"/>
      <c r="BT565" s="25"/>
      <c r="BU565" s="25"/>
      <c r="BV565" s="25"/>
    </row>
    <row r="566" spans="1:74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25"/>
      <c r="BS566" s="25"/>
      <c r="BT566" s="25"/>
      <c r="BU566" s="25"/>
      <c r="BV566" s="25"/>
    </row>
    <row r="567" spans="1:74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25"/>
      <c r="BS567" s="25"/>
      <c r="BT567" s="25"/>
      <c r="BU567" s="25"/>
      <c r="BV567" s="25"/>
    </row>
    <row r="568" spans="1:74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25"/>
      <c r="BS568" s="25"/>
      <c r="BT568" s="25"/>
      <c r="BU568" s="25"/>
      <c r="BV568" s="25"/>
    </row>
    <row r="569" spans="1:74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25"/>
      <c r="BS569" s="25"/>
      <c r="BT569" s="25"/>
      <c r="BU569" s="25"/>
      <c r="BV569" s="25"/>
    </row>
    <row r="570" spans="1:74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25"/>
      <c r="BS570" s="25"/>
      <c r="BT570" s="25"/>
      <c r="BU570" s="25"/>
      <c r="BV570" s="25"/>
    </row>
    <row r="571" spans="1:74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25"/>
      <c r="BS571" s="25"/>
      <c r="BT571" s="25"/>
      <c r="BU571" s="25"/>
      <c r="BV571" s="25"/>
    </row>
    <row r="572" spans="1:74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/>
      <c r="BP572" s="3"/>
      <c r="BQ572" s="3"/>
      <c r="BR572" s="25"/>
      <c r="BS572" s="25"/>
      <c r="BT572" s="25"/>
      <c r="BU572" s="25"/>
      <c r="BV572" s="25"/>
    </row>
    <row r="573" spans="1:74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/>
      <c r="BP573" s="3"/>
      <c r="BQ573" s="3"/>
      <c r="BR573" s="25"/>
      <c r="BS573" s="25"/>
      <c r="BT573" s="25"/>
      <c r="BU573" s="25"/>
      <c r="BV573" s="25"/>
    </row>
    <row r="574" spans="1: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25"/>
      <c r="BS574" s="25"/>
      <c r="BT574" s="25"/>
      <c r="BU574" s="25"/>
      <c r="BV574" s="25"/>
    </row>
    <row r="575" spans="1:74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25"/>
      <c r="BS575" s="25"/>
      <c r="BT575" s="25"/>
      <c r="BU575" s="25"/>
      <c r="BV575" s="25"/>
    </row>
    <row r="576" spans="1:74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25"/>
      <c r="BS576" s="25"/>
      <c r="BT576" s="25"/>
      <c r="BU576" s="25"/>
      <c r="BV576" s="25"/>
    </row>
    <row r="577" spans="1:74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25"/>
      <c r="BS577" s="25"/>
      <c r="BT577" s="25"/>
      <c r="BU577" s="25"/>
      <c r="BV577" s="25"/>
    </row>
    <row r="578" spans="1:74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25"/>
      <c r="BS578" s="25"/>
      <c r="BT578" s="25"/>
      <c r="BU578" s="25"/>
      <c r="BV578" s="25"/>
    </row>
    <row r="579" spans="1:74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25"/>
      <c r="BS579" s="25"/>
      <c r="BT579" s="25"/>
      <c r="BU579" s="25"/>
      <c r="BV579" s="25"/>
    </row>
    <row r="580" spans="1:74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25"/>
      <c r="BS580" s="25"/>
      <c r="BT580" s="25"/>
      <c r="BU580" s="25"/>
      <c r="BV580" s="25"/>
    </row>
    <row r="581" spans="1:74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25"/>
      <c r="BS581" s="25"/>
      <c r="BT581" s="25"/>
      <c r="BU581" s="25"/>
      <c r="BV581" s="25"/>
    </row>
    <row r="582" spans="1:74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25"/>
      <c r="BS582" s="25"/>
      <c r="BT582" s="25"/>
      <c r="BU582" s="25"/>
      <c r="BV582" s="25"/>
    </row>
    <row r="583" spans="1:74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25"/>
      <c r="BS583" s="25"/>
      <c r="BT583" s="25"/>
      <c r="BU583" s="25"/>
      <c r="BV583" s="25"/>
    </row>
    <row r="584" spans="1:7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25"/>
      <c r="BS584" s="25"/>
      <c r="BT584" s="25"/>
      <c r="BU584" s="25"/>
      <c r="BV584" s="25"/>
    </row>
    <row r="585" spans="1:74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25"/>
      <c r="BS585" s="25"/>
      <c r="BT585" s="25"/>
      <c r="BU585" s="25"/>
      <c r="BV585" s="25"/>
    </row>
    <row r="586" spans="1:74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25"/>
      <c r="BS586" s="25"/>
      <c r="BT586" s="25"/>
      <c r="BU586" s="25"/>
      <c r="BV586" s="25"/>
    </row>
    <row r="587" spans="1:74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25"/>
      <c r="BS587" s="25"/>
      <c r="BT587" s="25"/>
      <c r="BU587" s="25"/>
      <c r="BV587" s="25"/>
    </row>
    <row r="588" spans="1:74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25"/>
      <c r="BS588" s="25"/>
      <c r="BT588" s="25"/>
      <c r="BU588" s="25"/>
      <c r="BV588" s="25"/>
    </row>
    <row r="589" spans="1:74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25"/>
      <c r="BS589" s="25"/>
      <c r="BT589" s="25"/>
      <c r="BU589" s="25"/>
      <c r="BV589" s="25"/>
    </row>
    <row r="590" spans="1:74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25"/>
      <c r="BS590" s="25"/>
      <c r="BT590" s="25"/>
      <c r="BU590" s="25"/>
      <c r="BV590" s="25"/>
    </row>
    <row r="591" spans="1:74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25"/>
      <c r="BS591" s="25"/>
      <c r="BT591" s="25"/>
      <c r="BU591" s="25"/>
      <c r="BV591" s="25"/>
    </row>
    <row r="592" spans="1:74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25"/>
      <c r="BS592" s="25"/>
      <c r="BT592" s="25"/>
      <c r="BU592" s="25"/>
      <c r="BV592" s="25"/>
    </row>
    <row r="593" spans="1:74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25"/>
      <c r="BS593" s="25"/>
      <c r="BT593" s="25"/>
      <c r="BU593" s="25"/>
      <c r="BV593" s="25"/>
    </row>
    <row r="594" spans="1:7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25"/>
      <c r="BS594" s="25"/>
      <c r="BT594" s="25"/>
      <c r="BU594" s="25"/>
      <c r="BV594" s="25"/>
    </row>
    <row r="595" spans="1:74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25"/>
      <c r="BS595" s="25"/>
      <c r="BT595" s="25"/>
      <c r="BU595" s="25"/>
      <c r="BV595" s="25"/>
    </row>
    <row r="596" spans="1:74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25"/>
      <c r="BS596" s="25"/>
      <c r="BT596" s="25"/>
      <c r="BU596" s="25"/>
      <c r="BV596" s="25"/>
    </row>
    <row r="597" spans="1:74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25"/>
      <c r="BS597" s="25"/>
      <c r="BT597" s="25"/>
      <c r="BU597" s="25"/>
      <c r="BV597" s="25"/>
    </row>
    <row r="598" spans="1:74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/>
      <c r="BP598" s="3"/>
      <c r="BQ598" s="3"/>
      <c r="BR598" s="25"/>
      <c r="BS598" s="25"/>
      <c r="BT598" s="25"/>
      <c r="BU598" s="25"/>
      <c r="BV598" s="25"/>
    </row>
    <row r="599" spans="1:74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/>
      <c r="BP599" s="3"/>
      <c r="BQ599" s="3"/>
      <c r="BR599" s="25"/>
      <c r="BS599" s="25"/>
      <c r="BT599" s="25"/>
      <c r="BU599" s="25"/>
      <c r="BV599" s="25"/>
    </row>
    <row r="600" spans="1:74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25"/>
      <c r="BS600" s="25"/>
      <c r="BT600" s="25"/>
      <c r="BU600" s="25"/>
      <c r="BV600" s="25"/>
    </row>
    <row r="601" spans="1:74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25"/>
      <c r="BS601" s="25"/>
      <c r="BT601" s="25"/>
      <c r="BU601" s="25"/>
      <c r="BV601" s="25"/>
    </row>
    <row r="602" spans="1:74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25"/>
      <c r="BS602" s="25"/>
      <c r="BT602" s="25"/>
      <c r="BU602" s="25"/>
      <c r="BV602" s="25"/>
    </row>
    <row r="603" spans="1:74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25"/>
      <c r="BS603" s="25"/>
      <c r="BT603" s="25"/>
      <c r="BU603" s="25"/>
      <c r="BV603" s="25"/>
    </row>
    <row r="604" spans="1:7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25"/>
      <c r="BS604" s="25"/>
      <c r="BT604" s="25"/>
      <c r="BU604" s="25"/>
      <c r="BV604" s="25"/>
    </row>
    <row r="605" spans="1:74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25"/>
      <c r="BS605" s="25"/>
      <c r="BT605" s="25"/>
      <c r="BU605" s="25"/>
      <c r="BV605" s="25"/>
    </row>
    <row r="606" spans="1:74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25"/>
      <c r="BS606" s="25"/>
      <c r="BT606" s="25"/>
      <c r="BU606" s="25"/>
      <c r="BV606" s="25"/>
    </row>
    <row r="607" spans="1:74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25"/>
      <c r="BS607" s="25"/>
      <c r="BT607" s="25"/>
      <c r="BU607" s="25"/>
      <c r="BV607" s="25"/>
    </row>
    <row r="608" spans="1:74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25"/>
      <c r="BS608" s="25"/>
      <c r="BT608" s="25"/>
      <c r="BU608" s="25"/>
      <c r="BV608" s="25"/>
    </row>
    <row r="609" spans="1:74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25"/>
      <c r="BS609" s="25"/>
      <c r="BT609" s="25"/>
      <c r="BU609" s="25"/>
      <c r="BV609" s="25"/>
    </row>
    <row r="610" spans="1:74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25"/>
      <c r="BS610" s="25"/>
      <c r="BT610" s="25"/>
      <c r="BU610" s="25"/>
      <c r="BV610" s="25"/>
    </row>
    <row r="611" spans="1:74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25"/>
      <c r="BS611" s="25"/>
      <c r="BT611" s="25"/>
      <c r="BU611" s="25"/>
      <c r="BV611" s="25"/>
    </row>
    <row r="612" spans="1:74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25"/>
      <c r="BS612" s="25"/>
      <c r="BT612" s="25"/>
      <c r="BU612" s="25"/>
      <c r="BV612" s="25"/>
    </row>
    <row r="613" spans="1:74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25"/>
      <c r="BS613" s="25"/>
      <c r="BT613" s="25"/>
      <c r="BU613" s="25"/>
      <c r="BV613" s="25"/>
    </row>
    <row r="614" spans="1:7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25"/>
      <c r="BS614" s="25"/>
      <c r="BT614" s="25"/>
      <c r="BU614" s="25"/>
      <c r="BV614" s="25"/>
    </row>
    <row r="615" spans="1:74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25"/>
      <c r="BS615" s="25"/>
      <c r="BT615" s="25"/>
      <c r="BU615" s="25"/>
      <c r="BV615" s="25"/>
    </row>
    <row r="616" spans="1:74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25"/>
      <c r="BS616" s="25"/>
      <c r="BT616" s="25"/>
      <c r="BU616" s="25"/>
      <c r="BV616" s="25"/>
    </row>
    <row r="617" spans="1:74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25"/>
      <c r="BS617" s="25"/>
      <c r="BT617" s="25"/>
      <c r="BU617" s="25"/>
      <c r="BV617" s="25"/>
    </row>
    <row r="618" spans="1:74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25"/>
      <c r="BS618" s="25"/>
      <c r="BT618" s="25"/>
      <c r="BU618" s="25"/>
      <c r="BV618" s="25"/>
    </row>
    <row r="619" spans="1:74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25"/>
      <c r="BS619" s="25"/>
      <c r="BT619" s="25"/>
      <c r="BU619" s="25"/>
      <c r="BV619" s="25"/>
    </row>
    <row r="620" spans="1:74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25"/>
      <c r="BS620" s="25"/>
      <c r="BT620" s="25"/>
      <c r="BU620" s="25"/>
      <c r="BV620" s="25"/>
    </row>
    <row r="621" spans="1:74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25"/>
      <c r="BS621" s="25"/>
      <c r="BT621" s="25"/>
      <c r="BU621" s="25"/>
      <c r="BV621" s="25"/>
    </row>
    <row r="622" spans="1:74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25"/>
      <c r="BS622" s="25"/>
      <c r="BT622" s="25"/>
      <c r="BU622" s="25"/>
      <c r="BV622" s="25"/>
    </row>
    <row r="623" spans="1:74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25"/>
      <c r="BS623" s="25"/>
      <c r="BT623" s="25"/>
      <c r="BU623" s="25"/>
      <c r="BV623" s="25"/>
    </row>
    <row r="624" spans="1:7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/>
      <c r="BP624" s="3"/>
      <c r="BQ624" s="3"/>
      <c r="BR624" s="25"/>
      <c r="BS624" s="25"/>
      <c r="BT624" s="25"/>
      <c r="BU624" s="25"/>
      <c r="BV624" s="25"/>
    </row>
    <row r="625" spans="1:74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/>
      <c r="BP625" s="3"/>
      <c r="BQ625" s="3"/>
      <c r="BR625" s="25"/>
      <c r="BS625" s="25"/>
      <c r="BT625" s="25"/>
      <c r="BU625" s="25"/>
      <c r="BV625" s="25"/>
    </row>
    <row r="626" spans="1:74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25"/>
      <c r="BS626" s="25"/>
      <c r="BT626" s="25"/>
      <c r="BU626" s="25"/>
      <c r="BV626" s="25"/>
    </row>
    <row r="627" spans="1:74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25"/>
      <c r="BS627" s="25"/>
      <c r="BT627" s="25"/>
      <c r="BU627" s="25"/>
      <c r="BV627" s="25"/>
    </row>
    <row r="628" spans="1:74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25"/>
      <c r="BS628" s="25"/>
      <c r="BT628" s="25"/>
      <c r="BU628" s="25"/>
      <c r="BV628" s="25"/>
    </row>
    <row r="629" spans="1:74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25"/>
      <c r="BS629" s="25"/>
      <c r="BT629" s="25"/>
      <c r="BU629" s="25"/>
      <c r="BV629" s="25"/>
    </row>
    <row r="630" spans="1:74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25"/>
      <c r="BS630" s="25"/>
      <c r="BT630" s="25"/>
      <c r="BU630" s="25"/>
      <c r="BV630" s="25"/>
    </row>
    <row r="631" spans="1:74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25"/>
      <c r="BS631" s="25"/>
      <c r="BT631" s="25"/>
      <c r="BU631" s="25"/>
      <c r="BV631" s="25"/>
    </row>
    <row r="632" spans="1:74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25"/>
      <c r="BS632" s="25"/>
      <c r="BT632" s="25"/>
      <c r="BU632" s="25"/>
      <c r="BV632" s="25"/>
    </row>
    <row r="633" spans="1:74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25"/>
      <c r="BS633" s="25"/>
      <c r="BT633" s="25"/>
      <c r="BU633" s="25"/>
      <c r="BV633" s="25"/>
    </row>
    <row r="634" spans="1:7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25"/>
      <c r="BS634" s="25"/>
      <c r="BT634" s="25"/>
      <c r="BU634" s="25"/>
      <c r="BV634" s="25"/>
    </row>
    <row r="635" spans="1:74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25"/>
      <c r="BS635" s="25"/>
      <c r="BT635" s="25"/>
      <c r="BU635" s="25"/>
      <c r="BV635" s="25"/>
    </row>
    <row r="636" spans="1:74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25"/>
      <c r="BS636" s="25"/>
      <c r="BT636" s="25"/>
      <c r="BU636" s="25"/>
      <c r="BV636" s="25"/>
    </row>
    <row r="637" spans="1:74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25"/>
      <c r="BS637" s="25"/>
      <c r="BT637" s="25"/>
      <c r="BU637" s="25"/>
      <c r="BV637" s="25"/>
    </row>
    <row r="638" spans="1:74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25"/>
      <c r="BS638" s="25"/>
      <c r="BT638" s="25"/>
      <c r="BU638" s="25"/>
      <c r="BV638" s="25"/>
    </row>
    <row r="639" spans="1:74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25"/>
      <c r="BS639" s="25"/>
      <c r="BT639" s="25"/>
      <c r="BU639" s="25"/>
      <c r="BV639" s="25"/>
    </row>
    <row r="640" spans="1:74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25"/>
      <c r="BS640" s="25"/>
      <c r="BT640" s="25"/>
      <c r="BU640" s="25"/>
      <c r="BV640" s="25"/>
    </row>
    <row r="641" spans="1:74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25"/>
      <c r="BS641" s="25"/>
      <c r="BT641" s="25"/>
      <c r="BU641" s="25"/>
      <c r="BV641" s="25"/>
    </row>
    <row r="642" spans="1:74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25"/>
      <c r="BS642" s="25"/>
      <c r="BT642" s="25"/>
      <c r="BU642" s="25"/>
      <c r="BV642" s="25"/>
    </row>
    <row r="643" spans="1:74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25"/>
      <c r="BS643" s="25"/>
      <c r="BT643" s="25"/>
      <c r="BU643" s="25"/>
      <c r="BV643" s="25"/>
    </row>
    <row r="644" spans="1:7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25"/>
      <c r="BS644" s="25"/>
      <c r="BT644" s="25"/>
      <c r="BU644" s="25"/>
      <c r="BV644" s="25"/>
    </row>
    <row r="645" spans="1:74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25"/>
      <c r="BS645" s="25"/>
      <c r="BT645" s="25"/>
      <c r="BU645" s="25"/>
      <c r="BV645" s="25"/>
    </row>
    <row r="646" spans="1:74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25"/>
      <c r="BS646" s="25"/>
      <c r="BT646" s="25"/>
      <c r="BU646" s="25"/>
      <c r="BV646" s="25"/>
    </row>
    <row r="647" spans="1:74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25"/>
      <c r="BS647" s="25"/>
      <c r="BT647" s="25"/>
      <c r="BU647" s="25"/>
      <c r="BV647" s="25"/>
    </row>
    <row r="648" spans="1:74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25"/>
      <c r="BS648" s="25"/>
      <c r="BT648" s="25"/>
      <c r="BU648" s="25"/>
      <c r="BV648" s="25"/>
    </row>
    <row r="649" spans="1:74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25"/>
      <c r="BS649" s="25"/>
      <c r="BT649" s="25"/>
      <c r="BU649" s="25"/>
      <c r="BV649" s="25"/>
    </row>
    <row r="650" spans="1:74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25"/>
      <c r="BS650" s="25"/>
      <c r="BT650" s="25"/>
      <c r="BU650" s="25"/>
      <c r="BV650" s="25"/>
    </row>
    <row r="651" spans="1:74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/>
      <c r="BP651" s="3"/>
      <c r="BQ651" s="3"/>
      <c r="BR651" s="25"/>
      <c r="BS651" s="25"/>
      <c r="BT651" s="25"/>
      <c r="BU651" s="25"/>
      <c r="BV651" s="25"/>
    </row>
    <row r="652" spans="1:74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25"/>
      <c r="BS652" s="25"/>
      <c r="BT652" s="25"/>
      <c r="BU652" s="25"/>
      <c r="BV652" s="25"/>
    </row>
    <row r="653" spans="1:74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25"/>
      <c r="BS653" s="25"/>
      <c r="BT653" s="25"/>
      <c r="BU653" s="25"/>
      <c r="BV653" s="25"/>
    </row>
    <row r="654" spans="1:7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25"/>
      <c r="BS654" s="25"/>
      <c r="BT654" s="25"/>
      <c r="BU654" s="25"/>
      <c r="BV654" s="25"/>
    </row>
    <row r="655" spans="1:74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25"/>
      <c r="BS655" s="25"/>
      <c r="BT655" s="25"/>
      <c r="BU655" s="25"/>
      <c r="BV655" s="25"/>
    </row>
    <row r="656" spans="1:74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25"/>
      <c r="BS656" s="25"/>
      <c r="BT656" s="25"/>
      <c r="BU656" s="25"/>
      <c r="BV656" s="25"/>
    </row>
    <row r="657" spans="1:74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25"/>
      <c r="BS657" s="25"/>
      <c r="BT657" s="25"/>
      <c r="BU657" s="25"/>
      <c r="BV657" s="25"/>
    </row>
    <row r="658" spans="1:74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25"/>
      <c r="BS658" s="25"/>
      <c r="BT658" s="25"/>
      <c r="BU658" s="25"/>
      <c r="BV658" s="25"/>
    </row>
    <row r="659" spans="1:74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25"/>
      <c r="BS659" s="25"/>
      <c r="BT659" s="25"/>
      <c r="BU659" s="25"/>
      <c r="BV659" s="25"/>
    </row>
    <row r="660" spans="1:74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25"/>
      <c r="BS660" s="25"/>
      <c r="BT660" s="25"/>
      <c r="BU660" s="25"/>
      <c r="BV660" s="25"/>
    </row>
    <row r="661" spans="1:74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25"/>
      <c r="BS661" s="25"/>
      <c r="BT661" s="25"/>
      <c r="BU661" s="25"/>
      <c r="BV661" s="25"/>
    </row>
    <row r="662" spans="1:74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25"/>
      <c r="BS662" s="25"/>
      <c r="BT662" s="25"/>
      <c r="BU662" s="25"/>
      <c r="BV662" s="25"/>
    </row>
    <row r="663" spans="1:74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25"/>
      <c r="BS663" s="25"/>
      <c r="BT663" s="25"/>
      <c r="BU663" s="25"/>
      <c r="BV663" s="25"/>
    </row>
    <row r="664" spans="1:7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25"/>
      <c r="BS664" s="25"/>
      <c r="BT664" s="25"/>
      <c r="BU664" s="25"/>
      <c r="BV664" s="25"/>
    </row>
    <row r="665" spans="1:74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25"/>
      <c r="BS665" s="25"/>
      <c r="BT665" s="25"/>
      <c r="BU665" s="25"/>
      <c r="BV665" s="25"/>
    </row>
    <row r="666" spans="1:74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25"/>
      <c r="BS666" s="25"/>
      <c r="BT666" s="25"/>
      <c r="BU666" s="25"/>
      <c r="BV666" s="25"/>
    </row>
    <row r="667" spans="1:74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25"/>
      <c r="BS667" s="25"/>
      <c r="BT667" s="25"/>
      <c r="BU667" s="25"/>
      <c r="BV667" s="25"/>
    </row>
    <row r="668" spans="1:74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25"/>
      <c r="BS668" s="25"/>
      <c r="BT668" s="25"/>
      <c r="BU668" s="25"/>
      <c r="BV668" s="25"/>
    </row>
    <row r="669" spans="1:74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25"/>
      <c r="BS669" s="25"/>
      <c r="BT669" s="25"/>
      <c r="BU669" s="25"/>
      <c r="BV669" s="25"/>
    </row>
    <row r="670" spans="1:74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25"/>
      <c r="BS670" s="25"/>
      <c r="BT670" s="25"/>
      <c r="BU670" s="25"/>
      <c r="BV670" s="25"/>
    </row>
    <row r="671" spans="1:74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25"/>
      <c r="BS671" s="25"/>
      <c r="BT671" s="25"/>
      <c r="BU671" s="25"/>
      <c r="BV671" s="25"/>
    </row>
    <row r="672" spans="1:74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25"/>
      <c r="BS672" s="25"/>
      <c r="BT672" s="25"/>
      <c r="BU672" s="25"/>
      <c r="BV672" s="25"/>
    </row>
    <row r="673" spans="1:74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25"/>
      <c r="BS673" s="25"/>
      <c r="BT673" s="25"/>
      <c r="BU673" s="25"/>
      <c r="BV673" s="25"/>
    </row>
    <row r="674" spans="1: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25"/>
      <c r="BS674" s="25"/>
      <c r="BT674" s="25"/>
      <c r="BU674" s="25"/>
      <c r="BV674" s="25"/>
    </row>
    <row r="675" spans="1:74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25"/>
      <c r="BS675" s="25"/>
      <c r="BT675" s="25"/>
      <c r="BU675" s="25"/>
      <c r="BV675" s="25"/>
    </row>
    <row r="676" spans="1:74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25"/>
      <c r="BS676" s="25"/>
      <c r="BT676" s="25"/>
      <c r="BU676" s="25"/>
      <c r="BV676" s="25"/>
    </row>
    <row r="677" spans="1:74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25"/>
      <c r="BS677" s="25"/>
      <c r="BT677" s="25"/>
      <c r="BU677" s="25"/>
      <c r="BV677" s="25"/>
    </row>
    <row r="678" spans="1:74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25"/>
      <c r="BS678" s="25"/>
      <c r="BT678" s="25"/>
      <c r="BU678" s="25"/>
      <c r="BV678" s="25"/>
    </row>
    <row r="679" spans="1:74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25"/>
      <c r="BS679" s="25"/>
      <c r="BT679" s="25"/>
      <c r="BU679" s="25"/>
      <c r="BV679" s="25"/>
    </row>
    <row r="680" spans="1:74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25"/>
      <c r="BS680" s="25"/>
      <c r="BT680" s="25"/>
      <c r="BU680" s="25"/>
      <c r="BV680" s="25"/>
    </row>
    <row r="681" spans="1:74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25"/>
      <c r="BS681" s="25"/>
      <c r="BT681" s="25"/>
      <c r="BU681" s="25"/>
      <c r="BV681" s="25"/>
    </row>
    <row r="682" spans="1:74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25"/>
      <c r="BS682" s="25"/>
      <c r="BT682" s="25"/>
      <c r="BU682" s="25"/>
      <c r="BV682" s="25"/>
    </row>
    <row r="683" spans="1:74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25"/>
      <c r="BS683" s="25"/>
      <c r="BT683" s="25"/>
      <c r="BU683" s="25"/>
      <c r="BV683" s="25"/>
    </row>
    <row r="684" spans="1:7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25"/>
      <c r="BS684" s="25"/>
      <c r="BT684" s="25"/>
      <c r="BU684" s="25"/>
      <c r="BV684" s="25"/>
    </row>
    <row r="685" spans="1:74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25"/>
      <c r="BS685" s="25"/>
      <c r="BT685" s="25"/>
      <c r="BU685" s="25"/>
      <c r="BV685" s="25"/>
    </row>
    <row r="686" spans="1:74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25"/>
      <c r="BS686" s="25"/>
      <c r="BT686" s="25"/>
      <c r="BU686" s="25"/>
      <c r="BV686" s="25"/>
    </row>
    <row r="687" spans="1:74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25"/>
      <c r="BS687" s="25"/>
      <c r="BT687" s="25"/>
      <c r="BU687" s="25"/>
      <c r="BV687" s="25"/>
    </row>
    <row r="688" spans="1:74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25"/>
      <c r="BS688" s="25"/>
      <c r="BT688" s="25"/>
      <c r="BU688" s="25"/>
      <c r="BV688" s="25"/>
    </row>
    <row r="689" spans="1:74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25"/>
      <c r="BS689" s="25"/>
      <c r="BT689" s="25"/>
      <c r="BU689" s="25"/>
      <c r="BV689" s="25"/>
    </row>
    <row r="690" spans="1:74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25"/>
      <c r="BS690" s="25"/>
      <c r="BT690" s="25"/>
      <c r="BU690" s="25"/>
      <c r="BV690" s="25"/>
    </row>
    <row r="691" spans="1:74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25"/>
      <c r="BS691" s="25"/>
      <c r="BT691" s="25"/>
      <c r="BU691" s="25"/>
      <c r="BV691" s="25"/>
    </row>
    <row r="692" spans="1:74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25"/>
      <c r="BS692" s="25"/>
      <c r="BT692" s="25"/>
      <c r="BU692" s="25"/>
      <c r="BV692" s="25"/>
    </row>
    <row r="693" spans="1:74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25"/>
      <c r="BS693" s="25"/>
      <c r="BT693" s="25"/>
      <c r="BU693" s="25"/>
      <c r="BV693" s="25"/>
    </row>
    <row r="694" spans="1:7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25"/>
      <c r="BS694" s="25"/>
      <c r="BT694" s="25"/>
      <c r="BU694" s="25"/>
      <c r="BV694" s="25"/>
    </row>
    <row r="695" spans="1:74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25"/>
      <c r="BS695" s="25"/>
      <c r="BT695" s="25"/>
      <c r="BU695" s="25"/>
      <c r="BV695" s="25"/>
    </row>
    <row r="696" spans="1:74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25"/>
      <c r="BS696" s="25"/>
      <c r="BT696" s="25"/>
      <c r="BU696" s="25"/>
      <c r="BV696" s="25"/>
    </row>
    <row r="697" spans="1:74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25"/>
      <c r="BS697" s="25"/>
      <c r="BT697" s="25"/>
      <c r="BU697" s="25"/>
      <c r="BV697" s="25"/>
    </row>
    <row r="698" spans="1:74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25"/>
      <c r="BS698" s="25"/>
      <c r="BT698" s="25"/>
      <c r="BU698" s="25"/>
      <c r="BV698" s="25"/>
    </row>
    <row r="699" spans="1:74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25"/>
      <c r="BS699" s="25"/>
      <c r="BT699" s="25"/>
      <c r="BU699" s="25"/>
      <c r="BV699" s="25"/>
    </row>
    <row r="700" spans="1:74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25"/>
      <c r="BS700" s="25"/>
      <c r="BT700" s="25"/>
      <c r="BU700" s="25"/>
      <c r="BV700" s="25"/>
    </row>
    <row r="701" spans="1:74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25"/>
      <c r="BS701" s="25"/>
      <c r="BT701" s="25"/>
      <c r="BU701" s="25"/>
      <c r="BV701" s="25"/>
    </row>
    <row r="702" spans="1:74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25"/>
      <c r="BS702" s="25"/>
      <c r="BT702" s="25"/>
      <c r="BU702" s="25"/>
      <c r="BV702" s="25"/>
    </row>
    <row r="703" spans="1:74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25"/>
      <c r="BS703" s="25"/>
      <c r="BT703" s="25"/>
      <c r="BU703" s="25"/>
      <c r="BV703" s="25"/>
    </row>
    <row r="704" spans="1:7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25"/>
      <c r="BS704" s="25"/>
      <c r="BT704" s="25"/>
      <c r="BU704" s="25"/>
      <c r="BV704" s="25"/>
    </row>
    <row r="705" spans="1:74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25"/>
      <c r="BS705" s="25"/>
      <c r="BT705" s="25"/>
      <c r="BU705" s="25"/>
      <c r="BV705" s="25"/>
    </row>
    <row r="706" spans="1:74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25"/>
      <c r="BS706" s="25"/>
      <c r="BT706" s="25"/>
      <c r="BU706" s="25"/>
      <c r="BV706" s="25"/>
    </row>
    <row r="707" spans="1:74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25"/>
      <c r="BS707" s="25"/>
      <c r="BT707" s="25"/>
      <c r="BU707" s="25"/>
      <c r="BV707" s="25"/>
    </row>
    <row r="708" spans="1:74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25"/>
      <c r="BS708" s="25"/>
      <c r="BT708" s="25"/>
      <c r="BU708" s="25"/>
      <c r="BV708" s="25"/>
    </row>
    <row r="709" spans="1:74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25"/>
      <c r="BS709" s="25"/>
      <c r="BT709" s="25"/>
      <c r="BU709" s="25"/>
      <c r="BV709" s="25"/>
    </row>
    <row r="710" spans="1:74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25"/>
      <c r="BS710" s="25"/>
      <c r="BT710" s="25"/>
      <c r="BU710" s="25"/>
      <c r="BV710" s="25"/>
    </row>
    <row r="711" spans="1:74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25"/>
      <c r="BS711" s="25"/>
      <c r="BT711" s="25"/>
      <c r="BU711" s="25"/>
      <c r="BV711" s="25"/>
    </row>
    <row r="712" spans="1:74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25"/>
      <c r="BS712" s="25"/>
      <c r="BT712" s="25"/>
      <c r="BU712" s="25"/>
      <c r="BV712" s="25"/>
    </row>
    <row r="713" spans="1:74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25"/>
      <c r="BS713" s="25"/>
      <c r="BT713" s="25"/>
      <c r="BU713" s="25"/>
      <c r="BV713" s="25"/>
    </row>
    <row r="714" spans="1:7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25"/>
      <c r="BS714" s="25"/>
      <c r="BT714" s="25"/>
      <c r="BU714" s="25"/>
      <c r="BV714" s="25"/>
    </row>
    <row r="715" spans="1:74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25"/>
      <c r="BS715" s="25"/>
      <c r="BT715" s="25"/>
      <c r="BU715" s="25"/>
      <c r="BV715" s="25"/>
    </row>
    <row r="716" spans="1:74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25"/>
      <c r="BS716" s="25"/>
      <c r="BT716" s="25"/>
      <c r="BU716" s="25"/>
      <c r="BV716" s="25"/>
    </row>
    <row r="717" spans="1:74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25"/>
      <c r="BS717" s="25"/>
      <c r="BT717" s="25"/>
      <c r="BU717" s="25"/>
      <c r="BV717" s="25"/>
    </row>
    <row r="718" spans="1:74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25"/>
      <c r="BS718" s="25"/>
      <c r="BT718" s="25"/>
      <c r="BU718" s="25"/>
      <c r="BV718" s="25"/>
    </row>
    <row r="719" spans="1:74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25"/>
      <c r="BS719" s="25"/>
      <c r="BT719" s="25"/>
      <c r="BU719" s="25"/>
      <c r="BV719" s="25"/>
    </row>
    <row r="720" spans="1:74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25"/>
      <c r="BS720" s="25"/>
      <c r="BT720" s="25"/>
      <c r="BU720" s="25"/>
      <c r="BV720" s="25"/>
    </row>
    <row r="721" spans="1:74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25"/>
      <c r="BS721" s="25"/>
      <c r="BT721" s="25"/>
      <c r="BU721" s="25"/>
      <c r="BV721" s="25"/>
    </row>
    <row r="722" spans="1:74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25"/>
      <c r="BS722" s="25"/>
      <c r="BT722" s="25"/>
      <c r="BU722" s="25"/>
      <c r="BV722" s="25"/>
    </row>
    <row r="723" spans="1:74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25"/>
      <c r="BS723" s="25"/>
      <c r="BT723" s="25"/>
      <c r="BU723" s="25"/>
      <c r="BV723" s="25"/>
    </row>
    <row r="724" spans="1:7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25"/>
      <c r="BS724" s="25"/>
      <c r="BT724" s="25"/>
      <c r="BU724" s="25"/>
      <c r="BV724" s="25"/>
    </row>
    <row r="725" spans="1:74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25"/>
      <c r="BS725" s="25"/>
      <c r="BT725" s="25"/>
      <c r="BU725" s="25"/>
      <c r="BV725" s="25"/>
    </row>
    <row r="726" spans="1:74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25"/>
      <c r="BS726" s="25"/>
      <c r="BT726" s="25"/>
      <c r="BU726" s="25"/>
      <c r="BV726" s="25"/>
    </row>
    <row r="727" spans="1:74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25"/>
      <c r="BS727" s="25"/>
      <c r="BT727" s="25"/>
      <c r="BU727" s="25"/>
      <c r="BV727" s="25"/>
    </row>
    <row r="728" spans="1:74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/>
      <c r="BP728" s="3"/>
      <c r="BQ728" s="3"/>
      <c r="BR728" s="25"/>
      <c r="BS728" s="25"/>
      <c r="BT728" s="25"/>
      <c r="BU728" s="25"/>
      <c r="BV728" s="25"/>
    </row>
    <row r="729" spans="1:74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/>
      <c r="BP729" s="3"/>
      <c r="BQ729" s="3"/>
      <c r="BR729" s="25"/>
      <c r="BS729" s="25"/>
      <c r="BT729" s="25"/>
      <c r="BU729" s="25"/>
      <c r="BV729" s="25"/>
    </row>
    <row r="730" spans="1:74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25"/>
      <c r="BS730" s="25"/>
      <c r="BT730" s="25"/>
      <c r="BU730" s="25"/>
      <c r="BV730" s="25"/>
    </row>
    <row r="731" spans="1:74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25"/>
      <c r="BS731" s="25"/>
      <c r="BT731" s="25"/>
      <c r="BU731" s="25"/>
      <c r="BV731" s="25"/>
    </row>
    <row r="732" spans="1:74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25"/>
      <c r="BS732" s="25"/>
      <c r="BT732" s="25"/>
      <c r="BU732" s="25"/>
      <c r="BV732" s="25"/>
    </row>
    <row r="733" spans="1:74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25"/>
      <c r="BS733" s="25"/>
      <c r="BT733" s="25"/>
      <c r="BU733" s="25"/>
      <c r="BV733" s="25"/>
    </row>
    <row r="734" spans="1:7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25"/>
      <c r="BS734" s="25"/>
      <c r="BT734" s="25"/>
      <c r="BU734" s="25"/>
      <c r="BV734" s="25"/>
    </row>
    <row r="735" spans="1:74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25"/>
      <c r="BS735" s="25"/>
      <c r="BT735" s="25"/>
      <c r="BU735" s="25"/>
      <c r="BV735" s="25"/>
    </row>
    <row r="736" spans="1:74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25"/>
      <c r="BS736" s="25"/>
      <c r="BT736" s="25"/>
      <c r="BU736" s="25"/>
      <c r="BV736" s="25"/>
    </row>
    <row r="737" spans="1:74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25"/>
      <c r="BS737" s="25"/>
      <c r="BT737" s="25"/>
      <c r="BU737" s="25"/>
      <c r="BV737" s="25"/>
    </row>
    <row r="738" spans="1:74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25"/>
      <c r="BS738" s="25"/>
      <c r="BT738" s="25"/>
      <c r="BU738" s="25"/>
      <c r="BV738" s="25"/>
    </row>
    <row r="739" spans="1:74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25"/>
      <c r="BS739" s="25"/>
      <c r="BT739" s="25"/>
      <c r="BU739" s="25"/>
      <c r="BV739" s="25"/>
    </row>
    <row r="740" spans="1:74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25"/>
      <c r="BS740" s="25"/>
      <c r="BT740" s="25"/>
      <c r="BU740" s="25"/>
      <c r="BV740" s="25"/>
    </row>
    <row r="741" spans="1:74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25"/>
      <c r="BS741" s="25"/>
      <c r="BT741" s="25"/>
      <c r="BU741" s="25"/>
      <c r="BV741" s="25"/>
    </row>
    <row r="742" spans="1:74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25"/>
      <c r="BS742" s="25"/>
      <c r="BT742" s="25"/>
      <c r="BU742" s="25"/>
      <c r="BV742" s="25"/>
    </row>
    <row r="743" spans="1:74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25"/>
      <c r="BS743" s="25"/>
      <c r="BT743" s="25"/>
      <c r="BU743" s="25"/>
      <c r="BV743" s="25"/>
    </row>
    <row r="744" spans="1:7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25"/>
      <c r="BS744" s="25"/>
      <c r="BT744" s="25"/>
      <c r="BU744" s="25"/>
      <c r="BV744" s="25"/>
    </row>
    <row r="745" spans="1:74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25"/>
      <c r="BS745" s="25"/>
      <c r="BT745" s="25"/>
      <c r="BU745" s="25"/>
      <c r="BV745" s="25"/>
    </row>
    <row r="746" spans="1:74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25"/>
      <c r="BS746" s="25"/>
      <c r="BT746" s="25"/>
      <c r="BU746" s="25"/>
      <c r="BV746" s="25"/>
    </row>
    <row r="747" spans="1:74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25"/>
      <c r="BS747" s="25"/>
      <c r="BT747" s="25"/>
      <c r="BU747" s="25"/>
      <c r="BV747" s="25"/>
    </row>
    <row r="748" spans="1:74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25"/>
      <c r="BS748" s="25"/>
      <c r="BT748" s="25"/>
      <c r="BU748" s="25"/>
      <c r="BV748" s="25"/>
    </row>
    <row r="749" spans="1:74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25"/>
      <c r="BS749" s="25"/>
      <c r="BT749" s="25"/>
      <c r="BU749" s="25"/>
      <c r="BV749" s="25"/>
    </row>
    <row r="750" spans="1:74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25"/>
      <c r="BS750" s="25"/>
      <c r="BT750" s="25"/>
      <c r="BU750" s="25"/>
      <c r="BV750" s="25"/>
    </row>
    <row r="751" spans="1:74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25"/>
      <c r="BS751" s="25"/>
      <c r="BT751" s="25"/>
      <c r="BU751" s="25"/>
      <c r="BV751" s="25"/>
    </row>
    <row r="752" spans="1:74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25"/>
      <c r="BS752" s="25"/>
      <c r="BT752" s="25"/>
      <c r="BU752" s="25"/>
      <c r="BV752" s="25"/>
    </row>
    <row r="753" spans="1:74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25"/>
      <c r="BS753" s="25"/>
      <c r="BT753" s="25"/>
      <c r="BU753" s="25"/>
      <c r="BV753" s="25"/>
    </row>
    <row r="754" spans="1:7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/>
      <c r="BP754" s="3"/>
      <c r="BQ754" s="3"/>
      <c r="BR754" s="25"/>
      <c r="BS754" s="25"/>
      <c r="BT754" s="25"/>
      <c r="BU754" s="25"/>
      <c r="BV754" s="25"/>
    </row>
    <row r="755" spans="1:74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/>
      <c r="BP755" s="3"/>
      <c r="BQ755" s="3"/>
      <c r="BR755" s="25"/>
      <c r="BS755" s="25"/>
      <c r="BT755" s="25"/>
      <c r="BU755" s="25"/>
      <c r="BV755" s="25"/>
    </row>
    <row r="756" spans="1:74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25"/>
      <c r="BS756" s="25"/>
      <c r="BT756" s="25"/>
      <c r="BU756" s="25"/>
      <c r="BV756" s="25"/>
    </row>
    <row r="757" spans="1:74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25"/>
      <c r="BS757" s="25"/>
      <c r="BT757" s="25"/>
      <c r="BU757" s="25"/>
      <c r="BV757" s="25"/>
    </row>
    <row r="758" spans="1:74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25"/>
      <c r="BS758" s="25"/>
      <c r="BT758" s="25"/>
      <c r="BU758" s="25"/>
      <c r="BV758" s="25"/>
    </row>
    <row r="759" spans="1:74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25"/>
      <c r="BS759" s="25"/>
      <c r="BT759" s="25"/>
      <c r="BU759" s="25"/>
      <c r="BV759" s="25"/>
    </row>
    <row r="760" spans="1:74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25"/>
      <c r="BS760" s="25"/>
      <c r="BT760" s="25"/>
      <c r="BU760" s="25"/>
      <c r="BV760" s="25"/>
    </row>
    <row r="761" spans="1:74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25"/>
      <c r="BS761" s="25"/>
      <c r="BT761" s="25"/>
      <c r="BU761" s="25"/>
      <c r="BV761" s="25"/>
    </row>
    <row r="762" spans="1:74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25"/>
      <c r="BS762" s="25"/>
      <c r="BT762" s="25"/>
      <c r="BU762" s="25"/>
      <c r="BV762" s="25"/>
    </row>
    <row r="763" spans="1:74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25"/>
      <c r="BS763" s="25"/>
      <c r="BT763" s="25"/>
      <c r="BU763" s="25"/>
      <c r="BV763" s="25"/>
    </row>
    <row r="764" spans="1:7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25"/>
      <c r="BS764" s="25"/>
      <c r="BT764" s="25"/>
      <c r="BU764" s="25"/>
      <c r="BV764" s="25"/>
    </row>
    <row r="765" spans="1:74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25"/>
      <c r="BS765" s="25"/>
      <c r="BT765" s="25"/>
      <c r="BU765" s="25"/>
      <c r="BV765" s="25"/>
    </row>
    <row r="766" spans="1:74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25"/>
      <c r="BS766" s="25"/>
      <c r="BT766" s="25"/>
      <c r="BU766" s="25"/>
      <c r="BV766" s="25"/>
    </row>
    <row r="767" spans="1:74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25"/>
      <c r="BS767" s="25"/>
      <c r="BT767" s="25"/>
      <c r="BU767" s="25"/>
      <c r="BV767" s="25"/>
    </row>
    <row r="768" spans="1:74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25"/>
      <c r="BS768" s="25"/>
      <c r="BT768" s="25"/>
      <c r="BU768" s="25"/>
      <c r="BV768" s="25"/>
    </row>
    <row r="769" spans="1:74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25"/>
      <c r="BS769" s="25"/>
      <c r="BT769" s="25"/>
      <c r="BU769" s="25"/>
      <c r="BV769" s="25"/>
    </row>
    <row r="770" spans="1:74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25"/>
      <c r="BS770" s="25"/>
      <c r="BT770" s="25"/>
      <c r="BU770" s="25"/>
      <c r="BV770" s="25"/>
    </row>
    <row r="771" spans="1:74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25"/>
      <c r="BS771" s="25"/>
      <c r="BT771" s="25"/>
      <c r="BU771" s="25"/>
      <c r="BV771" s="25"/>
    </row>
    <row r="772" spans="1:74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25"/>
      <c r="BS772" s="25"/>
      <c r="BT772" s="25"/>
      <c r="BU772" s="25"/>
      <c r="BV772" s="25"/>
    </row>
    <row r="773" spans="1:74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25"/>
      <c r="BS773" s="25"/>
      <c r="BT773" s="25"/>
      <c r="BU773" s="25"/>
      <c r="BV773" s="25"/>
    </row>
    <row r="774" spans="1: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25"/>
      <c r="BS774" s="25"/>
      <c r="BT774" s="25"/>
      <c r="BU774" s="25"/>
      <c r="BV774" s="25"/>
    </row>
    <row r="775" spans="1:74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25"/>
      <c r="BS775" s="25"/>
      <c r="BT775" s="25"/>
      <c r="BU775" s="25"/>
      <c r="BV775" s="25"/>
    </row>
    <row r="776" spans="1:74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25"/>
      <c r="BS776" s="25"/>
      <c r="BT776" s="25"/>
      <c r="BU776" s="25"/>
      <c r="BV776" s="25"/>
    </row>
    <row r="777" spans="1:74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25"/>
      <c r="BS777" s="25"/>
      <c r="BT777" s="25"/>
      <c r="BU777" s="25"/>
      <c r="BV777" s="25"/>
    </row>
    <row r="778" spans="1:74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25"/>
      <c r="BS778" s="25"/>
      <c r="BT778" s="25"/>
      <c r="BU778" s="25"/>
      <c r="BV778" s="25"/>
    </row>
    <row r="779" spans="1:74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25"/>
      <c r="BS779" s="25"/>
      <c r="BT779" s="25"/>
      <c r="BU779" s="25"/>
      <c r="BV779" s="25"/>
    </row>
    <row r="780" spans="1:74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/>
      <c r="BP780" s="3"/>
      <c r="BQ780" s="3"/>
      <c r="BR780" s="25"/>
      <c r="BS780" s="25"/>
      <c r="BT780" s="25"/>
      <c r="BU780" s="25"/>
      <c r="BV780" s="25"/>
    </row>
    <row r="781" spans="1:74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/>
      <c r="BP781" s="3"/>
      <c r="BQ781" s="3"/>
      <c r="BR781" s="25"/>
      <c r="BS781" s="25"/>
      <c r="BT781" s="25"/>
      <c r="BU781" s="25"/>
      <c r="BV781" s="25"/>
    </row>
    <row r="782" spans="1:74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25"/>
      <c r="BS782" s="25"/>
      <c r="BT782" s="25"/>
      <c r="BU782" s="25"/>
      <c r="BV782" s="25"/>
    </row>
    <row r="783" spans="1:74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25"/>
      <c r="BS783" s="25"/>
      <c r="BT783" s="25"/>
      <c r="BU783" s="25"/>
      <c r="BV783" s="25"/>
    </row>
    <row r="784" spans="1:7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25"/>
      <c r="BS784" s="25"/>
      <c r="BT784" s="25"/>
      <c r="BU784" s="25"/>
      <c r="BV784" s="25"/>
    </row>
    <row r="785" spans="1:74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25"/>
      <c r="BS785" s="25"/>
      <c r="BT785" s="25"/>
      <c r="BU785" s="25"/>
      <c r="BV785" s="25"/>
    </row>
    <row r="786" spans="1:74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25"/>
      <c r="BS786" s="25"/>
      <c r="BT786" s="25"/>
      <c r="BU786" s="25"/>
      <c r="BV786" s="25"/>
    </row>
    <row r="787" spans="1:74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25"/>
      <c r="BS787" s="25"/>
      <c r="BT787" s="25"/>
      <c r="BU787" s="25"/>
      <c r="BV787" s="25"/>
    </row>
    <row r="788" spans="1:74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25"/>
      <c r="BS788" s="25"/>
      <c r="BT788" s="25"/>
      <c r="BU788" s="25"/>
      <c r="BV788" s="25"/>
    </row>
    <row r="789" spans="1:74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25"/>
      <c r="BS789" s="25"/>
      <c r="BT789" s="25"/>
      <c r="BU789" s="25"/>
      <c r="BV789" s="25"/>
    </row>
    <row r="790" spans="1:74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25"/>
      <c r="BS790" s="25"/>
      <c r="BT790" s="25"/>
      <c r="BU790" s="25"/>
      <c r="BV790" s="25"/>
    </row>
    <row r="791" spans="1:74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25"/>
      <c r="BS791" s="25"/>
      <c r="BT791" s="25"/>
      <c r="BU791" s="25"/>
      <c r="BV791" s="25"/>
    </row>
    <row r="792" spans="1:74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25"/>
      <c r="BS792" s="25"/>
      <c r="BT792" s="25"/>
      <c r="BU792" s="25"/>
      <c r="BV792" s="25"/>
    </row>
    <row r="793" spans="1:74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25"/>
      <c r="BS793" s="25"/>
      <c r="BT793" s="25"/>
      <c r="BU793" s="25"/>
      <c r="BV793" s="25"/>
    </row>
    <row r="794" spans="1:7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25"/>
      <c r="BS794" s="25"/>
      <c r="BT794" s="25"/>
      <c r="BU794" s="25"/>
      <c r="BV794" s="25"/>
    </row>
    <row r="795" spans="1:74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25"/>
      <c r="BS795" s="25"/>
      <c r="BT795" s="25"/>
      <c r="BU795" s="25"/>
      <c r="BV795" s="25"/>
    </row>
    <row r="796" spans="1:74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25"/>
      <c r="BS796" s="25"/>
      <c r="BT796" s="25"/>
      <c r="BU796" s="25"/>
      <c r="BV796" s="25"/>
    </row>
    <row r="797" spans="1:74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25"/>
      <c r="BS797" s="25"/>
      <c r="BT797" s="25"/>
      <c r="BU797" s="25"/>
      <c r="BV797" s="25"/>
    </row>
    <row r="798" spans="1:74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25"/>
      <c r="BS798" s="25"/>
      <c r="BT798" s="25"/>
      <c r="BU798" s="25"/>
      <c r="BV798" s="25"/>
    </row>
    <row r="799" spans="1:74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25"/>
      <c r="BS799" s="25"/>
      <c r="BT799" s="25"/>
      <c r="BU799" s="25"/>
      <c r="BV799" s="25"/>
    </row>
    <row r="800" spans="1:74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25"/>
      <c r="BS800" s="25"/>
      <c r="BT800" s="25"/>
      <c r="BU800" s="25"/>
      <c r="BV800" s="25"/>
    </row>
    <row r="801" spans="1:74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25"/>
      <c r="BS801" s="25"/>
      <c r="BT801" s="25"/>
      <c r="BU801" s="25"/>
      <c r="BV801" s="25"/>
    </row>
    <row r="802" spans="1:74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25"/>
      <c r="BS802" s="25"/>
      <c r="BT802" s="25"/>
      <c r="BU802" s="25"/>
      <c r="BV802" s="25"/>
    </row>
    <row r="803" spans="1:74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25"/>
      <c r="BS803" s="25"/>
      <c r="BT803" s="25"/>
      <c r="BU803" s="25"/>
      <c r="BV803" s="25"/>
    </row>
    <row r="804" spans="1:7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25"/>
      <c r="BS804" s="25"/>
      <c r="BT804" s="25"/>
      <c r="BU804" s="25"/>
      <c r="BV804" s="25"/>
    </row>
    <row r="805" spans="1:74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25"/>
      <c r="BS805" s="25"/>
      <c r="BT805" s="25"/>
      <c r="BU805" s="25"/>
      <c r="BV805" s="25"/>
    </row>
    <row r="806" spans="1:74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25"/>
      <c r="BS806" s="25"/>
      <c r="BT806" s="25"/>
      <c r="BU806" s="25"/>
      <c r="BV806" s="25"/>
    </row>
    <row r="807" spans="1:74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25"/>
      <c r="BS807" s="25"/>
      <c r="BT807" s="25"/>
      <c r="BU807" s="25"/>
      <c r="BV807" s="25"/>
    </row>
    <row r="808" spans="1:74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25"/>
      <c r="BS808" s="25"/>
      <c r="BT808" s="25"/>
      <c r="BU808" s="25"/>
      <c r="BV808" s="25"/>
    </row>
    <row r="809" spans="1:74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25"/>
      <c r="BS809" s="25"/>
      <c r="BT809" s="25"/>
      <c r="BU809" s="25"/>
      <c r="BV809" s="25"/>
    </row>
    <row r="810" spans="1:74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25"/>
      <c r="BS810" s="25"/>
      <c r="BT810" s="25"/>
      <c r="BU810" s="25"/>
      <c r="BV810" s="25"/>
    </row>
    <row r="811" spans="1:74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25"/>
      <c r="BS811" s="25"/>
      <c r="BT811" s="25"/>
      <c r="BU811" s="25"/>
      <c r="BV811" s="25"/>
    </row>
    <row r="812" spans="1:74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25"/>
      <c r="BS812" s="25"/>
      <c r="BT812" s="25"/>
      <c r="BU812" s="25"/>
      <c r="BV812" s="25"/>
    </row>
    <row r="813" spans="1:74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25"/>
      <c r="BS813" s="25"/>
      <c r="BT813" s="25"/>
      <c r="BU813" s="25"/>
      <c r="BV813" s="25"/>
    </row>
    <row r="814" spans="1:7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25"/>
      <c r="BS814" s="25"/>
      <c r="BT814" s="25"/>
      <c r="BU814" s="25"/>
      <c r="BV814" s="25"/>
    </row>
    <row r="815" spans="1:74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25"/>
      <c r="BS815" s="25"/>
      <c r="BT815" s="25"/>
      <c r="BU815" s="25"/>
      <c r="BV815" s="25"/>
    </row>
    <row r="816" spans="1:74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25"/>
      <c r="BS816" s="25"/>
      <c r="BT816" s="25"/>
      <c r="BU816" s="25"/>
      <c r="BV816" s="25"/>
    </row>
    <row r="817" spans="1:74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25"/>
      <c r="BS817" s="25"/>
      <c r="BT817" s="25"/>
      <c r="BU817" s="25"/>
      <c r="BV817" s="25"/>
    </row>
    <row r="818" spans="1:74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25"/>
      <c r="BS818" s="25"/>
      <c r="BT818" s="25"/>
      <c r="BU818" s="25"/>
      <c r="BV818" s="25"/>
    </row>
    <row r="819" spans="1:74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25"/>
      <c r="BS819" s="25"/>
      <c r="BT819" s="25"/>
      <c r="BU819" s="25"/>
      <c r="BV819" s="25"/>
    </row>
    <row r="820" spans="1:74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25"/>
      <c r="BS820" s="25"/>
      <c r="BT820" s="25"/>
      <c r="BU820" s="25"/>
      <c r="BV820" s="25"/>
    </row>
    <row r="821" spans="1:74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25"/>
      <c r="BS821" s="25"/>
      <c r="BT821" s="25"/>
      <c r="BU821" s="25"/>
      <c r="BV821" s="25"/>
    </row>
    <row r="822" spans="1:74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25"/>
      <c r="BS822" s="25"/>
      <c r="BT822" s="25"/>
      <c r="BU822" s="25"/>
      <c r="BV822" s="25"/>
    </row>
    <row r="823" spans="1:74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25"/>
      <c r="BS823" s="25"/>
      <c r="BT823" s="25"/>
      <c r="BU823" s="25"/>
      <c r="BV823" s="25"/>
    </row>
    <row r="824" spans="1:7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25"/>
      <c r="BS824" s="25"/>
      <c r="BT824" s="25"/>
      <c r="BU824" s="25"/>
      <c r="BV824" s="25"/>
    </row>
    <row r="825" spans="1:74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25"/>
      <c r="BS825" s="25"/>
      <c r="BT825" s="25"/>
      <c r="BU825" s="25"/>
      <c r="BV825" s="25"/>
    </row>
    <row r="826" spans="1:74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25"/>
      <c r="BS826" s="25"/>
      <c r="BT826" s="25"/>
      <c r="BU826" s="25"/>
      <c r="BV826" s="25"/>
    </row>
    <row r="827" spans="1:74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25"/>
      <c r="BS827" s="25"/>
      <c r="BT827" s="25"/>
      <c r="BU827" s="25"/>
      <c r="BV827" s="25"/>
    </row>
    <row r="828" spans="1:74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25"/>
      <c r="BS828" s="25"/>
      <c r="BT828" s="25"/>
      <c r="BU828" s="25"/>
      <c r="BV828" s="25"/>
    </row>
    <row r="829" spans="1:74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25"/>
      <c r="BS829" s="25"/>
      <c r="BT829" s="25"/>
      <c r="BU829" s="25"/>
      <c r="BV829" s="25"/>
    </row>
    <row r="830" spans="1:74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25"/>
      <c r="BS830" s="25"/>
      <c r="BT830" s="25"/>
      <c r="BU830" s="25"/>
      <c r="BV830" s="25"/>
    </row>
    <row r="831" spans="1:74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25"/>
      <c r="BS831" s="25"/>
      <c r="BT831" s="25"/>
      <c r="BU831" s="25"/>
      <c r="BV831" s="25"/>
    </row>
    <row r="832" spans="1:74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25"/>
      <c r="BS832" s="25"/>
      <c r="BT832" s="25"/>
      <c r="BU832" s="25"/>
      <c r="BV832" s="25"/>
    </row>
    <row r="833" spans="1:74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25"/>
      <c r="BS833" s="25"/>
      <c r="BT833" s="25"/>
      <c r="BU833" s="25"/>
      <c r="BV833" s="25"/>
    </row>
    <row r="834" spans="1:7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25"/>
      <c r="BS834" s="25"/>
      <c r="BT834" s="25"/>
      <c r="BU834" s="25"/>
      <c r="BV834" s="25"/>
    </row>
    <row r="835" spans="1:74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25"/>
      <c r="BS835" s="25"/>
      <c r="BT835" s="25"/>
      <c r="BU835" s="25"/>
      <c r="BV835" s="25"/>
    </row>
    <row r="836" spans="1:74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25"/>
      <c r="BS836" s="25"/>
      <c r="BT836" s="25"/>
      <c r="BU836" s="25"/>
      <c r="BV836" s="25"/>
    </row>
    <row r="837" spans="1:74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25"/>
      <c r="BS837" s="25"/>
      <c r="BT837" s="25"/>
      <c r="BU837" s="25"/>
      <c r="BV837" s="25"/>
    </row>
    <row r="838" spans="1:74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25"/>
      <c r="BS838" s="25"/>
      <c r="BT838" s="25"/>
      <c r="BU838" s="25"/>
      <c r="BV838" s="25"/>
    </row>
    <row r="839" spans="1:74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25"/>
      <c r="BS839" s="25"/>
      <c r="BT839" s="25"/>
      <c r="BU839" s="25"/>
      <c r="BV839" s="25"/>
    </row>
    <row r="840" spans="1:74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25"/>
      <c r="BS840" s="25"/>
      <c r="BT840" s="25"/>
      <c r="BU840" s="25"/>
      <c r="BV840" s="25"/>
    </row>
    <row r="841" spans="1:74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25"/>
      <c r="BS841" s="25"/>
      <c r="BT841" s="25"/>
      <c r="BU841" s="25"/>
      <c r="BV841" s="25"/>
    </row>
    <row r="842" spans="1:74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25"/>
      <c r="BS842" s="25"/>
      <c r="BT842" s="25"/>
      <c r="BU842" s="25"/>
      <c r="BV842" s="25"/>
    </row>
    <row r="843" spans="1:74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25"/>
      <c r="BS843" s="25"/>
      <c r="BT843" s="25"/>
      <c r="BU843" s="25"/>
      <c r="BV843" s="25"/>
    </row>
    <row r="844" spans="1:7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25"/>
      <c r="BS844" s="25"/>
      <c r="BT844" s="25"/>
      <c r="BU844" s="25"/>
      <c r="BV844" s="25"/>
    </row>
    <row r="845" spans="1:74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25"/>
      <c r="BS845" s="25"/>
      <c r="BT845" s="25"/>
      <c r="BU845" s="25"/>
      <c r="BV845" s="25"/>
    </row>
    <row r="846" spans="1:74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25"/>
      <c r="BS846" s="25"/>
      <c r="BT846" s="25"/>
      <c r="BU846" s="25"/>
      <c r="BV846" s="25"/>
    </row>
    <row r="847" spans="1:74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25"/>
      <c r="BS847" s="25"/>
      <c r="BT847" s="25"/>
      <c r="BU847" s="25"/>
      <c r="BV847" s="25"/>
    </row>
    <row r="848" spans="1:74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25"/>
      <c r="BS848" s="25"/>
      <c r="BT848" s="25"/>
      <c r="BU848" s="25"/>
      <c r="BV848" s="25"/>
    </row>
    <row r="849" spans="1:74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25"/>
      <c r="BS849" s="25"/>
      <c r="BT849" s="25"/>
      <c r="BU849" s="25"/>
      <c r="BV849" s="25"/>
    </row>
    <row r="850" spans="1:74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25"/>
      <c r="BS850" s="25"/>
      <c r="BT850" s="25"/>
      <c r="BU850" s="25"/>
      <c r="BV850" s="25"/>
    </row>
    <row r="851" spans="1:74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25"/>
      <c r="BS851" s="25"/>
      <c r="BT851" s="25"/>
      <c r="BU851" s="25"/>
      <c r="BV851" s="25"/>
    </row>
    <row r="852" spans="1:74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25"/>
      <c r="BS852" s="25"/>
      <c r="BT852" s="25"/>
      <c r="BU852" s="25"/>
      <c r="BV852" s="25"/>
    </row>
    <row r="853" spans="1:74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25"/>
      <c r="BS853" s="25"/>
      <c r="BT853" s="25"/>
      <c r="BU853" s="25"/>
      <c r="BV853" s="25"/>
    </row>
    <row r="854" spans="1:7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25"/>
      <c r="BS854" s="25"/>
      <c r="BT854" s="25"/>
      <c r="BU854" s="25"/>
      <c r="BV854" s="25"/>
    </row>
    <row r="855" spans="1:74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25"/>
      <c r="BS855" s="25"/>
      <c r="BT855" s="25"/>
      <c r="BU855" s="25"/>
      <c r="BV855" s="25"/>
    </row>
    <row r="856" spans="1:74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25"/>
      <c r="BS856" s="25"/>
      <c r="BT856" s="25"/>
      <c r="BU856" s="25"/>
      <c r="BV856" s="25"/>
    </row>
    <row r="857" spans="1:74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25"/>
      <c r="BS857" s="25"/>
      <c r="BT857" s="25"/>
      <c r="BU857" s="25"/>
      <c r="BV857" s="25"/>
    </row>
    <row r="858" spans="1:74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25"/>
      <c r="BS858" s="25"/>
      <c r="BT858" s="25"/>
      <c r="BU858" s="25"/>
      <c r="BV858" s="25"/>
    </row>
    <row r="859" spans="1:74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/>
      <c r="BP859" s="3"/>
      <c r="BQ859" s="3"/>
      <c r="BR859" s="25"/>
      <c r="BS859" s="25"/>
      <c r="BT859" s="25"/>
      <c r="BU859" s="25"/>
      <c r="BV859" s="25"/>
    </row>
    <row r="860" spans="1:74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25"/>
      <c r="BS860" s="25"/>
      <c r="BT860" s="25"/>
      <c r="BU860" s="25"/>
      <c r="BV860" s="25"/>
    </row>
    <row r="861" spans="1:74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25"/>
      <c r="BS861" s="25"/>
      <c r="BT861" s="25"/>
      <c r="BU861" s="25"/>
      <c r="BV861" s="25"/>
    </row>
    <row r="862" spans="1:74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25"/>
      <c r="BS862" s="25"/>
      <c r="BT862" s="25"/>
      <c r="BU862" s="25"/>
      <c r="BV862" s="25"/>
    </row>
    <row r="863" spans="1:74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25"/>
      <c r="BS863" s="25"/>
      <c r="BT863" s="25"/>
      <c r="BU863" s="25"/>
      <c r="BV863" s="25"/>
    </row>
    <row r="864" spans="1:7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25"/>
      <c r="BS864" s="25"/>
      <c r="BT864" s="25"/>
      <c r="BU864" s="25"/>
      <c r="BV864" s="25"/>
    </row>
    <row r="865" spans="1:74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25"/>
      <c r="BS865" s="25"/>
      <c r="BT865" s="25"/>
      <c r="BU865" s="25"/>
      <c r="BV865" s="25"/>
    </row>
    <row r="866" spans="1:74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25"/>
      <c r="BS866" s="25"/>
      <c r="BT866" s="25"/>
      <c r="BU866" s="25"/>
      <c r="BV866" s="25"/>
    </row>
    <row r="867" spans="1:74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25"/>
      <c r="BS867" s="25"/>
      <c r="BT867" s="25"/>
      <c r="BU867" s="25"/>
      <c r="BV867" s="25"/>
    </row>
    <row r="868" spans="1:74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25"/>
      <c r="BS868" s="25"/>
      <c r="BT868" s="25"/>
      <c r="BU868" s="25"/>
      <c r="BV868" s="25"/>
    </row>
    <row r="869" spans="1:74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25"/>
      <c r="BS869" s="25"/>
      <c r="BT869" s="25"/>
      <c r="BU869" s="25"/>
      <c r="BV869" s="25"/>
    </row>
    <row r="870" spans="1:74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25"/>
      <c r="BS870" s="25"/>
      <c r="BT870" s="25"/>
      <c r="BU870" s="25"/>
      <c r="BV870" s="25"/>
    </row>
    <row r="871" spans="1:74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25"/>
      <c r="BS871" s="25"/>
      <c r="BT871" s="25"/>
      <c r="BU871" s="25"/>
      <c r="BV871" s="25"/>
    </row>
    <row r="872" spans="1:74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25"/>
      <c r="BS872" s="25"/>
      <c r="BT872" s="25"/>
      <c r="BU872" s="25"/>
      <c r="BV872" s="25"/>
    </row>
    <row r="873" spans="1:74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25"/>
      <c r="BS873" s="25"/>
      <c r="BT873" s="25"/>
      <c r="BU873" s="25"/>
      <c r="BV873" s="25"/>
    </row>
    <row r="874" spans="1: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25"/>
      <c r="BS874" s="25"/>
      <c r="BT874" s="25"/>
      <c r="BU874" s="25"/>
      <c r="BV874" s="25"/>
    </row>
    <row r="875" spans="1:74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25"/>
      <c r="BS875" s="25"/>
      <c r="BT875" s="25"/>
      <c r="BU875" s="25"/>
      <c r="BV875" s="25"/>
    </row>
    <row r="876" spans="1:74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25"/>
      <c r="BS876" s="25"/>
      <c r="BT876" s="25"/>
      <c r="BU876" s="25"/>
      <c r="BV876" s="25"/>
    </row>
    <row r="877" spans="1:74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25"/>
      <c r="BS877" s="25"/>
      <c r="BT877" s="25"/>
      <c r="BU877" s="25"/>
      <c r="BV877" s="25"/>
    </row>
    <row r="878" spans="1:74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25"/>
      <c r="BS878" s="25"/>
      <c r="BT878" s="25"/>
      <c r="BU878" s="25"/>
      <c r="BV878" s="25"/>
    </row>
    <row r="879" spans="1:74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25"/>
      <c r="BS879" s="25"/>
      <c r="BT879" s="25"/>
      <c r="BU879" s="25"/>
      <c r="BV879" s="25"/>
    </row>
    <row r="880" spans="1:74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25"/>
      <c r="BS880" s="25"/>
      <c r="BT880" s="25"/>
      <c r="BU880" s="25"/>
      <c r="BV880" s="25"/>
    </row>
    <row r="881" spans="1:74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25"/>
      <c r="BS881" s="25"/>
      <c r="BT881" s="25"/>
      <c r="BU881" s="25"/>
      <c r="BV881" s="25"/>
    </row>
    <row r="882" spans="1:74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25"/>
      <c r="BS882" s="25"/>
      <c r="BT882" s="25"/>
      <c r="BU882" s="25"/>
      <c r="BV882" s="25"/>
    </row>
    <row r="883" spans="1:74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25"/>
      <c r="BS883" s="25"/>
      <c r="BT883" s="25"/>
      <c r="BU883" s="25"/>
      <c r="BV883" s="25"/>
    </row>
    <row r="884" spans="1:7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25"/>
      <c r="BS884" s="25"/>
      <c r="BT884" s="25"/>
      <c r="BU884" s="25"/>
      <c r="BV884" s="25"/>
    </row>
    <row r="885" spans="1:74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25"/>
      <c r="BS885" s="25"/>
      <c r="BT885" s="25"/>
      <c r="BU885" s="25"/>
      <c r="BV885" s="25"/>
    </row>
    <row r="886" spans="1:74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25"/>
      <c r="BS886" s="25"/>
      <c r="BT886" s="25"/>
      <c r="BU886" s="25"/>
      <c r="BV886" s="25"/>
    </row>
    <row r="887" spans="1:74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25"/>
      <c r="BS887" s="25"/>
      <c r="BT887" s="25"/>
      <c r="BU887" s="25"/>
      <c r="BV887" s="25"/>
    </row>
    <row r="888" spans="1:74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25"/>
      <c r="BS888" s="25"/>
      <c r="BT888" s="25"/>
      <c r="BU888" s="25"/>
      <c r="BV888" s="25"/>
    </row>
    <row r="889" spans="1:74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25"/>
      <c r="BS889" s="25"/>
      <c r="BT889" s="25"/>
      <c r="BU889" s="25"/>
      <c r="BV889" s="25"/>
    </row>
    <row r="890" spans="1:74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25"/>
      <c r="BS890" s="25"/>
      <c r="BT890" s="25"/>
      <c r="BU890" s="25"/>
      <c r="BV890" s="25"/>
    </row>
    <row r="891" spans="1:74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25"/>
      <c r="BS891" s="25"/>
      <c r="BT891" s="25"/>
      <c r="BU891" s="25"/>
      <c r="BV891" s="25"/>
    </row>
    <row r="892" spans="1:74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25"/>
      <c r="BS892" s="25"/>
      <c r="BT892" s="25"/>
      <c r="BU892" s="25"/>
      <c r="BV892" s="25"/>
    </row>
    <row r="893" spans="1:74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25"/>
      <c r="BS893" s="25"/>
      <c r="BT893" s="25"/>
      <c r="BU893" s="25"/>
      <c r="BV893" s="25"/>
    </row>
    <row r="894" spans="1:7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25"/>
      <c r="BS894" s="25"/>
      <c r="BT894" s="25"/>
      <c r="BU894" s="25"/>
      <c r="BV894" s="25"/>
    </row>
    <row r="895" spans="1:74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25"/>
      <c r="BS895" s="25"/>
      <c r="BT895" s="25"/>
      <c r="BU895" s="25"/>
      <c r="BV895" s="25"/>
    </row>
    <row r="896" spans="1:74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25"/>
      <c r="BS896" s="25"/>
      <c r="BT896" s="25"/>
      <c r="BU896" s="25"/>
      <c r="BV896" s="25"/>
    </row>
    <row r="897" spans="1:74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25"/>
      <c r="BS897" s="25"/>
      <c r="BT897" s="25"/>
      <c r="BU897" s="25"/>
      <c r="BV897" s="25"/>
    </row>
    <row r="898" spans="1:74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25"/>
      <c r="BS898" s="25"/>
      <c r="BT898" s="25"/>
      <c r="BU898" s="25"/>
      <c r="BV898" s="25"/>
    </row>
    <row r="899" spans="1:74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25"/>
      <c r="BS899" s="25"/>
      <c r="BT899" s="25"/>
      <c r="BU899" s="25"/>
      <c r="BV899" s="25"/>
    </row>
    <row r="900" spans="1:74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25"/>
      <c r="BS900" s="25"/>
      <c r="BT900" s="25"/>
      <c r="BU900" s="25"/>
      <c r="BV900" s="25"/>
    </row>
    <row r="901" spans="1:74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25"/>
      <c r="BS901" s="25"/>
      <c r="BT901" s="25"/>
      <c r="BU901" s="25"/>
      <c r="BV901" s="25"/>
    </row>
    <row r="902" spans="1:74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25"/>
      <c r="BS902" s="25"/>
      <c r="BT902" s="25"/>
      <c r="BU902" s="25"/>
      <c r="BV902" s="25"/>
    </row>
    <row r="903" spans="1:74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25"/>
      <c r="BS903" s="25"/>
      <c r="BT903" s="25"/>
      <c r="BU903" s="25"/>
      <c r="BV903" s="25"/>
    </row>
    <row r="904" spans="1:7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25"/>
      <c r="BS904" s="25"/>
      <c r="BT904" s="25"/>
      <c r="BU904" s="25"/>
      <c r="BV904" s="25"/>
    </row>
    <row r="905" spans="1:74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25"/>
      <c r="BS905" s="25"/>
      <c r="BT905" s="25"/>
      <c r="BU905" s="25"/>
      <c r="BV905" s="25"/>
    </row>
    <row r="906" spans="1:74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25"/>
      <c r="BS906" s="25"/>
      <c r="BT906" s="25"/>
      <c r="BU906" s="25"/>
      <c r="BV906" s="25"/>
    </row>
    <row r="907" spans="1:74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25"/>
      <c r="BS907" s="25"/>
      <c r="BT907" s="25"/>
      <c r="BU907" s="25"/>
      <c r="BV907" s="25"/>
    </row>
    <row r="908" spans="1:74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25"/>
      <c r="BS908" s="25"/>
      <c r="BT908" s="25"/>
      <c r="BU908" s="25"/>
      <c r="BV908" s="25"/>
    </row>
    <row r="909" spans="1:74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25"/>
      <c r="BS909" s="25"/>
      <c r="BT909" s="25"/>
      <c r="BU909" s="25"/>
      <c r="BV909" s="25"/>
    </row>
    <row r="910" spans="1:74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25"/>
      <c r="BS910" s="25"/>
      <c r="BT910" s="25"/>
      <c r="BU910" s="25"/>
      <c r="BV910" s="25"/>
    </row>
    <row r="911" spans="1:74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25"/>
      <c r="BS911" s="25"/>
      <c r="BT911" s="25"/>
      <c r="BU911" s="25"/>
      <c r="BV911" s="25"/>
    </row>
    <row r="912" spans="1:74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25"/>
      <c r="BS912" s="25"/>
      <c r="BT912" s="25"/>
      <c r="BU912" s="25"/>
      <c r="BV912" s="25"/>
    </row>
    <row r="913" spans="1:74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25"/>
      <c r="BS913" s="25"/>
      <c r="BT913" s="25"/>
      <c r="BU913" s="25"/>
      <c r="BV913" s="25"/>
    </row>
    <row r="914" spans="1:7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25"/>
      <c r="BS914" s="25"/>
      <c r="BT914" s="25"/>
      <c r="BU914" s="25"/>
      <c r="BV914" s="25"/>
    </row>
    <row r="915" spans="1:74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25"/>
      <c r="BS915" s="25"/>
      <c r="BT915" s="25"/>
      <c r="BU915" s="25"/>
      <c r="BV915" s="25"/>
    </row>
    <row r="916" spans="1:74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25"/>
      <c r="BS916" s="25"/>
      <c r="BT916" s="25"/>
      <c r="BU916" s="25"/>
      <c r="BV916" s="25"/>
    </row>
    <row r="917" spans="1:74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25"/>
      <c r="BS917" s="25"/>
      <c r="BT917" s="25"/>
      <c r="BU917" s="25"/>
      <c r="BV917" s="25"/>
    </row>
    <row r="918" spans="1:74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25"/>
      <c r="BS918" s="25"/>
      <c r="BT918" s="25"/>
      <c r="BU918" s="25"/>
      <c r="BV918" s="25"/>
    </row>
    <row r="919" spans="1:74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25"/>
      <c r="BS919" s="25"/>
      <c r="BT919" s="25"/>
      <c r="BU919" s="25"/>
      <c r="BV919" s="25"/>
    </row>
    <row r="920" spans="1:74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25"/>
      <c r="BS920" s="25"/>
      <c r="BT920" s="25"/>
      <c r="BU920" s="25"/>
      <c r="BV920" s="25"/>
    </row>
    <row r="921" spans="1:74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25"/>
      <c r="BS921" s="25"/>
      <c r="BT921" s="25"/>
      <c r="BU921" s="25"/>
      <c r="BV921" s="25"/>
    </row>
    <row r="922" spans="1:74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25"/>
      <c r="BS922" s="25"/>
      <c r="BT922" s="25"/>
      <c r="BU922" s="25"/>
      <c r="BV922" s="25"/>
    </row>
    <row r="923" spans="1:74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25"/>
      <c r="BS923" s="25"/>
      <c r="BT923" s="25"/>
      <c r="BU923" s="25"/>
      <c r="BV923" s="25"/>
    </row>
    <row r="924" spans="1:7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25"/>
      <c r="BS924" s="25"/>
      <c r="BT924" s="25"/>
      <c r="BU924" s="25"/>
      <c r="BV924" s="25"/>
    </row>
    <row r="925" spans="1:74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25"/>
      <c r="BS925" s="25"/>
      <c r="BT925" s="25"/>
      <c r="BU925" s="25"/>
      <c r="BV925" s="25"/>
    </row>
    <row r="926" spans="1:74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25"/>
      <c r="BS926" s="25"/>
      <c r="BT926" s="25"/>
      <c r="BU926" s="25"/>
      <c r="BV926" s="25"/>
    </row>
    <row r="927" spans="1:74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25"/>
      <c r="BS927" s="25"/>
      <c r="BT927" s="25"/>
      <c r="BU927" s="25"/>
      <c r="BV927" s="25"/>
    </row>
    <row r="928" spans="1:74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25"/>
      <c r="BS928" s="25"/>
      <c r="BT928" s="25"/>
      <c r="BU928" s="25"/>
      <c r="BV928" s="25"/>
    </row>
    <row r="929" spans="1:74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25"/>
      <c r="BS929" s="25"/>
      <c r="BT929" s="25"/>
      <c r="BU929" s="25"/>
      <c r="BV929" s="25"/>
    </row>
    <row r="930" spans="1:74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25"/>
      <c r="BS930" s="25"/>
      <c r="BT930" s="25"/>
      <c r="BU930" s="25"/>
      <c r="BV930" s="25"/>
    </row>
    <row r="931" spans="1:74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25"/>
      <c r="BS931" s="25"/>
      <c r="BT931" s="25"/>
      <c r="BU931" s="25"/>
      <c r="BV931" s="25"/>
    </row>
    <row r="932" spans="1:74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25"/>
      <c r="BS932" s="25"/>
      <c r="BT932" s="25"/>
      <c r="BU932" s="25"/>
      <c r="BV932" s="25"/>
    </row>
    <row r="933" spans="1:74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25"/>
      <c r="BS933" s="25"/>
      <c r="BT933" s="25"/>
      <c r="BU933" s="25"/>
      <c r="BV933" s="25"/>
    </row>
    <row r="934" spans="1:7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25"/>
      <c r="BS934" s="25"/>
      <c r="BT934" s="25"/>
      <c r="BU934" s="25"/>
      <c r="BV934" s="25"/>
    </row>
    <row r="935" spans="1:74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25"/>
      <c r="BS935" s="25"/>
      <c r="BT935" s="25"/>
      <c r="BU935" s="25"/>
      <c r="BV935" s="25"/>
    </row>
    <row r="936" spans="1:74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25"/>
      <c r="BS936" s="25"/>
      <c r="BT936" s="25"/>
      <c r="BU936" s="25"/>
      <c r="BV936" s="25"/>
    </row>
    <row r="937" spans="1:74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25"/>
      <c r="BS937" s="25"/>
      <c r="BT937" s="25"/>
      <c r="BU937" s="25"/>
      <c r="BV937" s="25"/>
    </row>
    <row r="938" spans="1:74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25"/>
      <c r="BS938" s="25"/>
      <c r="BT938" s="25"/>
      <c r="BU938" s="25"/>
      <c r="BV938" s="25"/>
    </row>
    <row r="939" spans="1:74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25"/>
      <c r="BS939" s="25"/>
      <c r="BT939" s="25"/>
      <c r="BU939" s="25"/>
      <c r="BV939" s="25"/>
    </row>
    <row r="940" spans="1:74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25"/>
      <c r="BS940" s="25"/>
      <c r="BT940" s="25"/>
      <c r="BU940" s="25"/>
      <c r="BV940" s="25"/>
    </row>
    <row r="941" spans="1:74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25"/>
      <c r="BS941" s="25"/>
      <c r="BT941" s="25"/>
      <c r="BU941" s="25"/>
      <c r="BV941" s="25"/>
    </row>
    <row r="942" spans="1:74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25"/>
      <c r="BS942" s="25"/>
      <c r="BT942" s="25"/>
      <c r="BU942" s="25"/>
      <c r="BV942" s="25"/>
    </row>
    <row r="943" spans="1:74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25"/>
      <c r="BS943" s="25"/>
      <c r="BT943" s="25"/>
      <c r="BU943" s="25"/>
      <c r="BV943" s="25"/>
    </row>
    <row r="944" spans="1:7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25"/>
      <c r="BS944" s="25"/>
      <c r="BT944" s="25"/>
      <c r="BU944" s="25"/>
      <c r="BV944" s="25"/>
    </row>
    <row r="945" spans="1:74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25"/>
      <c r="BS945" s="25"/>
      <c r="BT945" s="25"/>
      <c r="BU945" s="25"/>
      <c r="BV945" s="25"/>
    </row>
    <row r="946" spans="1:74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25"/>
      <c r="BS946" s="25"/>
      <c r="BT946" s="25"/>
      <c r="BU946" s="25"/>
      <c r="BV946" s="25"/>
    </row>
    <row r="947" spans="1:74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25"/>
      <c r="BS947" s="25"/>
      <c r="BT947" s="25"/>
      <c r="BU947" s="25"/>
      <c r="BV947" s="25"/>
    </row>
    <row r="948" spans="1:74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25"/>
      <c r="BS948" s="25"/>
      <c r="BT948" s="25"/>
      <c r="BU948" s="25"/>
      <c r="BV948" s="25"/>
    </row>
    <row r="949" spans="1:74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25"/>
      <c r="BS949" s="25"/>
      <c r="BT949" s="25"/>
      <c r="BU949" s="25"/>
      <c r="BV949" s="25"/>
    </row>
    <row r="950" spans="1:74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25"/>
      <c r="BS950" s="25"/>
      <c r="BT950" s="25"/>
      <c r="BU950" s="25"/>
      <c r="BV950" s="25"/>
    </row>
    <row r="951" spans="1:74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25"/>
      <c r="BS951" s="25"/>
      <c r="BT951" s="25"/>
      <c r="BU951" s="25"/>
      <c r="BV951" s="25"/>
    </row>
    <row r="952" spans="1:74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25"/>
      <c r="BS952" s="25"/>
      <c r="BT952" s="25"/>
      <c r="BU952" s="25"/>
      <c r="BV952" s="25"/>
    </row>
    <row r="953" spans="1:74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25"/>
      <c r="BS953" s="25"/>
      <c r="BT953" s="25"/>
      <c r="BU953" s="25"/>
      <c r="BV953" s="25"/>
    </row>
    <row r="954" spans="1:7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/>
      <c r="BP954" s="3"/>
      <c r="BQ954" s="3"/>
      <c r="BR954" s="25"/>
      <c r="BS954" s="25"/>
      <c r="BT954" s="25"/>
      <c r="BU954" s="25"/>
      <c r="BV954" s="25"/>
    </row>
    <row r="955" spans="1:74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25"/>
      <c r="BS955" s="25"/>
      <c r="BT955" s="25"/>
      <c r="BU955" s="25"/>
      <c r="BV955" s="25"/>
    </row>
    <row r="956" spans="1:74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/>
      <c r="BP956" s="3"/>
      <c r="BQ956" s="3"/>
      <c r="BR956" s="25"/>
      <c r="BS956" s="25"/>
      <c r="BT956" s="25"/>
      <c r="BU956" s="25"/>
      <c r="BV956" s="25"/>
    </row>
    <row r="957" spans="1:74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/>
      <c r="BP957" s="3"/>
      <c r="BQ957" s="3"/>
      <c r="BR957" s="25"/>
      <c r="BS957" s="25"/>
      <c r="BT957" s="25"/>
      <c r="BU957" s="25"/>
      <c r="BV957" s="25"/>
    </row>
    <row r="958" spans="1:74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/>
      <c r="BP958" s="3"/>
      <c r="BQ958" s="3"/>
      <c r="BR958" s="25"/>
      <c r="BS958" s="25"/>
      <c r="BT958" s="25"/>
      <c r="BU958" s="25"/>
      <c r="BV958" s="25"/>
    </row>
    <row r="959" spans="1:74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/>
      <c r="BP959" s="3"/>
      <c r="BQ959" s="3"/>
      <c r="BR959" s="25"/>
      <c r="BS959" s="25"/>
      <c r="BT959" s="25"/>
      <c r="BU959" s="25"/>
      <c r="BV959" s="25"/>
    </row>
    <row r="960" spans="1:74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25"/>
      <c r="BS960" s="25"/>
      <c r="BT960" s="25"/>
      <c r="BU960" s="25"/>
      <c r="BV960" s="25"/>
    </row>
    <row r="961" spans="1:74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25"/>
      <c r="BS961" s="25"/>
      <c r="BT961" s="25"/>
      <c r="BU961" s="25"/>
      <c r="BV961" s="25"/>
    </row>
    <row r="962" spans="1:74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25"/>
      <c r="BS962" s="25"/>
      <c r="BT962" s="25"/>
      <c r="BU962" s="25"/>
      <c r="BV962" s="25"/>
    </row>
    <row r="963" spans="1:74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25"/>
      <c r="BS963" s="25"/>
      <c r="BT963" s="25"/>
      <c r="BU963" s="25"/>
      <c r="BV963" s="25"/>
    </row>
    <row r="964" spans="1:7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25"/>
      <c r="BS964" s="25"/>
      <c r="BT964" s="25"/>
      <c r="BU964" s="25"/>
      <c r="BV964" s="25"/>
    </row>
    <row r="965" spans="1:74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25"/>
      <c r="BS965" s="25"/>
      <c r="BT965" s="25"/>
      <c r="BU965" s="25"/>
      <c r="BV965" s="25"/>
    </row>
    <row r="966" spans="1:74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25"/>
      <c r="BS966" s="25"/>
      <c r="BT966" s="25"/>
      <c r="BU966" s="25"/>
      <c r="BV966" s="25"/>
    </row>
    <row r="967" spans="1:74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25"/>
      <c r="BS967" s="25"/>
      <c r="BT967" s="25"/>
      <c r="BU967" s="25"/>
      <c r="BV967" s="25"/>
    </row>
    <row r="968" spans="1:74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25"/>
      <c r="BS968" s="25"/>
      <c r="BT968" s="25"/>
      <c r="BU968" s="25"/>
      <c r="BV968" s="25"/>
    </row>
    <row r="969" spans="1:74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/>
      <c r="BP969" s="3"/>
      <c r="BQ969" s="3"/>
      <c r="BR969" s="25"/>
      <c r="BS969" s="25"/>
      <c r="BT969" s="25"/>
      <c r="BU969" s="25"/>
      <c r="BV969" s="25"/>
    </row>
    <row r="970" spans="1:74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/>
      <c r="BP970" s="3"/>
      <c r="BQ970" s="3"/>
      <c r="BR970" s="25"/>
      <c r="BS970" s="25"/>
      <c r="BT970" s="25"/>
      <c r="BU970" s="25"/>
      <c r="BV970" s="25"/>
    </row>
    <row r="971" spans="1:74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/>
      <c r="BP971" s="3"/>
      <c r="BQ971" s="3"/>
      <c r="BR971" s="25"/>
      <c r="BS971" s="25"/>
      <c r="BT971" s="25"/>
      <c r="BU971" s="25"/>
      <c r="BV971" s="25"/>
    </row>
    <row r="972" spans="1:74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25"/>
      <c r="BS972" s="25"/>
      <c r="BT972" s="25"/>
      <c r="BU972" s="25"/>
      <c r="BV972" s="25"/>
    </row>
    <row r="973" spans="1:74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25"/>
      <c r="BS973" s="25"/>
      <c r="BT973" s="25"/>
      <c r="BU973" s="25"/>
      <c r="BV973" s="25"/>
    </row>
    <row r="974" spans="1: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25"/>
      <c r="BS974" s="25"/>
      <c r="BT974" s="25"/>
      <c r="BU974" s="25"/>
      <c r="BV974" s="25"/>
    </row>
    <row r="975" spans="1:74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25"/>
      <c r="BS975" s="25"/>
      <c r="BT975" s="25"/>
      <c r="BU975" s="25"/>
      <c r="BV975" s="25"/>
    </row>
    <row r="976" spans="1:74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25"/>
      <c r="BS976" s="25"/>
      <c r="BT976" s="25"/>
      <c r="BU976" s="25"/>
      <c r="BV976" s="25"/>
    </row>
    <row r="977" spans="1:74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25"/>
      <c r="BS977" s="25"/>
      <c r="BT977" s="25"/>
      <c r="BU977" s="25"/>
      <c r="BV977" s="25"/>
    </row>
    <row r="978" spans="1:74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/>
      <c r="BP978" s="3"/>
      <c r="BQ978" s="3"/>
      <c r="BR978" s="25"/>
      <c r="BS978" s="25"/>
      <c r="BT978" s="25"/>
      <c r="BU978" s="25"/>
      <c r="BV978" s="25"/>
    </row>
    <row r="979" spans="1:74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/>
      <c r="BP979" s="3"/>
      <c r="BQ979" s="3"/>
      <c r="BR979" s="25"/>
      <c r="BS979" s="25"/>
      <c r="BT979" s="25"/>
      <c r="BU979" s="25"/>
      <c r="BV979" s="25"/>
    </row>
    <row r="980" spans="1:74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/>
      <c r="BP980" s="3"/>
      <c r="BQ980" s="3"/>
      <c r="BR980" s="25"/>
      <c r="BS980" s="25"/>
      <c r="BT980" s="25"/>
      <c r="BU980" s="25"/>
      <c r="BV980" s="25"/>
    </row>
    <row r="981" spans="1:74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/>
      <c r="BP981" s="3"/>
      <c r="BQ981" s="3"/>
      <c r="BR981" s="25"/>
      <c r="BS981" s="25"/>
      <c r="BT981" s="25"/>
      <c r="BU981" s="25"/>
      <c r="BV981" s="25"/>
    </row>
    <row r="982" spans="1:74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25"/>
      <c r="BS982" s="25"/>
      <c r="BT982" s="25"/>
      <c r="BU982" s="25"/>
      <c r="BV982" s="25"/>
    </row>
    <row r="983" spans="1:74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25"/>
      <c r="BS983" s="25"/>
      <c r="BT983" s="25"/>
      <c r="BU983" s="25"/>
      <c r="BV983" s="25"/>
    </row>
    <row r="984" spans="1:7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/>
      <c r="BP984" s="3"/>
      <c r="BQ984" s="3"/>
      <c r="BR984" s="25"/>
      <c r="BS984" s="25"/>
      <c r="BT984" s="25"/>
      <c r="BU984" s="25"/>
      <c r="BV984" s="25"/>
    </row>
    <row r="985" spans="1:74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25"/>
      <c r="BS985" s="25"/>
      <c r="BT985" s="25"/>
      <c r="BU985" s="25"/>
      <c r="BV985" s="25"/>
    </row>
    <row r="986" spans="1:74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25"/>
      <c r="BS986" s="25"/>
      <c r="BT986" s="25"/>
      <c r="BU986" s="25"/>
      <c r="BV986" s="25"/>
    </row>
    <row r="987" spans="1:74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25"/>
      <c r="BS987" s="25"/>
      <c r="BT987" s="25"/>
      <c r="BU987" s="25"/>
      <c r="BV987" s="25"/>
    </row>
    <row r="988" spans="1:74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25"/>
      <c r="BS988" s="25"/>
      <c r="BT988" s="25"/>
      <c r="BU988" s="25"/>
      <c r="BV988" s="25"/>
    </row>
    <row r="989" spans="1:74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25"/>
      <c r="BS989" s="25"/>
      <c r="BT989" s="25"/>
      <c r="BU989" s="25"/>
      <c r="BV989" s="25"/>
    </row>
    <row r="990" spans="1:74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25"/>
      <c r="BS990" s="25"/>
      <c r="BT990" s="25"/>
      <c r="BU990" s="25"/>
      <c r="BV990" s="25"/>
    </row>
    <row r="991" spans="1:74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25"/>
      <c r="BS991" s="25"/>
      <c r="BT991" s="25"/>
      <c r="BU991" s="25"/>
      <c r="BV991" s="25"/>
    </row>
    <row r="992" spans="1:74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25"/>
      <c r="BS992" s="25"/>
      <c r="BT992" s="25"/>
      <c r="BU992" s="25"/>
      <c r="BV992" s="25"/>
    </row>
    <row r="993" spans="1:74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25"/>
      <c r="BS993" s="25"/>
      <c r="BT993" s="25"/>
      <c r="BU993" s="25"/>
      <c r="BV993" s="25"/>
    </row>
    <row r="994" spans="1:7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25"/>
      <c r="BS994" s="25"/>
      <c r="BT994" s="25"/>
      <c r="BU994" s="25"/>
      <c r="BV994" s="25"/>
    </row>
    <row r="995" spans="1:74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/>
      <c r="BI995" s="3"/>
      <c r="BJ995" s="3"/>
      <c r="BK995" s="3"/>
      <c r="BL995" s="3"/>
      <c r="BM995" s="3"/>
      <c r="BN995" s="3"/>
      <c r="BO995" s="3"/>
      <c r="BP995" s="3"/>
      <c r="BQ995" s="3"/>
      <c r="BR995" s="25"/>
      <c r="BS995" s="25"/>
      <c r="BT995" s="25"/>
      <c r="BU995" s="25"/>
      <c r="BV995" s="25"/>
    </row>
    <row r="996" spans="1:74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/>
      <c r="BI996" s="3"/>
      <c r="BJ996" s="3"/>
      <c r="BK996" s="3"/>
      <c r="BL996" s="3"/>
      <c r="BM996" s="3"/>
      <c r="BN996" s="3"/>
      <c r="BO996" s="3"/>
      <c r="BP996" s="3"/>
      <c r="BQ996" s="3"/>
      <c r="BR996" s="25"/>
      <c r="BS996" s="25"/>
      <c r="BT996" s="25"/>
      <c r="BU996" s="25"/>
      <c r="BV996" s="25"/>
    </row>
    <row r="997" spans="1:74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/>
      <c r="BI997" s="3"/>
      <c r="BJ997" s="3"/>
      <c r="BK997" s="3"/>
      <c r="BL997" s="3"/>
      <c r="BM997" s="3"/>
      <c r="BN997" s="3"/>
      <c r="BO997" s="3"/>
      <c r="BP997" s="3"/>
      <c r="BQ997" s="3"/>
      <c r="BR997" s="25"/>
      <c r="BS997" s="25"/>
      <c r="BT997" s="25"/>
      <c r="BU997" s="25"/>
      <c r="BV997" s="25"/>
    </row>
    <row r="998" spans="1:74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25"/>
      <c r="BS998" s="25"/>
      <c r="BT998" s="25"/>
      <c r="BU998" s="25"/>
      <c r="BV998" s="25"/>
    </row>
    <row r="999" spans="1:74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25"/>
      <c r="BS999" s="25"/>
      <c r="BT999" s="25"/>
      <c r="BU999" s="25"/>
      <c r="BV999" s="25"/>
    </row>
    <row r="1000" spans="1:74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25"/>
      <c r="BS1000" s="25"/>
      <c r="BT1000" s="25"/>
      <c r="BU1000" s="25"/>
      <c r="BV1000" s="25"/>
    </row>
  </sheetData>
  <mergeCells count="22">
    <mergeCell ref="BB9:BB10"/>
    <mergeCell ref="B1:R3"/>
    <mergeCell ref="B6:R6"/>
    <mergeCell ref="B7:B10"/>
    <mergeCell ref="C7:C10"/>
    <mergeCell ref="D7:F8"/>
    <mergeCell ref="G7:H7"/>
    <mergeCell ref="I7:R8"/>
    <mergeCell ref="N9:R9"/>
    <mergeCell ref="F22:K23"/>
    <mergeCell ref="F41:J41"/>
    <mergeCell ref="F42:I42"/>
    <mergeCell ref="H45:J45"/>
    <mergeCell ref="H9:H10"/>
    <mergeCell ref="I9:M9"/>
    <mergeCell ref="G8:H8"/>
    <mergeCell ref="AP8:AU8"/>
    <mergeCell ref="D9:D10"/>
    <mergeCell ref="E9:E10"/>
    <mergeCell ref="F9:F10"/>
    <mergeCell ref="G9:G10"/>
    <mergeCell ref="AP9:AP10"/>
  </mergeCells>
  <conditionalFormatting sqref="F31:K40">
    <cfRule type="containsBlanks" dxfId="0" priority="1">
      <formula>LEN(TRIM(F31))=0</formula>
    </cfRule>
  </conditionalFormatting>
  <dataValidations count="4">
    <dataValidation type="list" allowBlank="1" showErrorMessage="1" sqref="F11:F20" xr:uid="{00000000-0002-0000-0700-000000000000}">
      <formula1>$AK$10:$AM$10</formula1>
    </dataValidation>
    <dataValidation type="list" allowBlank="1" showErrorMessage="1" sqref="I11:I20 N11:N20" xr:uid="{00000000-0002-0000-0700-000001000000}">
      <formula1>$V$11:$V$17</formula1>
    </dataValidation>
    <dataValidation type="list" allowBlank="1" showErrorMessage="1" sqref="G8" xr:uid="{00000000-0002-0000-0700-000002000000}">
      <formula1>$AJ$11:$AJ$14</formula1>
    </dataValidation>
    <dataValidation type="list" allowBlank="1" showErrorMessage="1" sqref="K11:K20" xr:uid="{00000000-0002-0000-0700-000003000000}">
      <formula1>$T$11:$T$15</formula1>
    </dataValidation>
  </dataValidation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showGridLines="0" workbookViewId="0">
      <pane ySplit="5" topLeftCell="A21" activePane="bottomLeft" state="frozen"/>
      <selection pane="bottomLeft" activeCell="D5" sqref="D5"/>
    </sheetView>
  </sheetViews>
  <sheetFormatPr defaultColWidth="12.625" defaultRowHeight="15" customHeight="1"/>
  <cols>
    <col min="1" max="1" width="25" customWidth="1"/>
    <col min="2" max="2" width="14.5" customWidth="1"/>
    <col min="3" max="5" width="9" customWidth="1"/>
    <col min="6" max="6" width="9" hidden="1" customWidth="1"/>
    <col min="7" max="26" width="8.625" customWidth="1"/>
  </cols>
  <sheetData>
    <row r="1" spans="1:26" ht="14.25" customHeight="1">
      <c r="A1" s="94"/>
      <c r="B1" s="95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94"/>
      <c r="B2" s="95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94"/>
      <c r="B3" s="9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94"/>
      <c r="B4" s="9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94"/>
      <c r="B5" s="9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96"/>
      <c r="B6" s="97"/>
    </row>
    <row r="7" spans="1:26" ht="14.25" customHeight="1">
      <c r="A7" s="262" t="s">
        <v>205</v>
      </c>
      <c r="B7" s="259" t="s">
        <v>206</v>
      </c>
    </row>
    <row r="8" spans="1:26" ht="14.25" customHeight="1">
      <c r="A8" s="174" t="s">
        <v>54</v>
      </c>
      <c r="B8" s="275">
        <v>220</v>
      </c>
    </row>
    <row r="9" spans="1:26" ht="14.25" customHeight="1">
      <c r="A9" s="174" t="s">
        <v>60</v>
      </c>
      <c r="B9" s="275">
        <f>1750/2</f>
        <v>875</v>
      </c>
    </row>
    <row r="10" spans="1:26" ht="14.25" customHeight="1">
      <c r="A10" s="174" t="s">
        <v>62</v>
      </c>
      <c r="B10" s="275">
        <f>3750/2</f>
        <v>1875</v>
      </c>
    </row>
    <row r="11" spans="1:26" ht="14.25" customHeight="1">
      <c r="A11" s="174" t="s">
        <v>30</v>
      </c>
      <c r="B11" s="275">
        <v>95</v>
      </c>
    </row>
    <row r="12" spans="1:26" ht="14.25" customHeight="1">
      <c r="A12" s="174" t="s">
        <v>207</v>
      </c>
      <c r="B12" s="275">
        <v>165</v>
      </c>
      <c r="C12" s="98"/>
    </row>
    <row r="13" spans="1:26" ht="14.25" customHeight="1">
      <c r="A13" s="174" t="s">
        <v>208</v>
      </c>
      <c r="B13" s="275">
        <v>205.66901408450704</v>
      </c>
    </row>
    <row r="14" spans="1:26" ht="14.25" customHeight="1">
      <c r="A14" s="174" t="s">
        <v>209</v>
      </c>
      <c r="B14" s="275">
        <v>247.5</v>
      </c>
    </row>
    <row r="15" spans="1:26" ht="14.25" customHeight="1">
      <c r="A15" s="174" t="s">
        <v>210</v>
      </c>
      <c r="B15" s="275">
        <v>288.16901408450707</v>
      </c>
    </row>
    <row r="16" spans="1:26" ht="14.25" customHeight="1">
      <c r="A16" s="174" t="s">
        <v>211</v>
      </c>
      <c r="B16" s="275">
        <v>328.83802816901408</v>
      </c>
    </row>
    <row r="17" spans="1:2" ht="14.25" customHeight="1">
      <c r="A17" s="174" t="s">
        <v>212</v>
      </c>
      <c r="B17" s="275">
        <v>235.88028169014083</v>
      </c>
    </row>
    <row r="18" spans="1:2" ht="14.25" customHeight="1">
      <c r="A18" s="174" t="s">
        <v>213</v>
      </c>
      <c r="B18" s="275">
        <v>295.14084507042253</v>
      </c>
    </row>
    <row r="19" spans="1:2" ht="14.25" customHeight="1">
      <c r="A19" s="174" t="s">
        <v>214</v>
      </c>
      <c r="B19" s="275">
        <v>354.40140845070425</v>
      </c>
    </row>
    <row r="20" spans="1:2" ht="14.25" customHeight="1">
      <c r="A20" s="174" t="s">
        <v>215</v>
      </c>
      <c r="B20" s="275">
        <v>413.66197183098592</v>
      </c>
    </row>
    <row r="21" spans="1:2" ht="14.25" customHeight="1">
      <c r="A21" s="174" t="s">
        <v>216</v>
      </c>
      <c r="B21" s="275">
        <v>471.76056338028167</v>
      </c>
    </row>
    <row r="22" spans="1:2" ht="14.25" customHeight="1">
      <c r="A22" s="174" t="s">
        <v>217</v>
      </c>
      <c r="B22" s="275">
        <v>419.47183098591552</v>
      </c>
    </row>
    <row r="23" spans="1:2" ht="14.25" customHeight="1">
      <c r="A23" s="174" t="s">
        <v>218</v>
      </c>
      <c r="B23" s="275">
        <v>524.04929577464793</v>
      </c>
    </row>
    <row r="24" spans="1:2" ht="14.25" customHeight="1">
      <c r="A24" s="174" t="s">
        <v>219</v>
      </c>
      <c r="B24" s="275">
        <v>628.62676056338023</v>
      </c>
    </row>
    <row r="25" spans="1:2" ht="14.25" customHeight="1">
      <c r="A25" s="174" t="s">
        <v>220</v>
      </c>
      <c r="B25" s="275">
        <v>733.20422535211264</v>
      </c>
    </row>
    <row r="26" spans="1:2" ht="14.25" customHeight="1">
      <c r="A26" s="174" t="s">
        <v>221</v>
      </c>
      <c r="B26" s="275">
        <v>837.78169014084506</v>
      </c>
    </row>
    <row r="27" spans="1:2" ht="14.25" customHeight="1">
      <c r="A27" s="174" t="s">
        <v>222</v>
      </c>
      <c r="B27" s="275">
        <v>655.35211267605632</v>
      </c>
    </row>
    <row r="28" spans="1:2" ht="14.25" customHeight="1">
      <c r="A28" s="174" t="s">
        <v>223</v>
      </c>
      <c r="B28" s="275">
        <v>818.02816901408448</v>
      </c>
    </row>
    <row r="29" spans="1:2" ht="14.25" customHeight="1">
      <c r="A29" s="174" t="s">
        <v>224</v>
      </c>
      <c r="B29" s="275">
        <v>981.86619718309862</v>
      </c>
    </row>
    <row r="30" spans="1:2" ht="14.25" customHeight="1">
      <c r="A30" s="174" t="s">
        <v>225</v>
      </c>
      <c r="B30" s="275">
        <v>1145.7042253521126</v>
      </c>
    </row>
    <row r="31" spans="1:2" ht="14.25" customHeight="1">
      <c r="A31" s="174" t="s">
        <v>226</v>
      </c>
      <c r="B31" s="275">
        <v>1309.5422535211267</v>
      </c>
    </row>
    <row r="32" spans="1:2" ht="14.25" customHeight="1">
      <c r="A32" s="174" t="s">
        <v>227</v>
      </c>
      <c r="B32" s="275">
        <v>1020.2112676056338</v>
      </c>
    </row>
    <row r="33" spans="1:2" ht="14.25" customHeight="1">
      <c r="A33" s="174" t="s">
        <v>228</v>
      </c>
      <c r="B33" s="275">
        <v>1275.8450704225352</v>
      </c>
    </row>
    <row r="34" spans="1:2" ht="14.25" customHeight="1">
      <c r="A34" s="174" t="s">
        <v>229</v>
      </c>
      <c r="B34" s="275">
        <v>1530.3169014084508</v>
      </c>
    </row>
    <row r="35" spans="1:2" ht="14.25" customHeight="1">
      <c r="A35" s="174" t="s">
        <v>230</v>
      </c>
      <c r="B35" s="275">
        <v>1785.9507042253522</v>
      </c>
    </row>
    <row r="36" spans="1:2" ht="14.25" customHeight="1">
      <c r="A36" s="174" t="s">
        <v>231</v>
      </c>
      <c r="B36" s="275">
        <v>2040.4225352112676</v>
      </c>
    </row>
    <row r="37" spans="1:2" ht="14.25" customHeight="1">
      <c r="A37" s="174" t="s">
        <v>232</v>
      </c>
      <c r="B37" s="275">
        <v>1280.4929577464789</v>
      </c>
    </row>
    <row r="38" spans="1:2" ht="14.25" customHeight="1">
      <c r="A38" s="174" t="s">
        <v>233</v>
      </c>
      <c r="B38" s="275">
        <v>1600.0352112676057</v>
      </c>
    </row>
    <row r="39" spans="1:2" ht="14.25" customHeight="1">
      <c r="A39" s="174" t="s">
        <v>234</v>
      </c>
      <c r="B39" s="275">
        <v>1919.5774647887324</v>
      </c>
    </row>
    <row r="40" spans="1:2" ht="14.25" customHeight="1">
      <c r="A40" s="174" t="s">
        <v>235</v>
      </c>
      <c r="B40" s="275">
        <v>2240.2816901408451</v>
      </c>
    </row>
    <row r="41" spans="1:2" ht="14.25" customHeight="1">
      <c r="A41" s="174" t="s">
        <v>236</v>
      </c>
      <c r="B41" s="275">
        <v>2559.823943661972</v>
      </c>
    </row>
    <row r="42" spans="1:2" ht="14.25" customHeight="1">
      <c r="A42" s="174" t="s">
        <v>237</v>
      </c>
      <c r="B42" s="275">
        <v>1672.0774647887324</v>
      </c>
    </row>
    <row r="43" spans="1:2" ht="14.25" customHeight="1">
      <c r="A43" s="174" t="s">
        <v>238</v>
      </c>
      <c r="B43" s="275">
        <v>2090.3873239436621</v>
      </c>
    </row>
    <row r="44" spans="1:2" ht="14.25" customHeight="1">
      <c r="A44" s="174" t="s">
        <v>239</v>
      </c>
      <c r="B44" s="275">
        <v>2508.6971830985917</v>
      </c>
    </row>
    <row r="45" spans="1:2" ht="14.25" customHeight="1">
      <c r="A45" s="174" t="s">
        <v>240</v>
      </c>
      <c r="B45" s="275">
        <v>2925.8450704225352</v>
      </c>
    </row>
    <row r="46" spans="1:2" ht="14.25" customHeight="1">
      <c r="A46" s="174" t="s">
        <v>241</v>
      </c>
      <c r="B46" s="275">
        <v>3344.1549295774648</v>
      </c>
    </row>
    <row r="47" spans="1:2" ht="14.25" customHeight="1">
      <c r="A47" s="174" t="s">
        <v>242</v>
      </c>
      <c r="B47" s="275">
        <v>1200</v>
      </c>
    </row>
    <row r="48" spans="1:2" ht="14.25" customHeight="1">
      <c r="A48" s="174" t="s">
        <v>202</v>
      </c>
      <c r="B48" s="275">
        <v>14</v>
      </c>
    </row>
    <row r="49" spans="1:2" ht="14.25" customHeight="1">
      <c r="A49" s="174" t="s">
        <v>203</v>
      </c>
      <c r="B49" s="275">
        <v>18</v>
      </c>
    </row>
    <row r="50" spans="1:2" ht="14.25" customHeight="1">
      <c r="A50" s="174" t="s">
        <v>204</v>
      </c>
      <c r="B50" s="275">
        <v>25</v>
      </c>
    </row>
    <row r="51" spans="1:2" ht="14.25" customHeight="1">
      <c r="A51" s="174" t="s">
        <v>243</v>
      </c>
      <c r="B51" s="275">
        <v>275</v>
      </c>
    </row>
    <row r="52" spans="1:2" ht="14.25" customHeight="1">
      <c r="A52" s="174" t="s">
        <v>244</v>
      </c>
      <c r="B52" s="275">
        <v>210</v>
      </c>
    </row>
    <row r="53" spans="1:2" ht="14.25" customHeight="1">
      <c r="A53" s="174" t="s">
        <v>245</v>
      </c>
      <c r="B53" s="275">
        <v>320</v>
      </c>
    </row>
    <row r="54" spans="1:2" ht="14.25" customHeight="1">
      <c r="A54" s="174" t="s">
        <v>246</v>
      </c>
      <c r="B54" s="275">
        <v>1200</v>
      </c>
    </row>
    <row r="55" spans="1:2" ht="14.25" customHeight="1">
      <c r="A55" s="174" t="s">
        <v>247</v>
      </c>
      <c r="B55" s="275">
        <v>90</v>
      </c>
    </row>
    <row r="56" spans="1:2" ht="14.25" customHeight="1">
      <c r="A56" s="174" t="s">
        <v>248</v>
      </c>
      <c r="B56" s="275">
        <v>90</v>
      </c>
    </row>
    <row r="57" spans="1:2" ht="14.25" customHeight="1">
      <c r="B57" s="97"/>
    </row>
    <row r="58" spans="1:2" ht="14.25" customHeight="1">
      <c r="B58" s="97"/>
    </row>
    <row r="59" spans="1:2" ht="14.25" customHeight="1">
      <c r="B59" s="97"/>
    </row>
    <row r="60" spans="1:2" ht="14.25" customHeight="1">
      <c r="B60" s="97"/>
    </row>
    <row r="61" spans="1:2" ht="14.25" customHeight="1">
      <c r="B61" s="97"/>
    </row>
    <row r="62" spans="1:2" ht="14.25" customHeight="1">
      <c r="B62" s="97"/>
    </row>
    <row r="63" spans="1:2" ht="14.25" customHeight="1">
      <c r="B63" s="97"/>
    </row>
    <row r="64" spans="1:2" ht="14.25" customHeight="1">
      <c r="B64" s="97"/>
    </row>
    <row r="65" spans="2:2" ht="14.25" customHeight="1">
      <c r="B65" s="97"/>
    </row>
    <row r="66" spans="2:2" ht="14.25" customHeight="1">
      <c r="B66" s="97"/>
    </row>
    <row r="67" spans="2:2" ht="14.25" customHeight="1">
      <c r="B67" s="97"/>
    </row>
    <row r="68" spans="2:2" ht="14.25" customHeight="1">
      <c r="B68" s="97"/>
    </row>
    <row r="69" spans="2:2" ht="14.25" customHeight="1">
      <c r="B69" s="97"/>
    </row>
    <row r="70" spans="2:2" ht="14.25" customHeight="1">
      <c r="B70" s="97"/>
    </row>
    <row r="71" spans="2:2" ht="14.25" customHeight="1">
      <c r="B71" s="97"/>
    </row>
    <row r="72" spans="2:2" ht="14.25" customHeight="1">
      <c r="B72" s="97"/>
    </row>
    <row r="73" spans="2:2" ht="14.25" customHeight="1">
      <c r="B73" s="97"/>
    </row>
    <row r="74" spans="2:2" ht="14.25" customHeight="1">
      <c r="B74" s="97"/>
    </row>
    <row r="75" spans="2:2" ht="14.25" customHeight="1">
      <c r="B75" s="97"/>
    </row>
    <row r="76" spans="2:2" ht="14.25" customHeight="1">
      <c r="B76" s="97"/>
    </row>
    <row r="77" spans="2:2" ht="14.25" customHeight="1">
      <c r="B77" s="97"/>
    </row>
    <row r="78" spans="2:2" ht="14.25" customHeight="1">
      <c r="B78" s="97"/>
    </row>
    <row r="79" spans="2:2" ht="14.25" customHeight="1">
      <c r="B79" s="97"/>
    </row>
    <row r="80" spans="2:2" ht="14.25" customHeight="1">
      <c r="B80" s="97"/>
    </row>
    <row r="81" spans="2:2" ht="14.25" customHeight="1">
      <c r="B81" s="97"/>
    </row>
    <row r="82" spans="2:2" ht="14.25" customHeight="1">
      <c r="B82" s="97"/>
    </row>
    <row r="83" spans="2:2" ht="14.25" customHeight="1">
      <c r="B83" s="97"/>
    </row>
    <row r="84" spans="2:2" ht="14.25" customHeight="1">
      <c r="B84" s="97"/>
    </row>
    <row r="85" spans="2:2" ht="14.25" customHeight="1">
      <c r="B85" s="97"/>
    </row>
    <row r="86" spans="2:2" ht="14.25" customHeight="1">
      <c r="B86" s="97"/>
    </row>
    <row r="87" spans="2:2" ht="14.25" customHeight="1">
      <c r="B87" s="97"/>
    </row>
    <row r="88" spans="2:2" ht="14.25" customHeight="1">
      <c r="B88" s="97"/>
    </row>
    <row r="89" spans="2:2" ht="14.25" customHeight="1">
      <c r="B89" s="97"/>
    </row>
    <row r="90" spans="2:2" ht="14.25" customHeight="1">
      <c r="B90" s="97"/>
    </row>
    <row r="91" spans="2:2" ht="14.25" customHeight="1">
      <c r="B91" s="97"/>
    </row>
    <row r="92" spans="2:2" ht="14.25" customHeight="1">
      <c r="B92" s="97"/>
    </row>
    <row r="93" spans="2:2" ht="14.25" customHeight="1">
      <c r="B93" s="97"/>
    </row>
    <row r="94" spans="2:2" ht="14.25" customHeight="1">
      <c r="B94" s="97"/>
    </row>
    <row r="95" spans="2:2" ht="14.25" customHeight="1">
      <c r="B95" s="97"/>
    </row>
    <row r="96" spans="2:2" ht="14.25" customHeight="1">
      <c r="B96" s="97"/>
    </row>
    <row r="97" spans="2:2" ht="14.25" customHeight="1">
      <c r="B97" s="97"/>
    </row>
    <row r="98" spans="2:2" ht="14.25" customHeight="1">
      <c r="B98" s="97"/>
    </row>
    <row r="99" spans="2:2" ht="14.25" customHeight="1">
      <c r="B99" s="97"/>
    </row>
    <row r="100" spans="2:2" ht="14.25" customHeight="1">
      <c r="B100" s="97"/>
    </row>
    <row r="101" spans="2:2" ht="14.25" customHeight="1">
      <c r="B101" s="97"/>
    </row>
    <row r="102" spans="2:2" ht="14.25" customHeight="1">
      <c r="B102" s="97"/>
    </row>
    <row r="103" spans="2:2" ht="14.25" customHeight="1">
      <c r="B103" s="97"/>
    </row>
    <row r="104" spans="2:2" ht="14.25" customHeight="1">
      <c r="B104" s="97"/>
    </row>
    <row r="105" spans="2:2" ht="14.25" customHeight="1">
      <c r="B105" s="97"/>
    </row>
    <row r="106" spans="2:2" ht="14.25" customHeight="1">
      <c r="B106" s="97"/>
    </row>
    <row r="107" spans="2:2" ht="14.25" customHeight="1">
      <c r="B107" s="97"/>
    </row>
    <row r="108" spans="2:2" ht="14.25" customHeight="1">
      <c r="B108" s="97"/>
    </row>
    <row r="109" spans="2:2" ht="14.25" customHeight="1">
      <c r="B109" s="97"/>
    </row>
    <row r="110" spans="2:2" ht="14.25" customHeight="1">
      <c r="B110" s="97"/>
    </row>
    <row r="111" spans="2:2" ht="14.25" customHeight="1">
      <c r="B111" s="97"/>
    </row>
    <row r="112" spans="2:2" ht="14.25" customHeight="1">
      <c r="B112" s="97"/>
    </row>
    <row r="113" spans="2:2" ht="14.25" customHeight="1">
      <c r="B113" s="97"/>
    </row>
    <row r="114" spans="2:2" ht="14.25" customHeight="1">
      <c r="B114" s="97"/>
    </row>
    <row r="115" spans="2:2" ht="14.25" customHeight="1">
      <c r="B115" s="97"/>
    </row>
    <row r="116" spans="2:2" ht="14.25" customHeight="1">
      <c r="B116" s="97"/>
    </row>
    <row r="117" spans="2:2" ht="14.25" customHeight="1">
      <c r="B117" s="97"/>
    </row>
    <row r="118" spans="2:2" ht="14.25" customHeight="1">
      <c r="B118" s="97"/>
    </row>
    <row r="119" spans="2:2" ht="14.25" customHeight="1">
      <c r="B119" s="97"/>
    </row>
    <row r="120" spans="2:2" ht="14.25" customHeight="1">
      <c r="B120" s="97"/>
    </row>
    <row r="121" spans="2:2" ht="14.25" customHeight="1">
      <c r="B121" s="97"/>
    </row>
    <row r="122" spans="2:2" ht="14.25" customHeight="1">
      <c r="B122" s="97"/>
    </row>
    <row r="123" spans="2:2" ht="14.25" customHeight="1">
      <c r="B123" s="97"/>
    </row>
    <row r="124" spans="2:2" ht="14.25" customHeight="1">
      <c r="B124" s="97"/>
    </row>
    <row r="125" spans="2:2" ht="14.25" customHeight="1">
      <c r="B125" s="97"/>
    </row>
    <row r="126" spans="2:2" ht="14.25" customHeight="1">
      <c r="B126" s="97"/>
    </row>
    <row r="127" spans="2:2" ht="14.25" customHeight="1">
      <c r="B127" s="97"/>
    </row>
    <row r="128" spans="2:2" ht="14.25" customHeight="1">
      <c r="B128" s="97"/>
    </row>
    <row r="129" spans="2:2" ht="14.25" customHeight="1">
      <c r="B129" s="97"/>
    </row>
    <row r="130" spans="2:2" ht="14.25" customHeight="1">
      <c r="B130" s="97"/>
    </row>
    <row r="131" spans="2:2" ht="14.25" customHeight="1">
      <c r="B131" s="97"/>
    </row>
    <row r="132" spans="2:2" ht="14.25" customHeight="1">
      <c r="B132" s="97"/>
    </row>
    <row r="133" spans="2:2" ht="14.25" customHeight="1">
      <c r="B133" s="97"/>
    </row>
    <row r="134" spans="2:2" ht="14.25" customHeight="1">
      <c r="B134" s="97"/>
    </row>
    <row r="135" spans="2:2" ht="14.25" customHeight="1">
      <c r="B135" s="97"/>
    </row>
    <row r="136" spans="2:2" ht="14.25" customHeight="1">
      <c r="B136" s="97"/>
    </row>
    <row r="137" spans="2:2" ht="14.25" customHeight="1">
      <c r="B137" s="97"/>
    </row>
    <row r="138" spans="2:2" ht="14.25" customHeight="1">
      <c r="B138" s="97"/>
    </row>
    <row r="139" spans="2:2" ht="14.25" customHeight="1">
      <c r="B139" s="97"/>
    </row>
    <row r="140" spans="2:2" ht="14.25" customHeight="1">
      <c r="B140" s="97"/>
    </row>
    <row r="141" spans="2:2" ht="14.25" customHeight="1">
      <c r="B141" s="97"/>
    </row>
    <row r="142" spans="2:2" ht="14.25" customHeight="1">
      <c r="B142" s="97"/>
    </row>
    <row r="143" spans="2:2" ht="14.25" customHeight="1">
      <c r="B143" s="97"/>
    </row>
    <row r="144" spans="2:2" ht="14.25" customHeight="1">
      <c r="B144" s="97"/>
    </row>
    <row r="145" spans="2:2" ht="14.25" customHeight="1">
      <c r="B145" s="97"/>
    </row>
    <row r="146" spans="2:2" ht="14.25" customHeight="1">
      <c r="B146" s="97"/>
    </row>
    <row r="147" spans="2:2" ht="14.25" customHeight="1">
      <c r="B147" s="97"/>
    </row>
    <row r="148" spans="2:2" ht="14.25" customHeight="1">
      <c r="B148" s="97"/>
    </row>
    <row r="149" spans="2:2" ht="14.25" customHeight="1">
      <c r="B149" s="97"/>
    </row>
    <row r="150" spans="2:2" ht="14.25" customHeight="1">
      <c r="B150" s="97"/>
    </row>
    <row r="151" spans="2:2" ht="14.25" customHeight="1">
      <c r="B151" s="97"/>
    </row>
    <row r="152" spans="2:2" ht="14.25" customHeight="1">
      <c r="B152" s="97"/>
    </row>
    <row r="153" spans="2:2" ht="14.25" customHeight="1">
      <c r="B153" s="97"/>
    </row>
    <row r="154" spans="2:2" ht="14.25" customHeight="1">
      <c r="B154" s="97"/>
    </row>
    <row r="155" spans="2:2" ht="14.25" customHeight="1">
      <c r="B155" s="97"/>
    </row>
    <row r="156" spans="2:2" ht="14.25" customHeight="1">
      <c r="B156" s="97"/>
    </row>
    <row r="157" spans="2:2" ht="14.25" customHeight="1">
      <c r="B157" s="97"/>
    </row>
    <row r="158" spans="2:2" ht="14.25" customHeight="1">
      <c r="B158" s="97"/>
    </row>
    <row r="159" spans="2:2" ht="14.25" customHeight="1">
      <c r="B159" s="97"/>
    </row>
    <row r="160" spans="2:2" ht="14.25" customHeight="1">
      <c r="B160" s="97"/>
    </row>
    <row r="161" spans="2:2" ht="14.25" customHeight="1">
      <c r="B161" s="97"/>
    </row>
    <row r="162" spans="2:2" ht="14.25" customHeight="1">
      <c r="B162" s="97"/>
    </row>
    <row r="163" spans="2:2" ht="14.25" customHeight="1">
      <c r="B163" s="97"/>
    </row>
    <row r="164" spans="2:2" ht="14.25" customHeight="1">
      <c r="B164" s="97"/>
    </row>
    <row r="165" spans="2:2" ht="14.25" customHeight="1">
      <c r="B165" s="97"/>
    </row>
    <row r="166" spans="2:2" ht="14.25" customHeight="1">
      <c r="B166" s="97"/>
    </row>
    <row r="167" spans="2:2" ht="14.25" customHeight="1">
      <c r="B167" s="97"/>
    </row>
    <row r="168" spans="2:2" ht="14.25" customHeight="1">
      <c r="B168" s="97"/>
    </row>
    <row r="169" spans="2:2" ht="14.25" customHeight="1">
      <c r="B169" s="97"/>
    </row>
    <row r="170" spans="2:2" ht="14.25" customHeight="1">
      <c r="B170" s="97"/>
    </row>
    <row r="171" spans="2:2" ht="14.25" customHeight="1">
      <c r="B171" s="97"/>
    </row>
    <row r="172" spans="2:2" ht="14.25" customHeight="1">
      <c r="B172" s="97"/>
    </row>
    <row r="173" spans="2:2" ht="14.25" customHeight="1">
      <c r="B173" s="97"/>
    </row>
    <row r="174" spans="2:2" ht="14.25" customHeight="1">
      <c r="B174" s="97"/>
    </row>
    <row r="175" spans="2:2" ht="14.25" customHeight="1">
      <c r="B175" s="97"/>
    </row>
    <row r="176" spans="2:2" ht="14.25" customHeight="1">
      <c r="B176" s="97"/>
    </row>
    <row r="177" spans="2:2" ht="14.25" customHeight="1">
      <c r="B177" s="97"/>
    </row>
    <row r="178" spans="2:2" ht="14.25" customHeight="1">
      <c r="B178" s="97"/>
    </row>
    <row r="179" spans="2:2" ht="14.25" customHeight="1">
      <c r="B179" s="97"/>
    </row>
    <row r="180" spans="2:2" ht="14.25" customHeight="1">
      <c r="B180" s="97"/>
    </row>
    <row r="181" spans="2:2" ht="14.25" customHeight="1">
      <c r="B181" s="97"/>
    </row>
    <row r="182" spans="2:2" ht="14.25" customHeight="1">
      <c r="B182" s="97"/>
    </row>
    <row r="183" spans="2:2" ht="14.25" customHeight="1">
      <c r="B183" s="97"/>
    </row>
    <row r="184" spans="2:2" ht="14.25" customHeight="1">
      <c r="B184" s="97"/>
    </row>
    <row r="185" spans="2:2" ht="14.25" customHeight="1">
      <c r="B185" s="97"/>
    </row>
    <row r="186" spans="2:2" ht="14.25" customHeight="1">
      <c r="B186" s="97"/>
    </row>
    <row r="187" spans="2:2" ht="14.25" customHeight="1">
      <c r="B187" s="97"/>
    </row>
    <row r="188" spans="2:2" ht="14.25" customHeight="1">
      <c r="B188" s="97"/>
    </row>
    <row r="189" spans="2:2" ht="14.25" customHeight="1">
      <c r="B189" s="97"/>
    </row>
    <row r="190" spans="2:2" ht="14.25" customHeight="1">
      <c r="B190" s="97"/>
    </row>
    <row r="191" spans="2:2" ht="14.25" customHeight="1">
      <c r="B191" s="97"/>
    </row>
    <row r="192" spans="2:2" ht="14.25" customHeight="1">
      <c r="B192" s="97"/>
    </row>
    <row r="193" spans="2:2" ht="14.25" customHeight="1">
      <c r="B193" s="97"/>
    </row>
    <row r="194" spans="2:2" ht="14.25" customHeight="1">
      <c r="B194" s="97"/>
    </row>
    <row r="195" spans="2:2" ht="14.25" customHeight="1">
      <c r="B195" s="97"/>
    </row>
    <row r="196" spans="2:2" ht="14.25" customHeight="1">
      <c r="B196" s="97"/>
    </row>
    <row r="197" spans="2:2" ht="14.25" customHeight="1">
      <c r="B197" s="97"/>
    </row>
    <row r="198" spans="2:2" ht="14.25" customHeight="1">
      <c r="B198" s="97"/>
    </row>
    <row r="199" spans="2:2" ht="14.25" customHeight="1">
      <c r="B199" s="97"/>
    </row>
    <row r="200" spans="2:2" ht="14.25" customHeight="1">
      <c r="B200" s="97"/>
    </row>
    <row r="201" spans="2:2" ht="14.25" customHeight="1">
      <c r="B201" s="97"/>
    </row>
    <row r="202" spans="2:2" ht="14.25" customHeight="1">
      <c r="B202" s="97"/>
    </row>
    <row r="203" spans="2:2" ht="14.25" customHeight="1">
      <c r="B203" s="97"/>
    </row>
    <row r="204" spans="2:2" ht="14.25" customHeight="1">
      <c r="B204" s="97"/>
    </row>
    <row r="205" spans="2:2" ht="14.25" customHeight="1">
      <c r="B205" s="97"/>
    </row>
    <row r="206" spans="2:2" ht="14.25" customHeight="1">
      <c r="B206" s="97"/>
    </row>
    <row r="207" spans="2:2" ht="14.25" customHeight="1">
      <c r="B207" s="97"/>
    </row>
    <row r="208" spans="2:2" ht="14.25" customHeight="1">
      <c r="B208" s="97"/>
    </row>
    <row r="209" spans="2:2" ht="14.25" customHeight="1">
      <c r="B209" s="97"/>
    </row>
    <row r="210" spans="2:2" ht="14.25" customHeight="1">
      <c r="B210" s="97"/>
    </row>
    <row r="211" spans="2:2" ht="14.25" customHeight="1">
      <c r="B211" s="97"/>
    </row>
    <row r="212" spans="2:2" ht="14.25" customHeight="1">
      <c r="B212" s="97"/>
    </row>
    <row r="213" spans="2:2" ht="14.25" customHeight="1">
      <c r="B213" s="97"/>
    </row>
    <row r="214" spans="2:2" ht="14.25" customHeight="1">
      <c r="B214" s="97"/>
    </row>
    <row r="215" spans="2:2" ht="14.25" customHeight="1">
      <c r="B215" s="97"/>
    </row>
    <row r="216" spans="2:2" ht="14.25" customHeight="1">
      <c r="B216" s="97"/>
    </row>
    <row r="217" spans="2:2" ht="14.25" customHeight="1">
      <c r="B217" s="97"/>
    </row>
    <row r="218" spans="2:2" ht="14.25" customHeight="1">
      <c r="B218" s="97"/>
    </row>
    <row r="219" spans="2:2" ht="14.25" customHeight="1">
      <c r="B219" s="97"/>
    </row>
    <row r="220" spans="2:2" ht="14.25" customHeight="1">
      <c r="B220" s="97"/>
    </row>
    <row r="221" spans="2:2" ht="14.25" customHeight="1">
      <c r="B221" s="97"/>
    </row>
    <row r="222" spans="2:2" ht="14.25" customHeight="1">
      <c r="B222" s="97"/>
    </row>
    <row r="223" spans="2:2" ht="14.25" customHeight="1">
      <c r="B223" s="97"/>
    </row>
    <row r="224" spans="2:2" ht="14.25" customHeight="1">
      <c r="B224" s="97"/>
    </row>
    <row r="225" spans="2:2" ht="14.25" customHeight="1">
      <c r="B225" s="97"/>
    </row>
    <row r="226" spans="2:2" ht="14.25" customHeight="1">
      <c r="B226" s="97"/>
    </row>
    <row r="227" spans="2:2" ht="14.25" customHeight="1">
      <c r="B227" s="97"/>
    </row>
    <row r="228" spans="2:2" ht="14.25" customHeight="1">
      <c r="B228" s="97"/>
    </row>
    <row r="229" spans="2:2" ht="14.25" customHeight="1">
      <c r="B229" s="97"/>
    </row>
    <row r="230" spans="2:2" ht="14.25" customHeight="1">
      <c r="B230" s="97"/>
    </row>
    <row r="231" spans="2:2" ht="14.25" customHeight="1">
      <c r="B231" s="97"/>
    </row>
    <row r="232" spans="2:2" ht="14.25" customHeight="1">
      <c r="B232" s="97"/>
    </row>
    <row r="233" spans="2:2" ht="14.25" customHeight="1">
      <c r="B233" s="97"/>
    </row>
    <row r="234" spans="2:2" ht="14.25" customHeight="1">
      <c r="B234" s="97"/>
    </row>
    <row r="235" spans="2:2" ht="14.25" customHeight="1">
      <c r="B235" s="97"/>
    </row>
    <row r="236" spans="2:2" ht="14.25" customHeight="1">
      <c r="B236" s="97"/>
    </row>
    <row r="237" spans="2:2" ht="14.25" customHeight="1">
      <c r="B237" s="97"/>
    </row>
    <row r="238" spans="2:2" ht="14.25" customHeight="1">
      <c r="B238" s="97"/>
    </row>
    <row r="239" spans="2:2" ht="14.25" customHeight="1">
      <c r="B239" s="97"/>
    </row>
    <row r="240" spans="2:2" ht="14.25" customHeight="1">
      <c r="B240" s="97"/>
    </row>
    <row r="241" spans="2:2" ht="14.25" customHeight="1">
      <c r="B241" s="97"/>
    </row>
    <row r="242" spans="2:2" ht="14.25" customHeight="1">
      <c r="B242" s="97"/>
    </row>
    <row r="243" spans="2:2" ht="14.25" customHeight="1">
      <c r="B243" s="97"/>
    </row>
    <row r="244" spans="2:2" ht="14.25" customHeight="1">
      <c r="B244" s="97"/>
    </row>
    <row r="245" spans="2:2" ht="14.25" customHeight="1">
      <c r="B245" s="97"/>
    </row>
    <row r="246" spans="2:2" ht="14.25" customHeight="1">
      <c r="B246" s="97"/>
    </row>
    <row r="247" spans="2:2" ht="14.25" customHeight="1">
      <c r="B247" s="97"/>
    </row>
    <row r="248" spans="2:2" ht="14.25" customHeight="1">
      <c r="B248" s="97"/>
    </row>
    <row r="249" spans="2:2" ht="14.25" customHeight="1">
      <c r="B249" s="97"/>
    </row>
    <row r="250" spans="2:2" ht="14.25" customHeight="1">
      <c r="B250" s="97"/>
    </row>
    <row r="251" spans="2:2" ht="14.25" customHeight="1">
      <c r="B251" s="97"/>
    </row>
    <row r="252" spans="2:2" ht="14.25" customHeight="1">
      <c r="B252" s="97"/>
    </row>
    <row r="253" spans="2:2" ht="14.25" customHeight="1">
      <c r="B253" s="97"/>
    </row>
    <row r="254" spans="2:2" ht="14.25" customHeight="1">
      <c r="B254" s="97"/>
    </row>
    <row r="255" spans="2:2" ht="14.25" customHeight="1">
      <c r="B255" s="97"/>
    </row>
    <row r="256" spans="2:2" ht="14.25" customHeight="1">
      <c r="B256" s="97"/>
    </row>
    <row r="257" spans="2:2" ht="14.25" customHeight="1">
      <c r="B257" s="97"/>
    </row>
    <row r="258" spans="2:2" ht="14.25" customHeight="1">
      <c r="B258" s="97"/>
    </row>
    <row r="259" spans="2:2" ht="14.25" customHeight="1">
      <c r="B259" s="97"/>
    </row>
    <row r="260" spans="2:2" ht="14.25" customHeight="1">
      <c r="B260" s="97"/>
    </row>
    <row r="261" spans="2:2" ht="14.25" customHeight="1">
      <c r="B261" s="97"/>
    </row>
    <row r="262" spans="2:2" ht="14.25" customHeight="1">
      <c r="B262" s="97"/>
    </row>
    <row r="263" spans="2:2" ht="14.25" customHeight="1">
      <c r="B263" s="97"/>
    </row>
    <row r="264" spans="2:2" ht="14.25" customHeight="1">
      <c r="B264" s="97"/>
    </row>
    <row r="265" spans="2:2" ht="14.25" customHeight="1">
      <c r="B265" s="97"/>
    </row>
    <row r="266" spans="2:2" ht="14.25" customHeight="1">
      <c r="B266" s="97"/>
    </row>
    <row r="267" spans="2:2" ht="14.25" customHeight="1">
      <c r="B267" s="97"/>
    </row>
    <row r="268" spans="2:2" ht="14.25" customHeight="1">
      <c r="B268" s="97"/>
    </row>
    <row r="269" spans="2:2" ht="14.25" customHeight="1">
      <c r="B269" s="97"/>
    </row>
    <row r="270" spans="2:2" ht="14.25" customHeight="1">
      <c r="B270" s="97"/>
    </row>
    <row r="271" spans="2:2" ht="14.25" customHeight="1">
      <c r="B271" s="97"/>
    </row>
    <row r="272" spans="2:2" ht="14.25" customHeight="1">
      <c r="B272" s="97"/>
    </row>
    <row r="273" spans="2:2" ht="14.25" customHeight="1">
      <c r="B273" s="97"/>
    </row>
    <row r="274" spans="2:2" ht="14.25" customHeight="1">
      <c r="B274" s="97"/>
    </row>
    <row r="275" spans="2:2" ht="14.25" customHeight="1">
      <c r="B275" s="97"/>
    </row>
    <row r="276" spans="2:2" ht="14.25" customHeight="1">
      <c r="B276" s="97"/>
    </row>
    <row r="277" spans="2:2" ht="14.25" customHeight="1">
      <c r="B277" s="97"/>
    </row>
    <row r="278" spans="2:2" ht="14.25" customHeight="1">
      <c r="B278" s="97"/>
    </row>
    <row r="279" spans="2:2" ht="14.25" customHeight="1">
      <c r="B279" s="97"/>
    </row>
    <row r="280" spans="2:2" ht="14.25" customHeight="1">
      <c r="B280" s="97"/>
    </row>
    <row r="281" spans="2:2" ht="14.25" customHeight="1">
      <c r="B281" s="97"/>
    </row>
    <row r="282" spans="2:2" ht="14.25" customHeight="1">
      <c r="B282" s="97"/>
    </row>
    <row r="283" spans="2:2" ht="14.25" customHeight="1">
      <c r="B283" s="97"/>
    </row>
    <row r="284" spans="2:2" ht="14.25" customHeight="1">
      <c r="B284" s="97"/>
    </row>
    <row r="285" spans="2:2" ht="14.25" customHeight="1">
      <c r="B285" s="97"/>
    </row>
    <row r="286" spans="2:2" ht="14.25" customHeight="1">
      <c r="B286" s="97"/>
    </row>
    <row r="287" spans="2:2" ht="14.25" customHeight="1">
      <c r="B287" s="97"/>
    </row>
    <row r="288" spans="2:2" ht="14.25" customHeight="1">
      <c r="B288" s="97"/>
    </row>
    <row r="289" spans="2:2" ht="14.25" customHeight="1">
      <c r="B289" s="97"/>
    </row>
    <row r="290" spans="2:2" ht="14.25" customHeight="1">
      <c r="B290" s="97"/>
    </row>
    <row r="291" spans="2:2" ht="14.25" customHeight="1">
      <c r="B291" s="97"/>
    </row>
    <row r="292" spans="2:2" ht="14.25" customHeight="1">
      <c r="B292" s="97"/>
    </row>
    <row r="293" spans="2:2" ht="14.25" customHeight="1">
      <c r="B293" s="97"/>
    </row>
    <row r="294" spans="2:2" ht="14.25" customHeight="1">
      <c r="B294" s="97"/>
    </row>
    <row r="295" spans="2:2" ht="14.25" customHeight="1">
      <c r="B295" s="97"/>
    </row>
    <row r="296" spans="2:2" ht="14.25" customHeight="1">
      <c r="B296" s="97"/>
    </row>
    <row r="297" spans="2:2" ht="14.25" customHeight="1">
      <c r="B297" s="97"/>
    </row>
    <row r="298" spans="2:2" ht="14.25" customHeight="1">
      <c r="B298" s="97"/>
    </row>
    <row r="299" spans="2:2" ht="14.25" customHeight="1">
      <c r="B299" s="97"/>
    </row>
    <row r="300" spans="2:2" ht="14.25" customHeight="1">
      <c r="B300" s="97"/>
    </row>
    <row r="301" spans="2:2" ht="14.25" customHeight="1">
      <c r="B301" s="97"/>
    </row>
    <row r="302" spans="2:2" ht="14.25" customHeight="1">
      <c r="B302" s="97"/>
    </row>
    <row r="303" spans="2:2" ht="14.25" customHeight="1">
      <c r="B303" s="97"/>
    </row>
    <row r="304" spans="2:2" ht="14.25" customHeight="1">
      <c r="B304" s="97"/>
    </row>
    <row r="305" spans="2:2" ht="14.25" customHeight="1">
      <c r="B305" s="97"/>
    </row>
    <row r="306" spans="2:2" ht="14.25" customHeight="1">
      <c r="B306" s="97"/>
    </row>
    <row r="307" spans="2:2" ht="14.25" customHeight="1">
      <c r="B307" s="97"/>
    </row>
    <row r="308" spans="2:2" ht="14.25" customHeight="1">
      <c r="B308" s="97"/>
    </row>
    <row r="309" spans="2:2" ht="14.25" customHeight="1">
      <c r="B309" s="97"/>
    </row>
    <row r="310" spans="2:2" ht="14.25" customHeight="1">
      <c r="B310" s="97"/>
    </row>
    <row r="311" spans="2:2" ht="14.25" customHeight="1">
      <c r="B311" s="97"/>
    </row>
    <row r="312" spans="2:2" ht="14.25" customHeight="1">
      <c r="B312" s="97"/>
    </row>
    <row r="313" spans="2:2" ht="14.25" customHeight="1">
      <c r="B313" s="97"/>
    </row>
    <row r="314" spans="2:2" ht="14.25" customHeight="1">
      <c r="B314" s="97"/>
    </row>
    <row r="315" spans="2:2" ht="14.25" customHeight="1">
      <c r="B315" s="97"/>
    </row>
    <row r="316" spans="2:2" ht="14.25" customHeight="1">
      <c r="B316" s="97"/>
    </row>
    <row r="317" spans="2:2" ht="14.25" customHeight="1">
      <c r="B317" s="97"/>
    </row>
    <row r="318" spans="2:2" ht="14.25" customHeight="1">
      <c r="B318" s="97"/>
    </row>
    <row r="319" spans="2:2" ht="14.25" customHeight="1">
      <c r="B319" s="97"/>
    </row>
    <row r="320" spans="2:2" ht="14.25" customHeight="1">
      <c r="B320" s="97"/>
    </row>
    <row r="321" spans="2:2" ht="14.25" customHeight="1">
      <c r="B321" s="97"/>
    </row>
    <row r="322" spans="2:2" ht="14.25" customHeight="1">
      <c r="B322" s="97"/>
    </row>
    <row r="323" spans="2:2" ht="14.25" customHeight="1">
      <c r="B323" s="97"/>
    </row>
    <row r="324" spans="2:2" ht="14.25" customHeight="1">
      <c r="B324" s="97"/>
    </row>
    <row r="325" spans="2:2" ht="14.25" customHeight="1">
      <c r="B325" s="97"/>
    </row>
    <row r="326" spans="2:2" ht="14.25" customHeight="1">
      <c r="B326" s="97"/>
    </row>
    <row r="327" spans="2:2" ht="14.25" customHeight="1">
      <c r="B327" s="97"/>
    </row>
    <row r="328" spans="2:2" ht="14.25" customHeight="1">
      <c r="B328" s="97"/>
    </row>
    <row r="329" spans="2:2" ht="14.25" customHeight="1">
      <c r="B329" s="97"/>
    </row>
    <row r="330" spans="2:2" ht="14.25" customHeight="1">
      <c r="B330" s="97"/>
    </row>
    <row r="331" spans="2:2" ht="14.25" customHeight="1">
      <c r="B331" s="97"/>
    </row>
    <row r="332" spans="2:2" ht="14.25" customHeight="1">
      <c r="B332" s="97"/>
    </row>
    <row r="333" spans="2:2" ht="14.25" customHeight="1">
      <c r="B333" s="97"/>
    </row>
    <row r="334" spans="2:2" ht="14.25" customHeight="1">
      <c r="B334" s="97"/>
    </row>
    <row r="335" spans="2:2" ht="14.25" customHeight="1">
      <c r="B335" s="97"/>
    </row>
    <row r="336" spans="2:2" ht="14.25" customHeight="1">
      <c r="B336" s="97"/>
    </row>
    <row r="337" spans="2:2" ht="14.25" customHeight="1">
      <c r="B337" s="97"/>
    </row>
    <row r="338" spans="2:2" ht="14.25" customHeight="1">
      <c r="B338" s="97"/>
    </row>
    <row r="339" spans="2:2" ht="14.25" customHeight="1">
      <c r="B339" s="97"/>
    </row>
    <row r="340" spans="2:2" ht="14.25" customHeight="1">
      <c r="B340" s="97"/>
    </row>
    <row r="341" spans="2:2" ht="14.25" customHeight="1">
      <c r="B341" s="97"/>
    </row>
    <row r="342" spans="2:2" ht="14.25" customHeight="1">
      <c r="B342" s="97"/>
    </row>
    <row r="343" spans="2:2" ht="14.25" customHeight="1">
      <c r="B343" s="97"/>
    </row>
    <row r="344" spans="2:2" ht="14.25" customHeight="1">
      <c r="B344" s="97"/>
    </row>
    <row r="345" spans="2:2" ht="14.25" customHeight="1">
      <c r="B345" s="97"/>
    </row>
    <row r="346" spans="2:2" ht="14.25" customHeight="1">
      <c r="B346" s="97"/>
    </row>
    <row r="347" spans="2:2" ht="14.25" customHeight="1">
      <c r="B347" s="97"/>
    </row>
    <row r="348" spans="2:2" ht="14.25" customHeight="1">
      <c r="B348" s="97"/>
    </row>
    <row r="349" spans="2:2" ht="14.25" customHeight="1">
      <c r="B349" s="97"/>
    </row>
    <row r="350" spans="2:2" ht="14.25" customHeight="1">
      <c r="B350" s="97"/>
    </row>
    <row r="351" spans="2:2" ht="14.25" customHeight="1">
      <c r="B351" s="97"/>
    </row>
    <row r="352" spans="2:2" ht="14.25" customHeight="1">
      <c r="B352" s="97"/>
    </row>
    <row r="353" spans="2:2" ht="14.25" customHeight="1">
      <c r="B353" s="97"/>
    </row>
    <row r="354" spans="2:2" ht="14.25" customHeight="1">
      <c r="B354" s="97"/>
    </row>
    <row r="355" spans="2:2" ht="14.25" customHeight="1">
      <c r="B355" s="97"/>
    </row>
    <row r="356" spans="2:2" ht="14.25" customHeight="1">
      <c r="B356" s="97"/>
    </row>
    <row r="357" spans="2:2" ht="14.25" customHeight="1">
      <c r="B357" s="97"/>
    </row>
    <row r="358" spans="2:2" ht="14.25" customHeight="1">
      <c r="B358" s="97"/>
    </row>
    <row r="359" spans="2:2" ht="14.25" customHeight="1">
      <c r="B359" s="97"/>
    </row>
    <row r="360" spans="2:2" ht="14.25" customHeight="1">
      <c r="B360" s="97"/>
    </row>
    <row r="361" spans="2:2" ht="14.25" customHeight="1">
      <c r="B361" s="97"/>
    </row>
    <row r="362" spans="2:2" ht="14.25" customHeight="1">
      <c r="B362" s="97"/>
    </row>
    <row r="363" spans="2:2" ht="14.25" customHeight="1">
      <c r="B363" s="97"/>
    </row>
    <row r="364" spans="2:2" ht="14.25" customHeight="1">
      <c r="B364" s="97"/>
    </row>
    <row r="365" spans="2:2" ht="14.25" customHeight="1">
      <c r="B365" s="97"/>
    </row>
    <row r="366" spans="2:2" ht="14.25" customHeight="1">
      <c r="B366" s="97"/>
    </row>
    <row r="367" spans="2:2" ht="14.25" customHeight="1">
      <c r="B367" s="97"/>
    </row>
    <row r="368" spans="2:2" ht="14.25" customHeight="1">
      <c r="B368" s="97"/>
    </row>
    <row r="369" spans="2:2" ht="14.25" customHeight="1">
      <c r="B369" s="97"/>
    </row>
    <row r="370" spans="2:2" ht="14.25" customHeight="1">
      <c r="B370" s="97"/>
    </row>
    <row r="371" spans="2:2" ht="14.25" customHeight="1">
      <c r="B371" s="97"/>
    </row>
    <row r="372" spans="2:2" ht="14.25" customHeight="1">
      <c r="B372" s="97"/>
    </row>
    <row r="373" spans="2:2" ht="14.25" customHeight="1">
      <c r="B373" s="97"/>
    </row>
    <row r="374" spans="2:2" ht="14.25" customHeight="1">
      <c r="B374" s="97"/>
    </row>
    <row r="375" spans="2:2" ht="14.25" customHeight="1">
      <c r="B375" s="97"/>
    </row>
    <row r="376" spans="2:2" ht="14.25" customHeight="1">
      <c r="B376" s="97"/>
    </row>
    <row r="377" spans="2:2" ht="14.25" customHeight="1">
      <c r="B377" s="97"/>
    </row>
    <row r="378" spans="2:2" ht="14.25" customHeight="1">
      <c r="B378" s="97"/>
    </row>
    <row r="379" spans="2:2" ht="14.25" customHeight="1">
      <c r="B379" s="97"/>
    </row>
    <row r="380" spans="2:2" ht="14.25" customHeight="1">
      <c r="B380" s="97"/>
    </row>
    <row r="381" spans="2:2" ht="14.25" customHeight="1">
      <c r="B381" s="97"/>
    </row>
    <row r="382" spans="2:2" ht="14.25" customHeight="1">
      <c r="B382" s="97"/>
    </row>
    <row r="383" spans="2:2" ht="14.25" customHeight="1">
      <c r="B383" s="97"/>
    </row>
    <row r="384" spans="2:2" ht="14.25" customHeight="1">
      <c r="B384" s="97"/>
    </row>
    <row r="385" spans="2:2" ht="14.25" customHeight="1">
      <c r="B385" s="97"/>
    </row>
    <row r="386" spans="2:2" ht="14.25" customHeight="1">
      <c r="B386" s="97"/>
    </row>
    <row r="387" spans="2:2" ht="14.25" customHeight="1">
      <c r="B387" s="97"/>
    </row>
    <row r="388" spans="2:2" ht="14.25" customHeight="1">
      <c r="B388" s="97"/>
    </row>
    <row r="389" spans="2:2" ht="14.25" customHeight="1">
      <c r="B389" s="97"/>
    </row>
    <row r="390" spans="2:2" ht="14.25" customHeight="1">
      <c r="B390" s="97"/>
    </row>
    <row r="391" spans="2:2" ht="14.25" customHeight="1">
      <c r="B391" s="97"/>
    </row>
    <row r="392" spans="2:2" ht="14.25" customHeight="1">
      <c r="B392" s="97"/>
    </row>
    <row r="393" spans="2:2" ht="14.25" customHeight="1">
      <c r="B393" s="97"/>
    </row>
    <row r="394" spans="2:2" ht="14.25" customHeight="1">
      <c r="B394" s="97"/>
    </row>
    <row r="395" spans="2:2" ht="14.25" customHeight="1">
      <c r="B395" s="97"/>
    </row>
    <row r="396" spans="2:2" ht="14.25" customHeight="1">
      <c r="B396" s="97"/>
    </row>
    <row r="397" spans="2:2" ht="14.25" customHeight="1">
      <c r="B397" s="97"/>
    </row>
    <row r="398" spans="2:2" ht="14.25" customHeight="1">
      <c r="B398" s="97"/>
    </row>
    <row r="399" spans="2:2" ht="14.25" customHeight="1">
      <c r="B399" s="97"/>
    </row>
    <row r="400" spans="2:2" ht="14.25" customHeight="1">
      <c r="B400" s="97"/>
    </row>
    <row r="401" spans="2:2" ht="14.25" customHeight="1">
      <c r="B401" s="97"/>
    </row>
    <row r="402" spans="2:2" ht="14.25" customHeight="1">
      <c r="B402" s="97"/>
    </row>
    <row r="403" spans="2:2" ht="14.25" customHeight="1">
      <c r="B403" s="97"/>
    </row>
    <row r="404" spans="2:2" ht="14.25" customHeight="1">
      <c r="B404" s="97"/>
    </row>
    <row r="405" spans="2:2" ht="14.25" customHeight="1">
      <c r="B405" s="97"/>
    </row>
    <row r="406" spans="2:2" ht="14.25" customHeight="1">
      <c r="B406" s="97"/>
    </row>
    <row r="407" spans="2:2" ht="14.25" customHeight="1">
      <c r="B407" s="97"/>
    </row>
    <row r="408" spans="2:2" ht="14.25" customHeight="1">
      <c r="B408" s="97"/>
    </row>
    <row r="409" spans="2:2" ht="14.25" customHeight="1">
      <c r="B409" s="97"/>
    </row>
    <row r="410" spans="2:2" ht="14.25" customHeight="1">
      <c r="B410" s="97"/>
    </row>
    <row r="411" spans="2:2" ht="14.25" customHeight="1">
      <c r="B411" s="97"/>
    </row>
    <row r="412" spans="2:2" ht="14.25" customHeight="1">
      <c r="B412" s="97"/>
    </row>
    <row r="413" spans="2:2" ht="14.25" customHeight="1">
      <c r="B413" s="97"/>
    </row>
    <row r="414" spans="2:2" ht="14.25" customHeight="1">
      <c r="B414" s="97"/>
    </row>
    <row r="415" spans="2:2" ht="14.25" customHeight="1">
      <c r="B415" s="97"/>
    </row>
    <row r="416" spans="2:2" ht="14.25" customHeight="1">
      <c r="B416" s="97"/>
    </row>
    <row r="417" spans="2:2" ht="14.25" customHeight="1">
      <c r="B417" s="97"/>
    </row>
    <row r="418" spans="2:2" ht="14.25" customHeight="1">
      <c r="B418" s="97"/>
    </row>
    <row r="419" spans="2:2" ht="14.25" customHeight="1">
      <c r="B419" s="97"/>
    </row>
    <row r="420" spans="2:2" ht="14.25" customHeight="1">
      <c r="B420" s="97"/>
    </row>
    <row r="421" spans="2:2" ht="14.25" customHeight="1">
      <c r="B421" s="97"/>
    </row>
    <row r="422" spans="2:2" ht="14.25" customHeight="1">
      <c r="B422" s="97"/>
    </row>
    <row r="423" spans="2:2" ht="14.25" customHeight="1">
      <c r="B423" s="97"/>
    </row>
    <row r="424" spans="2:2" ht="14.25" customHeight="1">
      <c r="B424" s="97"/>
    </row>
    <row r="425" spans="2:2" ht="14.25" customHeight="1">
      <c r="B425" s="97"/>
    </row>
    <row r="426" spans="2:2" ht="14.25" customHeight="1">
      <c r="B426" s="97"/>
    </row>
    <row r="427" spans="2:2" ht="14.25" customHeight="1">
      <c r="B427" s="97"/>
    </row>
    <row r="428" spans="2:2" ht="14.25" customHeight="1">
      <c r="B428" s="97"/>
    </row>
    <row r="429" spans="2:2" ht="14.25" customHeight="1">
      <c r="B429" s="97"/>
    </row>
    <row r="430" spans="2:2" ht="14.25" customHeight="1">
      <c r="B430" s="97"/>
    </row>
    <row r="431" spans="2:2" ht="14.25" customHeight="1">
      <c r="B431" s="97"/>
    </row>
    <row r="432" spans="2:2" ht="14.25" customHeight="1">
      <c r="B432" s="97"/>
    </row>
    <row r="433" spans="2:2" ht="14.25" customHeight="1">
      <c r="B433" s="97"/>
    </row>
    <row r="434" spans="2:2" ht="14.25" customHeight="1">
      <c r="B434" s="97"/>
    </row>
    <row r="435" spans="2:2" ht="14.25" customHeight="1">
      <c r="B435" s="97"/>
    </row>
    <row r="436" spans="2:2" ht="14.25" customHeight="1">
      <c r="B436" s="97"/>
    </row>
    <row r="437" spans="2:2" ht="14.25" customHeight="1">
      <c r="B437" s="97"/>
    </row>
    <row r="438" spans="2:2" ht="14.25" customHeight="1">
      <c r="B438" s="97"/>
    </row>
    <row r="439" spans="2:2" ht="14.25" customHeight="1">
      <c r="B439" s="97"/>
    </row>
    <row r="440" spans="2:2" ht="14.25" customHeight="1">
      <c r="B440" s="97"/>
    </row>
    <row r="441" spans="2:2" ht="14.25" customHeight="1">
      <c r="B441" s="97"/>
    </row>
    <row r="442" spans="2:2" ht="14.25" customHeight="1">
      <c r="B442" s="97"/>
    </row>
    <row r="443" spans="2:2" ht="14.25" customHeight="1">
      <c r="B443" s="97"/>
    </row>
    <row r="444" spans="2:2" ht="14.25" customHeight="1">
      <c r="B444" s="97"/>
    </row>
    <row r="445" spans="2:2" ht="14.25" customHeight="1">
      <c r="B445" s="97"/>
    </row>
    <row r="446" spans="2:2" ht="14.25" customHeight="1">
      <c r="B446" s="97"/>
    </row>
    <row r="447" spans="2:2" ht="14.25" customHeight="1">
      <c r="B447" s="97"/>
    </row>
    <row r="448" spans="2:2" ht="14.25" customHeight="1">
      <c r="B448" s="97"/>
    </row>
    <row r="449" spans="2:2" ht="14.25" customHeight="1">
      <c r="B449" s="97"/>
    </row>
    <row r="450" spans="2:2" ht="14.25" customHeight="1">
      <c r="B450" s="97"/>
    </row>
    <row r="451" spans="2:2" ht="14.25" customHeight="1">
      <c r="B451" s="97"/>
    </row>
    <row r="452" spans="2:2" ht="14.25" customHeight="1">
      <c r="B452" s="97"/>
    </row>
    <row r="453" spans="2:2" ht="14.25" customHeight="1">
      <c r="B453" s="97"/>
    </row>
    <row r="454" spans="2:2" ht="14.25" customHeight="1">
      <c r="B454" s="97"/>
    </row>
    <row r="455" spans="2:2" ht="14.25" customHeight="1">
      <c r="B455" s="97"/>
    </row>
    <row r="456" spans="2:2" ht="14.25" customHeight="1">
      <c r="B456" s="97"/>
    </row>
    <row r="457" spans="2:2" ht="14.25" customHeight="1">
      <c r="B457" s="97"/>
    </row>
    <row r="458" spans="2:2" ht="14.25" customHeight="1">
      <c r="B458" s="97"/>
    </row>
    <row r="459" spans="2:2" ht="14.25" customHeight="1">
      <c r="B459" s="97"/>
    </row>
    <row r="460" spans="2:2" ht="14.25" customHeight="1">
      <c r="B460" s="97"/>
    </row>
    <row r="461" spans="2:2" ht="14.25" customHeight="1">
      <c r="B461" s="97"/>
    </row>
    <row r="462" spans="2:2" ht="14.25" customHeight="1">
      <c r="B462" s="97"/>
    </row>
    <row r="463" spans="2:2" ht="14.25" customHeight="1">
      <c r="B463" s="97"/>
    </row>
    <row r="464" spans="2:2" ht="14.25" customHeight="1">
      <c r="B464" s="97"/>
    </row>
    <row r="465" spans="2:2" ht="14.25" customHeight="1">
      <c r="B465" s="97"/>
    </row>
    <row r="466" spans="2:2" ht="14.25" customHeight="1">
      <c r="B466" s="97"/>
    </row>
    <row r="467" spans="2:2" ht="14.25" customHeight="1">
      <c r="B467" s="97"/>
    </row>
    <row r="468" spans="2:2" ht="14.25" customHeight="1">
      <c r="B468" s="97"/>
    </row>
    <row r="469" spans="2:2" ht="14.25" customHeight="1">
      <c r="B469" s="97"/>
    </row>
    <row r="470" spans="2:2" ht="14.25" customHeight="1">
      <c r="B470" s="97"/>
    </row>
    <row r="471" spans="2:2" ht="14.25" customHeight="1">
      <c r="B471" s="97"/>
    </row>
    <row r="472" spans="2:2" ht="14.25" customHeight="1">
      <c r="B472" s="97"/>
    </row>
    <row r="473" spans="2:2" ht="14.25" customHeight="1">
      <c r="B473" s="97"/>
    </row>
    <row r="474" spans="2:2" ht="14.25" customHeight="1">
      <c r="B474" s="97"/>
    </row>
    <row r="475" spans="2:2" ht="14.25" customHeight="1">
      <c r="B475" s="97"/>
    </row>
    <row r="476" spans="2:2" ht="14.25" customHeight="1">
      <c r="B476" s="97"/>
    </row>
    <row r="477" spans="2:2" ht="14.25" customHeight="1">
      <c r="B477" s="97"/>
    </row>
    <row r="478" spans="2:2" ht="14.25" customHeight="1">
      <c r="B478" s="97"/>
    </row>
    <row r="479" spans="2:2" ht="14.25" customHeight="1">
      <c r="B479" s="97"/>
    </row>
    <row r="480" spans="2:2" ht="14.25" customHeight="1">
      <c r="B480" s="97"/>
    </row>
    <row r="481" spans="2:2" ht="14.25" customHeight="1">
      <c r="B481" s="97"/>
    </row>
    <row r="482" spans="2:2" ht="14.25" customHeight="1">
      <c r="B482" s="97"/>
    </row>
    <row r="483" spans="2:2" ht="14.25" customHeight="1">
      <c r="B483" s="97"/>
    </row>
    <row r="484" spans="2:2" ht="14.25" customHeight="1">
      <c r="B484" s="97"/>
    </row>
    <row r="485" spans="2:2" ht="14.25" customHeight="1">
      <c r="B485" s="97"/>
    </row>
    <row r="486" spans="2:2" ht="14.25" customHeight="1">
      <c r="B486" s="97"/>
    </row>
    <row r="487" spans="2:2" ht="14.25" customHeight="1">
      <c r="B487" s="97"/>
    </row>
    <row r="488" spans="2:2" ht="14.25" customHeight="1">
      <c r="B488" s="97"/>
    </row>
    <row r="489" spans="2:2" ht="14.25" customHeight="1">
      <c r="B489" s="97"/>
    </row>
    <row r="490" spans="2:2" ht="14.25" customHeight="1">
      <c r="B490" s="97"/>
    </row>
    <row r="491" spans="2:2" ht="14.25" customHeight="1">
      <c r="B491" s="97"/>
    </row>
    <row r="492" spans="2:2" ht="14.25" customHeight="1">
      <c r="B492" s="97"/>
    </row>
    <row r="493" spans="2:2" ht="14.25" customHeight="1">
      <c r="B493" s="97"/>
    </row>
    <row r="494" spans="2:2" ht="14.25" customHeight="1">
      <c r="B494" s="97"/>
    </row>
    <row r="495" spans="2:2" ht="14.25" customHeight="1">
      <c r="B495" s="97"/>
    </row>
    <row r="496" spans="2:2" ht="14.25" customHeight="1">
      <c r="B496" s="97"/>
    </row>
    <row r="497" spans="2:2" ht="14.25" customHeight="1">
      <c r="B497" s="97"/>
    </row>
    <row r="498" spans="2:2" ht="14.25" customHeight="1">
      <c r="B498" s="97"/>
    </row>
    <row r="499" spans="2:2" ht="14.25" customHeight="1">
      <c r="B499" s="97"/>
    </row>
    <row r="500" spans="2:2" ht="14.25" customHeight="1">
      <c r="B500" s="97"/>
    </row>
    <row r="501" spans="2:2" ht="14.25" customHeight="1">
      <c r="B501" s="97"/>
    </row>
    <row r="502" spans="2:2" ht="14.25" customHeight="1">
      <c r="B502" s="97"/>
    </row>
    <row r="503" spans="2:2" ht="14.25" customHeight="1">
      <c r="B503" s="97"/>
    </row>
    <row r="504" spans="2:2" ht="14.25" customHeight="1">
      <c r="B504" s="97"/>
    </row>
    <row r="505" spans="2:2" ht="14.25" customHeight="1">
      <c r="B505" s="97"/>
    </row>
    <row r="506" spans="2:2" ht="14.25" customHeight="1">
      <c r="B506" s="97"/>
    </row>
    <row r="507" spans="2:2" ht="14.25" customHeight="1">
      <c r="B507" s="97"/>
    </row>
    <row r="508" spans="2:2" ht="14.25" customHeight="1">
      <c r="B508" s="97"/>
    </row>
    <row r="509" spans="2:2" ht="14.25" customHeight="1">
      <c r="B509" s="97"/>
    </row>
    <row r="510" spans="2:2" ht="14.25" customHeight="1">
      <c r="B510" s="97"/>
    </row>
    <row r="511" spans="2:2" ht="14.25" customHeight="1">
      <c r="B511" s="97"/>
    </row>
    <row r="512" spans="2:2" ht="14.25" customHeight="1">
      <c r="B512" s="97"/>
    </row>
    <row r="513" spans="2:2" ht="14.25" customHeight="1">
      <c r="B513" s="97"/>
    </row>
    <row r="514" spans="2:2" ht="14.25" customHeight="1">
      <c r="B514" s="97"/>
    </row>
    <row r="515" spans="2:2" ht="14.25" customHeight="1">
      <c r="B515" s="97"/>
    </row>
    <row r="516" spans="2:2" ht="14.25" customHeight="1">
      <c r="B516" s="97"/>
    </row>
    <row r="517" spans="2:2" ht="14.25" customHeight="1">
      <c r="B517" s="97"/>
    </row>
    <row r="518" spans="2:2" ht="14.25" customHeight="1">
      <c r="B518" s="97"/>
    </row>
    <row r="519" spans="2:2" ht="14.25" customHeight="1">
      <c r="B519" s="97"/>
    </row>
    <row r="520" spans="2:2" ht="14.25" customHeight="1">
      <c r="B520" s="97"/>
    </row>
    <row r="521" spans="2:2" ht="14.25" customHeight="1">
      <c r="B521" s="97"/>
    </row>
    <row r="522" spans="2:2" ht="14.25" customHeight="1">
      <c r="B522" s="97"/>
    </row>
    <row r="523" spans="2:2" ht="14.25" customHeight="1">
      <c r="B523" s="97"/>
    </row>
    <row r="524" spans="2:2" ht="14.25" customHeight="1">
      <c r="B524" s="97"/>
    </row>
    <row r="525" spans="2:2" ht="14.25" customHeight="1">
      <c r="B525" s="97"/>
    </row>
    <row r="526" spans="2:2" ht="14.25" customHeight="1">
      <c r="B526" s="97"/>
    </row>
    <row r="527" spans="2:2" ht="14.25" customHeight="1">
      <c r="B527" s="97"/>
    </row>
    <row r="528" spans="2:2" ht="14.25" customHeight="1">
      <c r="B528" s="97"/>
    </row>
    <row r="529" spans="2:2" ht="14.25" customHeight="1">
      <c r="B529" s="97"/>
    </row>
    <row r="530" spans="2:2" ht="14.25" customHeight="1">
      <c r="B530" s="97"/>
    </row>
    <row r="531" spans="2:2" ht="14.25" customHeight="1">
      <c r="B531" s="97"/>
    </row>
    <row r="532" spans="2:2" ht="14.25" customHeight="1">
      <c r="B532" s="97"/>
    </row>
    <row r="533" spans="2:2" ht="14.25" customHeight="1">
      <c r="B533" s="97"/>
    </row>
    <row r="534" spans="2:2" ht="14.25" customHeight="1">
      <c r="B534" s="97"/>
    </row>
    <row r="535" spans="2:2" ht="14.25" customHeight="1">
      <c r="B535" s="97"/>
    </row>
    <row r="536" spans="2:2" ht="14.25" customHeight="1">
      <c r="B536" s="97"/>
    </row>
    <row r="537" spans="2:2" ht="14.25" customHeight="1">
      <c r="B537" s="97"/>
    </row>
    <row r="538" spans="2:2" ht="14.25" customHeight="1">
      <c r="B538" s="97"/>
    </row>
    <row r="539" spans="2:2" ht="14.25" customHeight="1">
      <c r="B539" s="97"/>
    </row>
    <row r="540" spans="2:2" ht="14.25" customHeight="1">
      <c r="B540" s="97"/>
    </row>
    <row r="541" spans="2:2" ht="14.25" customHeight="1">
      <c r="B541" s="97"/>
    </row>
    <row r="542" spans="2:2" ht="14.25" customHeight="1">
      <c r="B542" s="97"/>
    </row>
    <row r="543" spans="2:2" ht="14.25" customHeight="1">
      <c r="B543" s="97"/>
    </row>
    <row r="544" spans="2:2" ht="14.25" customHeight="1">
      <c r="B544" s="97"/>
    </row>
    <row r="545" spans="2:2" ht="14.25" customHeight="1">
      <c r="B545" s="97"/>
    </row>
    <row r="546" spans="2:2" ht="14.25" customHeight="1">
      <c r="B546" s="97"/>
    </row>
    <row r="547" spans="2:2" ht="14.25" customHeight="1">
      <c r="B547" s="97"/>
    </row>
    <row r="548" spans="2:2" ht="14.25" customHeight="1">
      <c r="B548" s="97"/>
    </row>
    <row r="549" spans="2:2" ht="14.25" customHeight="1">
      <c r="B549" s="97"/>
    </row>
    <row r="550" spans="2:2" ht="14.25" customHeight="1">
      <c r="B550" s="97"/>
    </row>
    <row r="551" spans="2:2" ht="14.25" customHeight="1">
      <c r="B551" s="97"/>
    </row>
    <row r="552" spans="2:2" ht="14.25" customHeight="1">
      <c r="B552" s="97"/>
    </row>
    <row r="553" spans="2:2" ht="14.25" customHeight="1">
      <c r="B553" s="97"/>
    </row>
    <row r="554" spans="2:2" ht="14.25" customHeight="1">
      <c r="B554" s="97"/>
    </row>
    <row r="555" spans="2:2" ht="14.25" customHeight="1">
      <c r="B555" s="97"/>
    </row>
    <row r="556" spans="2:2" ht="14.25" customHeight="1">
      <c r="B556" s="97"/>
    </row>
    <row r="557" spans="2:2" ht="14.25" customHeight="1">
      <c r="B557" s="97"/>
    </row>
    <row r="558" spans="2:2" ht="14.25" customHeight="1">
      <c r="B558" s="97"/>
    </row>
    <row r="559" spans="2:2" ht="14.25" customHeight="1">
      <c r="B559" s="97"/>
    </row>
    <row r="560" spans="2:2" ht="14.25" customHeight="1">
      <c r="B560" s="97"/>
    </row>
    <row r="561" spans="2:2" ht="14.25" customHeight="1">
      <c r="B561" s="97"/>
    </row>
    <row r="562" spans="2:2" ht="14.25" customHeight="1">
      <c r="B562" s="97"/>
    </row>
    <row r="563" spans="2:2" ht="14.25" customHeight="1">
      <c r="B563" s="97"/>
    </row>
    <row r="564" spans="2:2" ht="14.25" customHeight="1">
      <c r="B564" s="97"/>
    </row>
    <row r="565" spans="2:2" ht="14.25" customHeight="1">
      <c r="B565" s="97"/>
    </row>
    <row r="566" spans="2:2" ht="14.25" customHeight="1">
      <c r="B566" s="97"/>
    </row>
    <row r="567" spans="2:2" ht="14.25" customHeight="1">
      <c r="B567" s="97"/>
    </row>
    <row r="568" spans="2:2" ht="14.25" customHeight="1">
      <c r="B568" s="97"/>
    </row>
    <row r="569" spans="2:2" ht="14.25" customHeight="1">
      <c r="B569" s="97"/>
    </row>
    <row r="570" spans="2:2" ht="14.25" customHeight="1">
      <c r="B570" s="97"/>
    </row>
    <row r="571" spans="2:2" ht="14.25" customHeight="1">
      <c r="B571" s="97"/>
    </row>
    <row r="572" spans="2:2" ht="14.25" customHeight="1">
      <c r="B572" s="97"/>
    </row>
    <row r="573" spans="2:2" ht="14.25" customHeight="1">
      <c r="B573" s="97"/>
    </row>
    <row r="574" spans="2:2" ht="14.25" customHeight="1">
      <c r="B574" s="97"/>
    </row>
    <row r="575" spans="2:2" ht="14.25" customHeight="1">
      <c r="B575" s="97"/>
    </row>
    <row r="576" spans="2:2" ht="14.25" customHeight="1">
      <c r="B576" s="97"/>
    </row>
    <row r="577" spans="2:2" ht="14.25" customHeight="1">
      <c r="B577" s="97"/>
    </row>
    <row r="578" spans="2:2" ht="14.25" customHeight="1">
      <c r="B578" s="97"/>
    </row>
    <row r="579" spans="2:2" ht="14.25" customHeight="1">
      <c r="B579" s="97"/>
    </row>
    <row r="580" spans="2:2" ht="14.25" customHeight="1">
      <c r="B580" s="97"/>
    </row>
    <row r="581" spans="2:2" ht="14.25" customHeight="1">
      <c r="B581" s="97"/>
    </row>
    <row r="582" spans="2:2" ht="14.25" customHeight="1">
      <c r="B582" s="97"/>
    </row>
    <row r="583" spans="2:2" ht="14.25" customHeight="1">
      <c r="B583" s="97"/>
    </row>
    <row r="584" spans="2:2" ht="14.25" customHeight="1">
      <c r="B584" s="97"/>
    </row>
    <row r="585" spans="2:2" ht="14.25" customHeight="1">
      <c r="B585" s="97"/>
    </row>
    <row r="586" spans="2:2" ht="14.25" customHeight="1">
      <c r="B586" s="97"/>
    </row>
    <row r="587" spans="2:2" ht="14.25" customHeight="1">
      <c r="B587" s="97"/>
    </row>
    <row r="588" spans="2:2" ht="14.25" customHeight="1">
      <c r="B588" s="97"/>
    </row>
    <row r="589" spans="2:2" ht="14.25" customHeight="1">
      <c r="B589" s="97"/>
    </row>
    <row r="590" spans="2:2" ht="14.25" customHeight="1">
      <c r="B590" s="97"/>
    </row>
    <row r="591" spans="2:2" ht="14.25" customHeight="1">
      <c r="B591" s="97"/>
    </row>
    <row r="592" spans="2:2" ht="14.25" customHeight="1">
      <c r="B592" s="97"/>
    </row>
    <row r="593" spans="2:2" ht="14.25" customHeight="1">
      <c r="B593" s="97"/>
    </row>
    <row r="594" spans="2:2" ht="14.25" customHeight="1">
      <c r="B594" s="97"/>
    </row>
    <row r="595" spans="2:2" ht="14.25" customHeight="1">
      <c r="B595" s="97"/>
    </row>
    <row r="596" spans="2:2" ht="14.25" customHeight="1">
      <c r="B596" s="97"/>
    </row>
    <row r="597" spans="2:2" ht="14.25" customHeight="1">
      <c r="B597" s="97"/>
    </row>
    <row r="598" spans="2:2" ht="14.25" customHeight="1">
      <c r="B598" s="97"/>
    </row>
    <row r="599" spans="2:2" ht="14.25" customHeight="1">
      <c r="B599" s="97"/>
    </row>
    <row r="600" spans="2:2" ht="14.25" customHeight="1">
      <c r="B600" s="97"/>
    </row>
    <row r="601" spans="2:2" ht="14.25" customHeight="1">
      <c r="B601" s="97"/>
    </row>
    <row r="602" spans="2:2" ht="14.25" customHeight="1">
      <c r="B602" s="97"/>
    </row>
    <row r="603" spans="2:2" ht="14.25" customHeight="1">
      <c r="B603" s="97"/>
    </row>
    <row r="604" spans="2:2" ht="14.25" customHeight="1">
      <c r="B604" s="97"/>
    </row>
    <row r="605" spans="2:2" ht="14.25" customHeight="1">
      <c r="B605" s="97"/>
    </row>
    <row r="606" spans="2:2" ht="14.25" customHeight="1">
      <c r="B606" s="97"/>
    </row>
    <row r="607" spans="2:2" ht="14.25" customHeight="1">
      <c r="B607" s="97"/>
    </row>
    <row r="608" spans="2:2" ht="14.25" customHeight="1">
      <c r="B608" s="97"/>
    </row>
    <row r="609" spans="2:2" ht="14.25" customHeight="1">
      <c r="B609" s="97"/>
    </row>
    <row r="610" spans="2:2" ht="14.25" customHeight="1">
      <c r="B610" s="97"/>
    </row>
    <row r="611" spans="2:2" ht="14.25" customHeight="1">
      <c r="B611" s="97"/>
    </row>
    <row r="612" spans="2:2" ht="14.25" customHeight="1">
      <c r="B612" s="97"/>
    </row>
    <row r="613" spans="2:2" ht="14.25" customHeight="1">
      <c r="B613" s="97"/>
    </row>
    <row r="614" spans="2:2" ht="14.25" customHeight="1">
      <c r="B614" s="97"/>
    </row>
    <row r="615" spans="2:2" ht="14.25" customHeight="1">
      <c r="B615" s="97"/>
    </row>
    <row r="616" spans="2:2" ht="14.25" customHeight="1">
      <c r="B616" s="97"/>
    </row>
    <row r="617" spans="2:2" ht="14.25" customHeight="1">
      <c r="B617" s="97"/>
    </row>
    <row r="618" spans="2:2" ht="14.25" customHeight="1">
      <c r="B618" s="97"/>
    </row>
    <row r="619" spans="2:2" ht="14.25" customHeight="1">
      <c r="B619" s="97"/>
    </row>
    <row r="620" spans="2:2" ht="14.25" customHeight="1">
      <c r="B620" s="97"/>
    </row>
    <row r="621" spans="2:2" ht="14.25" customHeight="1">
      <c r="B621" s="97"/>
    </row>
    <row r="622" spans="2:2" ht="14.25" customHeight="1">
      <c r="B622" s="97"/>
    </row>
    <row r="623" spans="2:2" ht="14.25" customHeight="1">
      <c r="B623" s="97"/>
    </row>
    <row r="624" spans="2:2" ht="14.25" customHeight="1">
      <c r="B624" s="97"/>
    </row>
    <row r="625" spans="2:2" ht="14.25" customHeight="1">
      <c r="B625" s="97"/>
    </row>
    <row r="626" spans="2:2" ht="14.25" customHeight="1">
      <c r="B626" s="97"/>
    </row>
    <row r="627" spans="2:2" ht="14.25" customHeight="1">
      <c r="B627" s="97"/>
    </row>
    <row r="628" spans="2:2" ht="14.25" customHeight="1">
      <c r="B628" s="97"/>
    </row>
    <row r="629" spans="2:2" ht="14.25" customHeight="1">
      <c r="B629" s="97"/>
    </row>
    <row r="630" spans="2:2" ht="14.25" customHeight="1">
      <c r="B630" s="97"/>
    </row>
    <row r="631" spans="2:2" ht="14.25" customHeight="1">
      <c r="B631" s="97"/>
    </row>
    <row r="632" spans="2:2" ht="14.25" customHeight="1">
      <c r="B632" s="97"/>
    </row>
    <row r="633" spans="2:2" ht="14.25" customHeight="1">
      <c r="B633" s="97"/>
    </row>
    <row r="634" spans="2:2" ht="14.25" customHeight="1">
      <c r="B634" s="97"/>
    </row>
    <row r="635" spans="2:2" ht="14.25" customHeight="1">
      <c r="B635" s="97"/>
    </row>
    <row r="636" spans="2:2" ht="14.25" customHeight="1">
      <c r="B636" s="97"/>
    </row>
    <row r="637" spans="2:2" ht="14.25" customHeight="1">
      <c r="B637" s="97"/>
    </row>
    <row r="638" spans="2:2" ht="14.25" customHeight="1">
      <c r="B638" s="97"/>
    </row>
    <row r="639" spans="2:2" ht="14.25" customHeight="1">
      <c r="B639" s="97"/>
    </row>
    <row r="640" spans="2:2" ht="14.25" customHeight="1">
      <c r="B640" s="97"/>
    </row>
    <row r="641" spans="2:2" ht="14.25" customHeight="1">
      <c r="B641" s="97"/>
    </row>
    <row r="642" spans="2:2" ht="14.25" customHeight="1">
      <c r="B642" s="97"/>
    </row>
    <row r="643" spans="2:2" ht="14.25" customHeight="1">
      <c r="B643" s="97"/>
    </row>
    <row r="644" spans="2:2" ht="14.25" customHeight="1">
      <c r="B644" s="97"/>
    </row>
    <row r="645" spans="2:2" ht="14.25" customHeight="1">
      <c r="B645" s="97"/>
    </row>
    <row r="646" spans="2:2" ht="14.25" customHeight="1">
      <c r="B646" s="97"/>
    </row>
    <row r="647" spans="2:2" ht="14.25" customHeight="1">
      <c r="B647" s="97"/>
    </row>
    <row r="648" spans="2:2" ht="14.25" customHeight="1">
      <c r="B648" s="97"/>
    </row>
    <row r="649" spans="2:2" ht="14.25" customHeight="1">
      <c r="B649" s="97"/>
    </row>
    <row r="650" spans="2:2" ht="14.25" customHeight="1">
      <c r="B650" s="97"/>
    </row>
    <row r="651" spans="2:2" ht="14.25" customHeight="1">
      <c r="B651" s="97"/>
    </row>
    <row r="652" spans="2:2" ht="14.25" customHeight="1">
      <c r="B652" s="97"/>
    </row>
    <row r="653" spans="2:2" ht="14.25" customHeight="1">
      <c r="B653" s="97"/>
    </row>
    <row r="654" spans="2:2" ht="14.25" customHeight="1">
      <c r="B654" s="97"/>
    </row>
    <row r="655" spans="2:2" ht="14.25" customHeight="1">
      <c r="B655" s="97"/>
    </row>
    <row r="656" spans="2:2" ht="14.25" customHeight="1">
      <c r="B656" s="97"/>
    </row>
    <row r="657" spans="2:2" ht="14.25" customHeight="1">
      <c r="B657" s="97"/>
    </row>
    <row r="658" spans="2:2" ht="14.25" customHeight="1">
      <c r="B658" s="97"/>
    </row>
    <row r="659" spans="2:2" ht="14.25" customHeight="1">
      <c r="B659" s="97"/>
    </row>
    <row r="660" spans="2:2" ht="14.25" customHeight="1">
      <c r="B660" s="97"/>
    </row>
    <row r="661" spans="2:2" ht="14.25" customHeight="1">
      <c r="B661" s="97"/>
    </row>
    <row r="662" spans="2:2" ht="14.25" customHeight="1">
      <c r="B662" s="97"/>
    </row>
    <row r="663" spans="2:2" ht="14.25" customHeight="1">
      <c r="B663" s="97"/>
    </row>
    <row r="664" spans="2:2" ht="14.25" customHeight="1">
      <c r="B664" s="97"/>
    </row>
    <row r="665" spans="2:2" ht="14.25" customHeight="1">
      <c r="B665" s="97"/>
    </row>
    <row r="666" spans="2:2" ht="14.25" customHeight="1">
      <c r="B666" s="97"/>
    </row>
    <row r="667" spans="2:2" ht="14.25" customHeight="1">
      <c r="B667" s="97"/>
    </row>
    <row r="668" spans="2:2" ht="14.25" customHeight="1">
      <c r="B668" s="97"/>
    </row>
    <row r="669" spans="2:2" ht="14.25" customHeight="1">
      <c r="B669" s="97"/>
    </row>
    <row r="670" spans="2:2" ht="14.25" customHeight="1">
      <c r="B670" s="97"/>
    </row>
    <row r="671" spans="2:2" ht="14.25" customHeight="1">
      <c r="B671" s="97"/>
    </row>
    <row r="672" spans="2:2" ht="14.25" customHeight="1">
      <c r="B672" s="97"/>
    </row>
    <row r="673" spans="2:2" ht="14.25" customHeight="1">
      <c r="B673" s="97"/>
    </row>
    <row r="674" spans="2:2" ht="14.25" customHeight="1">
      <c r="B674" s="97"/>
    </row>
    <row r="675" spans="2:2" ht="14.25" customHeight="1">
      <c r="B675" s="97"/>
    </row>
    <row r="676" spans="2:2" ht="14.25" customHeight="1">
      <c r="B676" s="97"/>
    </row>
    <row r="677" spans="2:2" ht="14.25" customHeight="1">
      <c r="B677" s="97"/>
    </row>
    <row r="678" spans="2:2" ht="14.25" customHeight="1">
      <c r="B678" s="97"/>
    </row>
    <row r="679" spans="2:2" ht="14.25" customHeight="1">
      <c r="B679" s="97"/>
    </row>
    <row r="680" spans="2:2" ht="14.25" customHeight="1">
      <c r="B680" s="97"/>
    </row>
    <row r="681" spans="2:2" ht="14.25" customHeight="1">
      <c r="B681" s="97"/>
    </row>
    <row r="682" spans="2:2" ht="14.25" customHeight="1">
      <c r="B682" s="97"/>
    </row>
    <row r="683" spans="2:2" ht="14.25" customHeight="1">
      <c r="B683" s="97"/>
    </row>
    <row r="684" spans="2:2" ht="14.25" customHeight="1">
      <c r="B684" s="97"/>
    </row>
    <row r="685" spans="2:2" ht="14.25" customHeight="1">
      <c r="B685" s="97"/>
    </row>
    <row r="686" spans="2:2" ht="14.25" customHeight="1">
      <c r="B686" s="97"/>
    </row>
    <row r="687" spans="2:2" ht="14.25" customHeight="1">
      <c r="B687" s="97"/>
    </row>
    <row r="688" spans="2:2" ht="14.25" customHeight="1">
      <c r="B688" s="97"/>
    </row>
    <row r="689" spans="2:2" ht="14.25" customHeight="1">
      <c r="B689" s="97"/>
    </row>
    <row r="690" spans="2:2" ht="14.25" customHeight="1">
      <c r="B690" s="97"/>
    </row>
    <row r="691" spans="2:2" ht="14.25" customHeight="1">
      <c r="B691" s="97"/>
    </row>
    <row r="692" spans="2:2" ht="14.25" customHeight="1">
      <c r="B692" s="97"/>
    </row>
    <row r="693" spans="2:2" ht="14.25" customHeight="1">
      <c r="B693" s="97"/>
    </row>
    <row r="694" spans="2:2" ht="14.25" customHeight="1">
      <c r="B694" s="97"/>
    </row>
    <row r="695" spans="2:2" ht="14.25" customHeight="1">
      <c r="B695" s="97"/>
    </row>
    <row r="696" spans="2:2" ht="14.25" customHeight="1">
      <c r="B696" s="97"/>
    </row>
    <row r="697" spans="2:2" ht="14.25" customHeight="1">
      <c r="B697" s="97"/>
    </row>
    <row r="698" spans="2:2" ht="14.25" customHeight="1">
      <c r="B698" s="97"/>
    </row>
    <row r="699" spans="2:2" ht="14.25" customHeight="1">
      <c r="B699" s="97"/>
    </row>
    <row r="700" spans="2:2" ht="14.25" customHeight="1">
      <c r="B700" s="97"/>
    </row>
    <row r="701" spans="2:2" ht="14.25" customHeight="1">
      <c r="B701" s="97"/>
    </row>
    <row r="702" spans="2:2" ht="14.25" customHeight="1">
      <c r="B702" s="97"/>
    </row>
    <row r="703" spans="2:2" ht="14.25" customHeight="1">
      <c r="B703" s="97"/>
    </row>
    <row r="704" spans="2:2" ht="14.25" customHeight="1">
      <c r="B704" s="97"/>
    </row>
    <row r="705" spans="2:2" ht="14.25" customHeight="1">
      <c r="B705" s="97"/>
    </row>
    <row r="706" spans="2:2" ht="14.25" customHeight="1">
      <c r="B706" s="97"/>
    </row>
    <row r="707" spans="2:2" ht="14.25" customHeight="1">
      <c r="B707" s="97"/>
    </row>
    <row r="708" spans="2:2" ht="14.25" customHeight="1">
      <c r="B708" s="97"/>
    </row>
    <row r="709" spans="2:2" ht="14.25" customHeight="1">
      <c r="B709" s="97"/>
    </row>
    <row r="710" spans="2:2" ht="14.25" customHeight="1">
      <c r="B710" s="97"/>
    </row>
    <row r="711" spans="2:2" ht="14.25" customHeight="1">
      <c r="B711" s="97"/>
    </row>
    <row r="712" spans="2:2" ht="14.25" customHeight="1">
      <c r="B712" s="97"/>
    </row>
    <row r="713" spans="2:2" ht="14.25" customHeight="1">
      <c r="B713" s="97"/>
    </row>
    <row r="714" spans="2:2" ht="14.25" customHeight="1">
      <c r="B714" s="97"/>
    </row>
    <row r="715" spans="2:2" ht="14.25" customHeight="1">
      <c r="B715" s="97"/>
    </row>
    <row r="716" spans="2:2" ht="14.25" customHeight="1">
      <c r="B716" s="97"/>
    </row>
    <row r="717" spans="2:2" ht="14.25" customHeight="1">
      <c r="B717" s="97"/>
    </row>
    <row r="718" spans="2:2" ht="14.25" customHeight="1">
      <c r="B718" s="97"/>
    </row>
    <row r="719" spans="2:2" ht="14.25" customHeight="1">
      <c r="B719" s="97"/>
    </row>
    <row r="720" spans="2:2" ht="14.25" customHeight="1">
      <c r="B720" s="97"/>
    </row>
    <row r="721" spans="2:2" ht="14.25" customHeight="1">
      <c r="B721" s="97"/>
    </row>
    <row r="722" spans="2:2" ht="14.25" customHeight="1">
      <c r="B722" s="97"/>
    </row>
    <row r="723" spans="2:2" ht="14.25" customHeight="1">
      <c r="B723" s="97"/>
    </row>
    <row r="724" spans="2:2" ht="14.25" customHeight="1">
      <c r="B724" s="97"/>
    </row>
    <row r="725" spans="2:2" ht="14.25" customHeight="1">
      <c r="B725" s="97"/>
    </row>
    <row r="726" spans="2:2" ht="14.25" customHeight="1">
      <c r="B726" s="97"/>
    </row>
    <row r="727" spans="2:2" ht="14.25" customHeight="1">
      <c r="B727" s="97"/>
    </row>
    <row r="728" spans="2:2" ht="14.25" customHeight="1">
      <c r="B728" s="97"/>
    </row>
    <row r="729" spans="2:2" ht="14.25" customHeight="1">
      <c r="B729" s="97"/>
    </row>
    <row r="730" spans="2:2" ht="14.25" customHeight="1">
      <c r="B730" s="97"/>
    </row>
    <row r="731" spans="2:2" ht="14.25" customHeight="1">
      <c r="B731" s="97"/>
    </row>
    <row r="732" spans="2:2" ht="14.25" customHeight="1">
      <c r="B732" s="97"/>
    </row>
    <row r="733" spans="2:2" ht="14.25" customHeight="1">
      <c r="B733" s="97"/>
    </row>
    <row r="734" spans="2:2" ht="14.25" customHeight="1">
      <c r="B734" s="97"/>
    </row>
    <row r="735" spans="2:2" ht="14.25" customHeight="1">
      <c r="B735" s="97"/>
    </row>
    <row r="736" spans="2:2" ht="14.25" customHeight="1">
      <c r="B736" s="97"/>
    </row>
    <row r="737" spans="2:2" ht="14.25" customHeight="1">
      <c r="B737" s="97"/>
    </row>
    <row r="738" spans="2:2" ht="14.25" customHeight="1">
      <c r="B738" s="97"/>
    </row>
    <row r="739" spans="2:2" ht="14.25" customHeight="1">
      <c r="B739" s="97"/>
    </row>
    <row r="740" spans="2:2" ht="14.25" customHeight="1">
      <c r="B740" s="97"/>
    </row>
    <row r="741" spans="2:2" ht="14.25" customHeight="1">
      <c r="B741" s="97"/>
    </row>
    <row r="742" spans="2:2" ht="14.25" customHeight="1">
      <c r="B742" s="97"/>
    </row>
    <row r="743" spans="2:2" ht="14.25" customHeight="1">
      <c r="B743" s="97"/>
    </row>
    <row r="744" spans="2:2" ht="14.25" customHeight="1">
      <c r="B744" s="97"/>
    </row>
    <row r="745" spans="2:2" ht="14.25" customHeight="1">
      <c r="B745" s="97"/>
    </row>
    <row r="746" spans="2:2" ht="14.25" customHeight="1">
      <c r="B746" s="97"/>
    </row>
    <row r="747" spans="2:2" ht="14.25" customHeight="1">
      <c r="B747" s="97"/>
    </row>
    <row r="748" spans="2:2" ht="14.25" customHeight="1">
      <c r="B748" s="97"/>
    </row>
    <row r="749" spans="2:2" ht="14.25" customHeight="1">
      <c r="B749" s="97"/>
    </row>
    <row r="750" spans="2:2" ht="14.25" customHeight="1">
      <c r="B750" s="97"/>
    </row>
    <row r="751" spans="2:2" ht="14.25" customHeight="1">
      <c r="B751" s="97"/>
    </row>
    <row r="752" spans="2:2" ht="14.25" customHeight="1">
      <c r="B752" s="97"/>
    </row>
    <row r="753" spans="2:2" ht="14.25" customHeight="1">
      <c r="B753" s="97"/>
    </row>
    <row r="754" spans="2:2" ht="14.25" customHeight="1">
      <c r="B754" s="97"/>
    </row>
    <row r="755" spans="2:2" ht="14.25" customHeight="1">
      <c r="B755" s="97"/>
    </row>
    <row r="756" spans="2:2" ht="14.25" customHeight="1">
      <c r="B756" s="97"/>
    </row>
    <row r="757" spans="2:2" ht="14.25" customHeight="1">
      <c r="B757" s="97"/>
    </row>
    <row r="758" spans="2:2" ht="14.25" customHeight="1">
      <c r="B758" s="97"/>
    </row>
    <row r="759" spans="2:2" ht="14.25" customHeight="1">
      <c r="B759" s="97"/>
    </row>
    <row r="760" spans="2:2" ht="14.25" customHeight="1">
      <c r="B760" s="97"/>
    </row>
    <row r="761" spans="2:2" ht="14.25" customHeight="1">
      <c r="B761" s="97"/>
    </row>
    <row r="762" spans="2:2" ht="14.25" customHeight="1">
      <c r="B762" s="97"/>
    </row>
    <row r="763" spans="2:2" ht="14.25" customHeight="1">
      <c r="B763" s="97"/>
    </row>
    <row r="764" spans="2:2" ht="14.25" customHeight="1">
      <c r="B764" s="97"/>
    </row>
    <row r="765" spans="2:2" ht="14.25" customHeight="1">
      <c r="B765" s="97"/>
    </row>
    <row r="766" spans="2:2" ht="14.25" customHeight="1">
      <c r="B766" s="97"/>
    </row>
    <row r="767" spans="2:2" ht="14.25" customHeight="1">
      <c r="B767" s="97"/>
    </row>
    <row r="768" spans="2:2" ht="14.25" customHeight="1">
      <c r="B768" s="97"/>
    </row>
    <row r="769" spans="2:2" ht="14.25" customHeight="1">
      <c r="B769" s="97"/>
    </row>
    <row r="770" spans="2:2" ht="14.25" customHeight="1">
      <c r="B770" s="97"/>
    </row>
    <row r="771" spans="2:2" ht="14.25" customHeight="1">
      <c r="B771" s="97"/>
    </row>
    <row r="772" spans="2:2" ht="14.25" customHeight="1">
      <c r="B772" s="97"/>
    </row>
    <row r="773" spans="2:2" ht="14.25" customHeight="1">
      <c r="B773" s="97"/>
    </row>
    <row r="774" spans="2:2" ht="14.25" customHeight="1">
      <c r="B774" s="97"/>
    </row>
    <row r="775" spans="2:2" ht="14.25" customHeight="1">
      <c r="B775" s="97"/>
    </row>
    <row r="776" spans="2:2" ht="14.25" customHeight="1">
      <c r="B776" s="97"/>
    </row>
    <row r="777" spans="2:2" ht="14.25" customHeight="1">
      <c r="B777" s="97"/>
    </row>
    <row r="778" spans="2:2" ht="14.25" customHeight="1">
      <c r="B778" s="97"/>
    </row>
    <row r="779" spans="2:2" ht="14.25" customHeight="1">
      <c r="B779" s="97"/>
    </row>
    <row r="780" spans="2:2" ht="14.25" customHeight="1">
      <c r="B780" s="97"/>
    </row>
    <row r="781" spans="2:2" ht="14.25" customHeight="1">
      <c r="B781" s="97"/>
    </row>
    <row r="782" spans="2:2" ht="14.25" customHeight="1">
      <c r="B782" s="97"/>
    </row>
    <row r="783" spans="2:2" ht="14.25" customHeight="1">
      <c r="B783" s="97"/>
    </row>
    <row r="784" spans="2:2" ht="14.25" customHeight="1">
      <c r="B784" s="97"/>
    </row>
    <row r="785" spans="2:2" ht="14.25" customHeight="1">
      <c r="B785" s="97"/>
    </row>
    <row r="786" spans="2:2" ht="14.25" customHeight="1">
      <c r="B786" s="97"/>
    </row>
    <row r="787" spans="2:2" ht="14.25" customHeight="1">
      <c r="B787" s="97"/>
    </row>
    <row r="788" spans="2:2" ht="14.25" customHeight="1">
      <c r="B788" s="97"/>
    </row>
    <row r="789" spans="2:2" ht="14.25" customHeight="1">
      <c r="B789" s="97"/>
    </row>
    <row r="790" spans="2:2" ht="14.25" customHeight="1">
      <c r="B790" s="97"/>
    </row>
    <row r="791" spans="2:2" ht="14.25" customHeight="1">
      <c r="B791" s="97"/>
    </row>
    <row r="792" spans="2:2" ht="14.25" customHeight="1">
      <c r="B792" s="97"/>
    </row>
    <row r="793" spans="2:2" ht="14.25" customHeight="1">
      <c r="B793" s="97"/>
    </row>
    <row r="794" spans="2:2" ht="14.25" customHeight="1">
      <c r="B794" s="97"/>
    </row>
    <row r="795" spans="2:2" ht="14.25" customHeight="1">
      <c r="B795" s="97"/>
    </row>
    <row r="796" spans="2:2" ht="14.25" customHeight="1">
      <c r="B796" s="97"/>
    </row>
    <row r="797" spans="2:2" ht="14.25" customHeight="1">
      <c r="B797" s="97"/>
    </row>
    <row r="798" spans="2:2" ht="14.25" customHeight="1">
      <c r="B798" s="97"/>
    </row>
    <row r="799" spans="2:2" ht="14.25" customHeight="1">
      <c r="B799" s="97"/>
    </row>
    <row r="800" spans="2:2" ht="14.25" customHeight="1">
      <c r="B800" s="97"/>
    </row>
    <row r="801" spans="2:2" ht="14.25" customHeight="1">
      <c r="B801" s="97"/>
    </row>
    <row r="802" spans="2:2" ht="14.25" customHeight="1">
      <c r="B802" s="97"/>
    </row>
    <row r="803" spans="2:2" ht="14.25" customHeight="1">
      <c r="B803" s="97"/>
    </row>
    <row r="804" spans="2:2" ht="14.25" customHeight="1">
      <c r="B804" s="97"/>
    </row>
    <row r="805" spans="2:2" ht="14.25" customHeight="1">
      <c r="B805" s="97"/>
    </row>
    <row r="806" spans="2:2" ht="14.25" customHeight="1">
      <c r="B806" s="97"/>
    </row>
    <row r="807" spans="2:2" ht="14.25" customHeight="1">
      <c r="B807" s="97"/>
    </row>
    <row r="808" spans="2:2" ht="14.25" customHeight="1">
      <c r="B808" s="97"/>
    </row>
    <row r="809" spans="2:2" ht="14.25" customHeight="1">
      <c r="B809" s="97"/>
    </row>
    <row r="810" spans="2:2" ht="14.25" customHeight="1">
      <c r="B810" s="97"/>
    </row>
    <row r="811" spans="2:2" ht="14.25" customHeight="1">
      <c r="B811" s="97"/>
    </row>
    <row r="812" spans="2:2" ht="14.25" customHeight="1">
      <c r="B812" s="97"/>
    </row>
    <row r="813" spans="2:2" ht="14.25" customHeight="1">
      <c r="B813" s="97"/>
    </row>
    <row r="814" spans="2:2" ht="14.25" customHeight="1">
      <c r="B814" s="97"/>
    </row>
    <row r="815" spans="2:2" ht="14.25" customHeight="1">
      <c r="B815" s="97"/>
    </row>
    <row r="816" spans="2:2" ht="14.25" customHeight="1">
      <c r="B816" s="97"/>
    </row>
    <row r="817" spans="2:2" ht="14.25" customHeight="1">
      <c r="B817" s="97"/>
    </row>
    <row r="818" spans="2:2" ht="14.25" customHeight="1">
      <c r="B818" s="97"/>
    </row>
    <row r="819" spans="2:2" ht="14.25" customHeight="1">
      <c r="B819" s="97"/>
    </row>
    <row r="820" spans="2:2" ht="14.25" customHeight="1">
      <c r="B820" s="97"/>
    </row>
    <row r="821" spans="2:2" ht="14.25" customHeight="1">
      <c r="B821" s="97"/>
    </row>
    <row r="822" spans="2:2" ht="14.25" customHeight="1">
      <c r="B822" s="97"/>
    </row>
    <row r="823" spans="2:2" ht="14.25" customHeight="1">
      <c r="B823" s="97"/>
    </row>
    <row r="824" spans="2:2" ht="14.25" customHeight="1">
      <c r="B824" s="97"/>
    </row>
    <row r="825" spans="2:2" ht="14.25" customHeight="1">
      <c r="B825" s="97"/>
    </row>
    <row r="826" spans="2:2" ht="14.25" customHeight="1">
      <c r="B826" s="97"/>
    </row>
    <row r="827" spans="2:2" ht="14.25" customHeight="1">
      <c r="B827" s="97"/>
    </row>
    <row r="828" spans="2:2" ht="14.25" customHeight="1">
      <c r="B828" s="97"/>
    </row>
    <row r="829" spans="2:2" ht="14.25" customHeight="1">
      <c r="B829" s="97"/>
    </row>
    <row r="830" spans="2:2" ht="14.25" customHeight="1">
      <c r="B830" s="97"/>
    </row>
    <row r="831" spans="2:2" ht="14.25" customHeight="1">
      <c r="B831" s="97"/>
    </row>
    <row r="832" spans="2:2" ht="14.25" customHeight="1">
      <c r="B832" s="97"/>
    </row>
    <row r="833" spans="2:2" ht="14.25" customHeight="1">
      <c r="B833" s="97"/>
    </row>
    <row r="834" spans="2:2" ht="14.25" customHeight="1">
      <c r="B834" s="97"/>
    </row>
    <row r="835" spans="2:2" ht="14.25" customHeight="1">
      <c r="B835" s="97"/>
    </row>
    <row r="836" spans="2:2" ht="14.25" customHeight="1">
      <c r="B836" s="97"/>
    </row>
    <row r="837" spans="2:2" ht="14.25" customHeight="1">
      <c r="B837" s="97"/>
    </row>
    <row r="838" spans="2:2" ht="14.25" customHeight="1">
      <c r="B838" s="97"/>
    </row>
    <row r="839" spans="2:2" ht="14.25" customHeight="1">
      <c r="B839" s="97"/>
    </row>
    <row r="840" spans="2:2" ht="14.25" customHeight="1">
      <c r="B840" s="97"/>
    </row>
    <row r="841" spans="2:2" ht="14.25" customHeight="1">
      <c r="B841" s="97"/>
    </row>
    <row r="842" spans="2:2" ht="14.25" customHeight="1">
      <c r="B842" s="97"/>
    </row>
    <row r="843" spans="2:2" ht="14.25" customHeight="1">
      <c r="B843" s="97"/>
    </row>
    <row r="844" spans="2:2" ht="14.25" customHeight="1">
      <c r="B844" s="97"/>
    </row>
    <row r="845" spans="2:2" ht="14.25" customHeight="1">
      <c r="B845" s="97"/>
    </row>
    <row r="846" spans="2:2" ht="14.25" customHeight="1">
      <c r="B846" s="97"/>
    </row>
    <row r="847" spans="2:2" ht="14.25" customHeight="1">
      <c r="B847" s="97"/>
    </row>
    <row r="848" spans="2:2" ht="14.25" customHeight="1">
      <c r="B848" s="97"/>
    </row>
    <row r="849" spans="2:2" ht="14.25" customHeight="1">
      <c r="B849" s="97"/>
    </row>
    <row r="850" spans="2:2" ht="14.25" customHeight="1">
      <c r="B850" s="97"/>
    </row>
    <row r="851" spans="2:2" ht="14.25" customHeight="1">
      <c r="B851" s="97"/>
    </row>
    <row r="852" spans="2:2" ht="14.25" customHeight="1">
      <c r="B852" s="97"/>
    </row>
    <row r="853" spans="2:2" ht="14.25" customHeight="1">
      <c r="B853" s="97"/>
    </row>
    <row r="854" spans="2:2" ht="14.25" customHeight="1">
      <c r="B854" s="97"/>
    </row>
    <row r="855" spans="2:2" ht="14.25" customHeight="1">
      <c r="B855" s="97"/>
    </row>
    <row r="856" spans="2:2" ht="14.25" customHeight="1">
      <c r="B856" s="97"/>
    </row>
    <row r="857" spans="2:2" ht="14.25" customHeight="1">
      <c r="B857" s="97"/>
    </row>
    <row r="858" spans="2:2" ht="14.25" customHeight="1">
      <c r="B858" s="97"/>
    </row>
    <row r="859" spans="2:2" ht="14.25" customHeight="1">
      <c r="B859" s="97"/>
    </row>
    <row r="860" spans="2:2" ht="14.25" customHeight="1">
      <c r="B860" s="97"/>
    </row>
    <row r="861" spans="2:2" ht="14.25" customHeight="1">
      <c r="B861" s="97"/>
    </row>
    <row r="862" spans="2:2" ht="14.25" customHeight="1">
      <c r="B862" s="97"/>
    </row>
    <row r="863" spans="2:2" ht="14.25" customHeight="1">
      <c r="B863" s="97"/>
    </row>
    <row r="864" spans="2:2" ht="14.25" customHeight="1">
      <c r="B864" s="97"/>
    </row>
    <row r="865" spans="2:2" ht="14.25" customHeight="1">
      <c r="B865" s="97"/>
    </row>
    <row r="866" spans="2:2" ht="14.25" customHeight="1">
      <c r="B866" s="97"/>
    </row>
    <row r="867" spans="2:2" ht="14.25" customHeight="1">
      <c r="B867" s="97"/>
    </row>
    <row r="868" spans="2:2" ht="14.25" customHeight="1">
      <c r="B868" s="97"/>
    </row>
    <row r="869" spans="2:2" ht="14.25" customHeight="1">
      <c r="B869" s="97"/>
    </row>
    <row r="870" spans="2:2" ht="14.25" customHeight="1">
      <c r="B870" s="97"/>
    </row>
    <row r="871" spans="2:2" ht="14.25" customHeight="1">
      <c r="B871" s="97"/>
    </row>
    <row r="872" spans="2:2" ht="14.25" customHeight="1">
      <c r="B872" s="97"/>
    </row>
    <row r="873" spans="2:2" ht="14.25" customHeight="1">
      <c r="B873" s="97"/>
    </row>
    <row r="874" spans="2:2" ht="14.25" customHeight="1">
      <c r="B874" s="97"/>
    </row>
    <row r="875" spans="2:2" ht="14.25" customHeight="1">
      <c r="B875" s="97"/>
    </row>
    <row r="876" spans="2:2" ht="14.25" customHeight="1">
      <c r="B876" s="97"/>
    </row>
    <row r="877" spans="2:2" ht="14.25" customHeight="1">
      <c r="B877" s="97"/>
    </row>
    <row r="878" spans="2:2" ht="14.25" customHeight="1">
      <c r="B878" s="97"/>
    </row>
    <row r="879" spans="2:2" ht="14.25" customHeight="1">
      <c r="B879" s="97"/>
    </row>
    <row r="880" spans="2:2" ht="14.25" customHeight="1">
      <c r="B880" s="97"/>
    </row>
    <row r="881" spans="2:2" ht="14.25" customHeight="1">
      <c r="B881" s="97"/>
    </row>
    <row r="882" spans="2:2" ht="14.25" customHeight="1">
      <c r="B882" s="97"/>
    </row>
    <row r="883" spans="2:2" ht="14.25" customHeight="1">
      <c r="B883" s="97"/>
    </row>
    <row r="884" spans="2:2" ht="14.25" customHeight="1">
      <c r="B884" s="97"/>
    </row>
    <row r="885" spans="2:2" ht="14.25" customHeight="1">
      <c r="B885" s="97"/>
    </row>
    <row r="886" spans="2:2" ht="14.25" customHeight="1">
      <c r="B886" s="97"/>
    </row>
    <row r="887" spans="2:2" ht="14.25" customHeight="1">
      <c r="B887" s="97"/>
    </row>
    <row r="888" spans="2:2" ht="14.25" customHeight="1">
      <c r="B888" s="97"/>
    </row>
    <row r="889" spans="2:2" ht="14.25" customHeight="1">
      <c r="B889" s="97"/>
    </row>
    <row r="890" spans="2:2" ht="14.25" customHeight="1">
      <c r="B890" s="97"/>
    </row>
    <row r="891" spans="2:2" ht="14.25" customHeight="1">
      <c r="B891" s="97"/>
    </row>
    <row r="892" spans="2:2" ht="14.25" customHeight="1">
      <c r="B892" s="97"/>
    </row>
    <row r="893" spans="2:2" ht="14.25" customHeight="1">
      <c r="B893" s="97"/>
    </row>
    <row r="894" spans="2:2" ht="14.25" customHeight="1">
      <c r="B894" s="97"/>
    </row>
    <row r="895" spans="2:2" ht="14.25" customHeight="1">
      <c r="B895" s="97"/>
    </row>
    <row r="896" spans="2:2" ht="14.25" customHeight="1">
      <c r="B896" s="97"/>
    </row>
    <row r="897" spans="2:2" ht="14.25" customHeight="1">
      <c r="B897" s="97"/>
    </row>
    <row r="898" spans="2:2" ht="14.25" customHeight="1">
      <c r="B898" s="97"/>
    </row>
    <row r="899" spans="2:2" ht="14.25" customHeight="1">
      <c r="B899" s="97"/>
    </row>
    <row r="900" spans="2:2" ht="14.25" customHeight="1">
      <c r="B900" s="97"/>
    </row>
    <row r="901" spans="2:2" ht="14.25" customHeight="1">
      <c r="B901" s="97"/>
    </row>
    <row r="902" spans="2:2" ht="14.25" customHeight="1">
      <c r="B902" s="97"/>
    </row>
    <row r="903" spans="2:2" ht="14.25" customHeight="1">
      <c r="B903" s="97"/>
    </row>
    <row r="904" spans="2:2" ht="14.25" customHeight="1">
      <c r="B904" s="97"/>
    </row>
    <row r="905" spans="2:2" ht="14.25" customHeight="1">
      <c r="B905" s="97"/>
    </row>
    <row r="906" spans="2:2" ht="14.25" customHeight="1">
      <c r="B906" s="97"/>
    </row>
    <row r="907" spans="2:2" ht="14.25" customHeight="1">
      <c r="B907" s="97"/>
    </row>
    <row r="908" spans="2:2" ht="14.25" customHeight="1">
      <c r="B908" s="97"/>
    </row>
    <row r="909" spans="2:2" ht="14.25" customHeight="1">
      <c r="B909" s="97"/>
    </row>
    <row r="910" spans="2:2" ht="14.25" customHeight="1">
      <c r="B910" s="97"/>
    </row>
    <row r="911" spans="2:2" ht="14.25" customHeight="1">
      <c r="B911" s="97"/>
    </row>
    <row r="912" spans="2:2" ht="14.25" customHeight="1">
      <c r="B912" s="97"/>
    </row>
    <row r="913" spans="2:2" ht="14.25" customHeight="1">
      <c r="B913" s="97"/>
    </row>
    <row r="914" spans="2:2" ht="14.25" customHeight="1">
      <c r="B914" s="97"/>
    </row>
    <row r="915" spans="2:2" ht="14.25" customHeight="1">
      <c r="B915" s="97"/>
    </row>
    <row r="916" spans="2:2" ht="14.25" customHeight="1">
      <c r="B916" s="97"/>
    </row>
    <row r="917" spans="2:2" ht="14.25" customHeight="1">
      <c r="B917" s="97"/>
    </row>
    <row r="918" spans="2:2" ht="14.25" customHeight="1">
      <c r="B918" s="97"/>
    </row>
    <row r="919" spans="2:2" ht="14.25" customHeight="1">
      <c r="B919" s="97"/>
    </row>
    <row r="920" spans="2:2" ht="14.25" customHeight="1">
      <c r="B920" s="97"/>
    </row>
    <row r="921" spans="2:2" ht="14.25" customHeight="1">
      <c r="B921" s="97"/>
    </row>
    <row r="922" spans="2:2" ht="14.25" customHeight="1">
      <c r="B922" s="97"/>
    </row>
    <row r="923" spans="2:2" ht="14.25" customHeight="1">
      <c r="B923" s="97"/>
    </row>
    <row r="924" spans="2:2" ht="14.25" customHeight="1">
      <c r="B924" s="97"/>
    </row>
    <row r="925" spans="2:2" ht="14.25" customHeight="1">
      <c r="B925" s="97"/>
    </row>
    <row r="926" spans="2:2" ht="14.25" customHeight="1">
      <c r="B926" s="97"/>
    </row>
    <row r="927" spans="2:2" ht="14.25" customHeight="1">
      <c r="B927" s="97"/>
    </row>
    <row r="928" spans="2:2" ht="14.25" customHeight="1">
      <c r="B928" s="97"/>
    </row>
    <row r="929" spans="2:2" ht="14.25" customHeight="1">
      <c r="B929" s="97"/>
    </row>
    <row r="930" spans="2:2" ht="14.25" customHeight="1">
      <c r="B930" s="97"/>
    </row>
    <row r="931" spans="2:2" ht="14.25" customHeight="1">
      <c r="B931" s="97"/>
    </row>
    <row r="932" spans="2:2" ht="14.25" customHeight="1">
      <c r="B932" s="97"/>
    </row>
    <row r="933" spans="2:2" ht="14.25" customHeight="1">
      <c r="B933" s="97"/>
    </row>
    <row r="934" spans="2:2" ht="14.25" customHeight="1">
      <c r="B934" s="97"/>
    </row>
    <row r="935" spans="2:2" ht="14.25" customHeight="1">
      <c r="B935" s="97"/>
    </row>
    <row r="936" spans="2:2" ht="14.25" customHeight="1">
      <c r="B936" s="97"/>
    </row>
    <row r="937" spans="2:2" ht="14.25" customHeight="1">
      <c r="B937" s="97"/>
    </row>
    <row r="938" spans="2:2" ht="14.25" customHeight="1">
      <c r="B938" s="97"/>
    </row>
    <row r="939" spans="2:2" ht="14.25" customHeight="1">
      <c r="B939" s="97"/>
    </row>
    <row r="940" spans="2:2" ht="14.25" customHeight="1">
      <c r="B940" s="97"/>
    </row>
    <row r="941" spans="2:2" ht="14.25" customHeight="1">
      <c r="B941" s="97"/>
    </row>
    <row r="942" spans="2:2" ht="14.25" customHeight="1">
      <c r="B942" s="97"/>
    </row>
    <row r="943" spans="2:2" ht="14.25" customHeight="1">
      <c r="B943" s="97"/>
    </row>
    <row r="944" spans="2:2" ht="14.25" customHeight="1">
      <c r="B944" s="97"/>
    </row>
    <row r="945" spans="2:2" ht="14.25" customHeight="1">
      <c r="B945" s="97"/>
    </row>
    <row r="946" spans="2:2" ht="14.25" customHeight="1">
      <c r="B946" s="97"/>
    </row>
    <row r="947" spans="2:2" ht="14.25" customHeight="1">
      <c r="B947" s="97"/>
    </row>
    <row r="948" spans="2:2" ht="14.25" customHeight="1">
      <c r="B948" s="97"/>
    </row>
    <row r="949" spans="2:2" ht="14.25" customHeight="1">
      <c r="B949" s="97"/>
    </row>
    <row r="950" spans="2:2" ht="14.25" customHeight="1">
      <c r="B950" s="97"/>
    </row>
    <row r="951" spans="2:2" ht="14.25" customHeight="1">
      <c r="B951" s="97"/>
    </row>
    <row r="952" spans="2:2" ht="14.25" customHeight="1">
      <c r="B952" s="97"/>
    </row>
    <row r="953" spans="2:2" ht="14.25" customHeight="1">
      <c r="B953" s="97"/>
    </row>
    <row r="954" spans="2:2" ht="14.25" customHeight="1">
      <c r="B954" s="97"/>
    </row>
    <row r="955" spans="2:2" ht="14.25" customHeight="1">
      <c r="B955" s="97"/>
    </row>
    <row r="956" spans="2:2" ht="14.25" customHeight="1">
      <c r="B956" s="97"/>
    </row>
    <row r="957" spans="2:2" ht="14.25" customHeight="1">
      <c r="B957" s="97"/>
    </row>
    <row r="958" spans="2:2" ht="14.25" customHeight="1">
      <c r="B958" s="97"/>
    </row>
    <row r="959" spans="2:2" ht="14.25" customHeight="1">
      <c r="B959" s="97"/>
    </row>
    <row r="960" spans="2:2" ht="14.25" customHeight="1">
      <c r="B960" s="97"/>
    </row>
    <row r="961" spans="2:2" ht="14.25" customHeight="1">
      <c r="B961" s="97"/>
    </row>
    <row r="962" spans="2:2" ht="14.25" customHeight="1">
      <c r="B962" s="97"/>
    </row>
    <row r="963" spans="2:2" ht="14.25" customHeight="1">
      <c r="B963" s="97"/>
    </row>
    <row r="964" spans="2:2" ht="14.25" customHeight="1">
      <c r="B964" s="97"/>
    </row>
    <row r="965" spans="2:2" ht="14.25" customHeight="1">
      <c r="B965" s="97"/>
    </row>
    <row r="966" spans="2:2" ht="14.25" customHeight="1">
      <c r="B966" s="97"/>
    </row>
    <row r="967" spans="2:2" ht="14.25" customHeight="1">
      <c r="B967" s="97"/>
    </row>
    <row r="968" spans="2:2" ht="14.25" customHeight="1">
      <c r="B968" s="97"/>
    </row>
    <row r="969" spans="2:2" ht="14.25" customHeight="1">
      <c r="B969" s="97"/>
    </row>
    <row r="970" spans="2:2" ht="14.25" customHeight="1">
      <c r="B970" s="97"/>
    </row>
    <row r="971" spans="2:2" ht="14.25" customHeight="1">
      <c r="B971" s="97"/>
    </row>
    <row r="972" spans="2:2" ht="14.25" customHeight="1">
      <c r="B972" s="97"/>
    </row>
    <row r="973" spans="2:2" ht="14.25" customHeight="1">
      <c r="B973" s="97"/>
    </row>
    <row r="974" spans="2:2" ht="14.25" customHeight="1">
      <c r="B974" s="97"/>
    </row>
    <row r="975" spans="2:2" ht="14.25" customHeight="1">
      <c r="B975" s="97"/>
    </row>
    <row r="976" spans="2:2" ht="14.25" customHeight="1">
      <c r="B976" s="97"/>
    </row>
    <row r="977" spans="2:2" ht="14.25" customHeight="1">
      <c r="B977" s="97"/>
    </row>
    <row r="978" spans="2:2" ht="14.25" customHeight="1">
      <c r="B978" s="97"/>
    </row>
    <row r="979" spans="2:2" ht="14.25" customHeight="1">
      <c r="B979" s="97"/>
    </row>
    <row r="980" spans="2:2" ht="14.25" customHeight="1">
      <c r="B980" s="97"/>
    </row>
    <row r="981" spans="2:2" ht="14.25" customHeight="1">
      <c r="B981" s="97"/>
    </row>
    <row r="982" spans="2:2" ht="14.25" customHeight="1">
      <c r="B982" s="97"/>
    </row>
    <row r="983" spans="2:2" ht="14.25" customHeight="1">
      <c r="B983" s="97"/>
    </row>
    <row r="984" spans="2:2" ht="14.25" customHeight="1">
      <c r="B984" s="97"/>
    </row>
    <row r="985" spans="2:2" ht="14.25" customHeight="1">
      <c r="B985" s="97"/>
    </row>
    <row r="986" spans="2:2" ht="14.25" customHeight="1">
      <c r="B986" s="97"/>
    </row>
    <row r="987" spans="2:2" ht="14.25" customHeight="1">
      <c r="B987" s="97"/>
    </row>
    <row r="988" spans="2:2" ht="14.25" customHeight="1">
      <c r="B988" s="97"/>
    </row>
    <row r="989" spans="2:2" ht="14.25" customHeight="1">
      <c r="B989" s="97"/>
    </row>
    <row r="990" spans="2:2" ht="14.25" customHeight="1">
      <c r="B990" s="97"/>
    </row>
    <row r="991" spans="2:2" ht="14.25" customHeight="1">
      <c r="B991" s="97"/>
    </row>
    <row r="992" spans="2:2" ht="14.25" customHeight="1">
      <c r="B992" s="97"/>
    </row>
    <row r="993" spans="2:2" ht="14.25" customHeight="1">
      <c r="B993" s="97"/>
    </row>
    <row r="994" spans="2:2" ht="14.25" customHeight="1">
      <c r="B994" s="97"/>
    </row>
    <row r="995" spans="2:2" ht="14.25" customHeight="1">
      <c r="B995" s="97"/>
    </row>
    <row r="996" spans="2:2" ht="14.25" customHeight="1">
      <c r="B996" s="97"/>
    </row>
    <row r="997" spans="2:2" ht="14.25" customHeight="1">
      <c r="B997" s="97"/>
    </row>
    <row r="998" spans="2:2" ht="14.25" customHeight="1">
      <c r="B998" s="97"/>
    </row>
    <row r="999" spans="2:2" ht="14.25" customHeight="1">
      <c r="B999" s="97"/>
    </row>
    <row r="1000" spans="2:2" ht="14.25" customHeight="1">
      <c r="B1000" s="97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7</vt:i4>
      </vt:variant>
    </vt:vector>
  </HeadingPairs>
  <TitlesOfParts>
    <vt:vector size="16" baseType="lpstr">
      <vt:lpstr>Home Page</vt:lpstr>
      <vt:lpstr>Footing</vt:lpstr>
      <vt:lpstr>Wall Footing</vt:lpstr>
      <vt:lpstr>Column</vt:lpstr>
      <vt:lpstr>Beam wd Pumpcrete</vt:lpstr>
      <vt:lpstr>Beam</vt:lpstr>
      <vt:lpstr>Slab</vt:lpstr>
      <vt:lpstr>Wall</vt:lpstr>
      <vt:lpstr>Materials Price List</vt:lpstr>
      <vt:lpstr>_100mm</vt:lpstr>
      <vt:lpstr>_150mm</vt:lpstr>
      <vt:lpstr>_200mm</vt:lpstr>
      <vt:lpstr>A</vt:lpstr>
      <vt:lpstr>B</vt:lpstr>
      <vt:lpstr>C_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Gonzaga</dc:creator>
  <cp:lastModifiedBy>MA-LAIN</cp:lastModifiedBy>
  <dcterms:created xsi:type="dcterms:W3CDTF">2023-05-03T06:53:40Z</dcterms:created>
  <dcterms:modified xsi:type="dcterms:W3CDTF">2023-06-12T06:34:49Z</dcterms:modified>
</cp:coreProperties>
</file>