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 Jay Cruzado\Desktop\"/>
    </mc:Choice>
  </mc:AlternateContent>
  <xr:revisionPtr revIDLastSave="0" documentId="13_ncr:1_{89D3DB9C-DBA9-4656-BD3B-E7F31AD8438B}" xr6:coauthVersionLast="47" xr6:coauthVersionMax="47" xr10:uidLastSave="{00000000-0000-0000-0000-000000000000}"/>
  <bookViews>
    <workbookView xWindow="-108" yWindow="-108" windowWidth="23256" windowHeight="12576" firstSheet="2" activeTab="6" xr2:uid="{00000000-000D-0000-FFFF-FFFF00000000}"/>
  </bookViews>
  <sheets>
    <sheet name="CONCRETING" sheetId="1" r:id="rId1"/>
    <sheet name="MASONRY " sheetId="2" r:id="rId2"/>
    <sheet name="REINFORCEMENT" sheetId="3" r:id="rId3"/>
    <sheet name="CARPENTRY" sheetId="4" r:id="rId4"/>
    <sheet name="ROOFING WORKS" sheetId="5" r:id="rId5"/>
    <sheet name="TILING WORKS" sheetId="6" r:id="rId6"/>
    <sheet name="PAINTINGWORKS" sheetId="7" r:id="rId7"/>
    <sheet name="SCAFFOLDINGS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6" i="7" l="1"/>
  <c r="I24" i="6"/>
  <c r="I23" i="6"/>
  <c r="G98" i="3"/>
  <c r="I5" i="9"/>
  <c r="A59" i="1"/>
  <c r="H57" i="1" s="1"/>
  <c r="I396" i="3"/>
  <c r="G395" i="3"/>
  <c r="F397" i="3"/>
  <c r="H397" i="3"/>
  <c r="I397" i="3" s="1"/>
  <c r="G231" i="3"/>
  <c r="G232" i="3"/>
  <c r="G233" i="3"/>
  <c r="F362" i="3"/>
  <c r="F361" i="3"/>
  <c r="F360" i="3"/>
  <c r="F359" i="3"/>
  <c r="H115" i="9"/>
  <c r="G103" i="9"/>
  <c r="H110" i="9" s="1"/>
  <c r="H100" i="9"/>
  <c r="F110" i="9" s="1"/>
  <c r="C100" i="9"/>
  <c r="C110" i="9" s="1"/>
  <c r="H25" i="9"/>
  <c r="I25" i="9"/>
  <c r="H32" i="9" s="1"/>
  <c r="H9" i="9"/>
  <c r="I9" i="9" s="1"/>
  <c r="F398" i="3"/>
  <c r="H398" i="3" s="1"/>
  <c r="H399" i="3" s="1"/>
  <c r="H228" i="3"/>
  <c r="H227" i="3"/>
  <c r="H225" i="3"/>
  <c r="H223" i="3"/>
  <c r="H222" i="3"/>
  <c r="I21" i="3"/>
  <c r="I20" i="3"/>
  <c r="H22" i="3"/>
  <c r="H24" i="3" s="1"/>
  <c r="G43" i="1"/>
  <c r="H45" i="1" s="1"/>
  <c r="I55" i="1"/>
  <c r="I42" i="1"/>
  <c r="E108" i="9"/>
  <c r="F108" i="9"/>
  <c r="G188" i="3"/>
  <c r="G187" i="3"/>
  <c r="G186" i="3"/>
  <c r="H99" i="3"/>
  <c r="H100" i="3"/>
  <c r="H101" i="3" s="1"/>
  <c r="H28" i="6"/>
  <c r="H27" i="6"/>
  <c r="H26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G121" i="5"/>
  <c r="G83" i="5"/>
  <c r="G82" i="5"/>
  <c r="G91" i="5"/>
  <c r="G90" i="5"/>
  <c r="G89" i="5"/>
  <c r="H79" i="5"/>
  <c r="H82" i="5" s="1"/>
  <c r="C67" i="5"/>
  <c r="C66" i="5"/>
  <c r="C57" i="5"/>
  <c r="C58" i="5"/>
  <c r="C65" i="5"/>
  <c r="C51" i="5"/>
  <c r="C52" i="5"/>
  <c r="C53" i="5" s="1"/>
  <c r="H54" i="5" s="1"/>
  <c r="C50" i="5"/>
  <c r="H189" i="3"/>
  <c r="H234" i="3"/>
  <c r="H175" i="3"/>
  <c r="H188" i="3"/>
  <c r="H178" i="3"/>
  <c r="H187" i="3" s="1"/>
  <c r="H181" i="3"/>
  <c r="H186" i="3" s="1"/>
  <c r="H180" i="3"/>
  <c r="H176" i="3"/>
  <c r="H421" i="3"/>
  <c r="G390" i="3"/>
  <c r="H422" i="3"/>
  <c r="H420" i="3"/>
  <c r="H419" i="3"/>
  <c r="H404" i="3"/>
  <c r="H407" i="3" s="1"/>
  <c r="H409" i="3"/>
  <c r="H403" i="3"/>
  <c r="H401" i="3"/>
  <c r="H363" i="3"/>
  <c r="H362" i="3"/>
  <c r="H360" i="3"/>
  <c r="H359" i="3"/>
  <c r="H346" i="3"/>
  <c r="I346" i="3" s="1"/>
  <c r="H361" i="3"/>
  <c r="G346" i="3"/>
  <c r="I398" i="3"/>
  <c r="H400" i="3" s="1"/>
  <c r="H414" i="3"/>
  <c r="H88" i="4"/>
  <c r="H84" i="4"/>
  <c r="H87" i="4"/>
  <c r="H83" i="4"/>
  <c r="H86" i="4" s="1"/>
  <c r="H74" i="4"/>
  <c r="H76" i="4"/>
  <c r="H79" i="4" s="1"/>
  <c r="H42" i="4"/>
  <c r="H34" i="4"/>
  <c r="H9" i="4"/>
  <c r="H335" i="3"/>
  <c r="H337" i="3" s="1"/>
  <c r="H336" i="3"/>
  <c r="H320" i="3"/>
  <c r="H322" i="3" s="1"/>
  <c r="H319" i="3"/>
  <c r="H321" i="3"/>
  <c r="H274" i="3"/>
  <c r="H276" i="3" s="1"/>
  <c r="H273" i="3"/>
  <c r="H275" i="3"/>
  <c r="H232" i="3"/>
  <c r="H129" i="3"/>
  <c r="H131" i="3" s="1"/>
  <c r="H123" i="3"/>
  <c r="H128" i="3"/>
  <c r="H122" i="3"/>
  <c r="F117" i="3"/>
  <c r="H118" i="3"/>
  <c r="E117" i="3" s="1"/>
  <c r="H119" i="3"/>
  <c r="F121" i="3" s="1"/>
  <c r="H120" i="3" s="1"/>
  <c r="F94" i="3"/>
  <c r="H95" i="3" s="1"/>
  <c r="H53" i="3"/>
  <c r="H39" i="3"/>
  <c r="H38" i="3"/>
  <c r="H37" i="3"/>
  <c r="H36" i="3"/>
  <c r="H233" i="3"/>
  <c r="H124" i="3"/>
  <c r="H125" i="3"/>
  <c r="H52" i="3"/>
  <c r="H54" i="3" s="1"/>
  <c r="H231" i="3"/>
  <c r="H23" i="3"/>
  <c r="H40" i="2"/>
  <c r="H41" i="2"/>
  <c r="H43" i="2" s="1"/>
  <c r="G119" i="1"/>
  <c r="H119" i="1" s="1"/>
  <c r="H121" i="1" s="1"/>
  <c r="F119" i="1"/>
  <c r="H56" i="1"/>
  <c r="H59" i="1" s="1"/>
  <c r="H105" i="1"/>
  <c r="H108" i="1" s="1"/>
  <c r="H82" i="1"/>
  <c r="H87" i="1" s="1"/>
  <c r="H89" i="1" s="1"/>
  <c r="H70" i="1"/>
  <c r="H72" i="1" s="1"/>
  <c r="H44" i="1"/>
  <c r="H47" i="1"/>
  <c r="H32" i="1"/>
  <c r="H34" i="1" s="1"/>
  <c r="H11" i="1"/>
  <c r="H13" i="1"/>
  <c r="H15" i="1" s="1"/>
  <c r="H12" i="2"/>
  <c r="H11" i="2"/>
  <c r="H28" i="2"/>
  <c r="C108" i="9"/>
  <c r="H116" i="9"/>
  <c r="E110" i="9"/>
  <c r="D108" i="9"/>
  <c r="C109" i="9"/>
  <c r="E109" i="9"/>
  <c r="D110" i="9"/>
  <c r="H33" i="9"/>
  <c r="H31" i="9"/>
  <c r="H27" i="9" s="1"/>
  <c r="H30" i="9" s="1"/>
  <c r="H130" i="3"/>
  <c r="H25" i="3"/>
  <c r="H42" i="2"/>
  <c r="H107" i="1"/>
  <c r="H46" i="1"/>
  <c r="H16" i="1"/>
  <c r="H19" i="2"/>
  <c r="H18" i="2"/>
  <c r="H15" i="2"/>
  <c r="H23" i="2"/>
  <c r="H16" i="2"/>
  <c r="H24" i="2"/>
  <c r="H27" i="2"/>
  <c r="H103" i="3" l="1"/>
  <c r="H90" i="1"/>
  <c r="H91" i="1"/>
  <c r="H92" i="1"/>
  <c r="C56" i="5"/>
  <c r="C54" i="5"/>
  <c r="H123" i="1"/>
  <c r="H122" i="1"/>
  <c r="H124" i="1"/>
  <c r="E94" i="3"/>
  <c r="H96" i="3"/>
  <c r="H97" i="3" s="1"/>
  <c r="H83" i="5"/>
  <c r="H84" i="5"/>
  <c r="H89" i="5"/>
  <c r="H15" i="9"/>
  <c r="H11" i="9" s="1"/>
  <c r="H14" i="9" s="1"/>
  <c r="H16" i="9"/>
  <c r="H17" i="9"/>
  <c r="H73" i="1"/>
  <c r="H75" i="1"/>
  <c r="H74" i="1"/>
  <c r="H44" i="2"/>
  <c r="H406" i="3"/>
  <c r="G109" i="9"/>
  <c r="H58" i="1"/>
  <c r="H109" i="9"/>
  <c r="G108" i="9"/>
  <c r="D109" i="9"/>
  <c r="G110" i="9"/>
  <c r="H14" i="1"/>
  <c r="H55" i="3"/>
  <c r="H35" i="1"/>
  <c r="H106" i="1"/>
  <c r="H410" i="3"/>
  <c r="F109" i="9"/>
  <c r="H33" i="1"/>
  <c r="H415" i="3"/>
  <c r="H108" i="9"/>
  <c r="H90" i="5" l="1"/>
  <c r="H91" i="5"/>
  <c r="H56" i="5"/>
  <c r="F59" i="5" s="1"/>
  <c r="C64" i="5"/>
  <c r="H64" i="5" s="1"/>
  <c r="F68" i="5" s="1"/>
  <c r="E93" i="5" l="1"/>
  <c r="G70" i="5"/>
  <c r="H68" i="5"/>
  <c r="G69" i="5"/>
  <c r="G71" i="5"/>
  <c r="G62" i="5"/>
  <c r="E85" i="5"/>
  <c r="G60" i="5"/>
  <c r="G61" i="5"/>
  <c r="H59" i="5"/>
  <c r="H92" i="5"/>
</calcChain>
</file>

<file path=xl/sharedStrings.xml><?xml version="1.0" encoding="utf-8"?>
<sst xmlns="http://schemas.openxmlformats.org/spreadsheetml/2006/main" count="1217" uniqueCount="511">
  <si>
    <t>A. DETERMINING THE VOLUME OF A CONCRETE</t>
  </si>
  <si>
    <t>FOOTING</t>
  </si>
  <si>
    <t>VOLUME = L * W * T</t>
  </si>
  <si>
    <t>L (M)</t>
  </si>
  <si>
    <t>W (M)</t>
  </si>
  <si>
    <t>T (M)</t>
  </si>
  <si>
    <t>TOTAL VOLUME OF CONCRETE:</t>
  </si>
  <si>
    <t>CU.M.</t>
  </si>
  <si>
    <t>M</t>
  </si>
  <si>
    <t xml:space="preserve">Enter Width </t>
  </si>
  <si>
    <t>Enter Length</t>
  </si>
  <si>
    <t>Enter Thickness</t>
  </si>
  <si>
    <t>Number of Footing</t>
  </si>
  <si>
    <t>Units</t>
  </si>
  <si>
    <t>FORMULA:</t>
  </si>
  <si>
    <t>WALL FOOTING</t>
  </si>
  <si>
    <r>
      <t>L</t>
    </r>
    <r>
      <rPr>
        <b/>
        <sz val="8"/>
        <color indexed="8"/>
        <rFont val="Calibri"/>
        <family val="2"/>
      </rPr>
      <t>T</t>
    </r>
    <r>
      <rPr>
        <b/>
        <sz val="11"/>
        <color indexed="8"/>
        <rFont val="Calibri"/>
        <family val="2"/>
      </rPr>
      <t xml:space="preserve"> (M)</t>
    </r>
  </si>
  <si>
    <t>FLOOR SLAB</t>
  </si>
  <si>
    <r>
      <t>L</t>
    </r>
    <r>
      <rPr>
        <b/>
        <sz val="11"/>
        <color indexed="8"/>
        <rFont val="Calibri"/>
        <family val="2"/>
      </rPr>
      <t xml:space="preserve"> (M)</t>
    </r>
  </si>
  <si>
    <t># OF CEMENT</t>
  </si>
  <si>
    <t>VOL. OF SAND</t>
  </si>
  <si>
    <t>VOL. OF 3/4" GRAVEL</t>
  </si>
  <si>
    <t>BAGS</t>
  </si>
  <si>
    <t>CLASS A CONCRETE MIX</t>
  </si>
  <si>
    <t>CONCRETE COLUMNS</t>
  </si>
  <si>
    <t>Width 1</t>
  </si>
  <si>
    <t>Width 2</t>
  </si>
  <si>
    <t>COLUMN DIMENSIONS:</t>
  </si>
  <si>
    <t>Number of Columns</t>
  </si>
  <si>
    <t>Enter Height</t>
  </si>
  <si>
    <t>(JUST INPUT THE DATA INSIDE THE YELLOW CELL)</t>
  </si>
  <si>
    <t>RECTANGULAR</t>
  </si>
  <si>
    <t>Diameter</t>
  </si>
  <si>
    <t>SQ.M.</t>
  </si>
  <si>
    <t>VOLUME = H * W1 * W2</t>
  </si>
  <si>
    <t>VOLUME = H * AreaCirc</t>
  </si>
  <si>
    <t>AreaCirc</t>
  </si>
  <si>
    <t>CIRCULAR</t>
  </si>
  <si>
    <t>CONCRETE BEAMS</t>
  </si>
  <si>
    <t>BEAM DIMENSIONS:</t>
  </si>
  <si>
    <t>Enter Depth</t>
  </si>
  <si>
    <t>D (M)</t>
  </si>
  <si>
    <t>EnterTotal Length</t>
  </si>
  <si>
    <r>
      <t>VOLUME = L</t>
    </r>
    <r>
      <rPr>
        <b/>
        <sz val="8"/>
        <color indexed="8"/>
        <rFont val="Calibri"/>
        <family val="2"/>
      </rPr>
      <t>T</t>
    </r>
    <r>
      <rPr>
        <b/>
        <sz val="11"/>
        <color indexed="8"/>
        <rFont val="Calibri"/>
        <family val="2"/>
      </rPr>
      <t xml:space="preserve"> * W * D</t>
    </r>
  </si>
  <si>
    <t>VOLUME = Floor Area* T</t>
  </si>
  <si>
    <t>Enter Floor Area</t>
  </si>
  <si>
    <t>A (SQ.M)</t>
  </si>
  <si>
    <t>SQ.M</t>
  </si>
  <si>
    <t>FLOOR SLAB - BY AREA</t>
  </si>
  <si>
    <t>CONCRETE STAIRS</t>
  </si>
  <si>
    <t>Enter Riser Height</t>
  </si>
  <si>
    <t>Enter Tread Run</t>
  </si>
  <si>
    <t>Enter Stair Width</t>
  </si>
  <si>
    <t>Enter # of Steps</t>
  </si>
  <si>
    <t>Enter Stringer Thickness</t>
  </si>
  <si>
    <r>
      <t>R</t>
    </r>
    <r>
      <rPr>
        <b/>
        <sz val="8"/>
        <color indexed="8"/>
        <rFont val="Calibri"/>
        <family val="2"/>
      </rPr>
      <t>H</t>
    </r>
    <r>
      <rPr>
        <b/>
        <sz val="11"/>
        <color indexed="8"/>
        <rFont val="Calibri"/>
        <family val="2"/>
      </rPr>
      <t xml:space="preserve"> (M)</t>
    </r>
  </si>
  <si>
    <r>
      <t>T</t>
    </r>
    <r>
      <rPr>
        <b/>
        <sz val="8"/>
        <color indexed="8"/>
        <rFont val="Calibri"/>
        <family val="2"/>
      </rPr>
      <t>R</t>
    </r>
    <r>
      <rPr>
        <b/>
        <sz val="11"/>
        <color indexed="8"/>
        <rFont val="Calibri"/>
        <family val="2"/>
      </rPr>
      <t xml:space="preserve"> (M)</t>
    </r>
  </si>
  <si>
    <t>N</t>
  </si>
  <si>
    <r>
      <t>T</t>
    </r>
    <r>
      <rPr>
        <b/>
        <sz val="8"/>
        <color indexed="8"/>
        <rFont val="Calibri"/>
        <family val="2"/>
      </rPr>
      <t>S</t>
    </r>
    <r>
      <rPr>
        <b/>
        <sz val="11"/>
        <color indexed="8"/>
        <rFont val="Calibri"/>
        <family val="2"/>
      </rPr>
      <t xml:space="preserve"> (M)</t>
    </r>
  </si>
  <si>
    <t>Steps</t>
  </si>
  <si>
    <t>ITEM - I CONCRETING WORKS</t>
  </si>
  <si>
    <t>ITEM - II MASONRY WORKS</t>
  </si>
  <si>
    <t>A. DETERMINING THE NUMBER OF CONCRETE HOLLOW BLOCKS USED</t>
  </si>
  <si>
    <t>Enter Wall Height</t>
  </si>
  <si>
    <t>Enter Area of Window</t>
  </si>
  <si>
    <t>Enter Area of Door</t>
  </si>
  <si>
    <r>
      <t>A</t>
    </r>
    <r>
      <rPr>
        <b/>
        <sz val="8"/>
        <color indexed="8"/>
        <rFont val="Calibri"/>
        <family val="2"/>
      </rPr>
      <t>D (SQ.M)</t>
    </r>
  </si>
  <si>
    <r>
      <t>A</t>
    </r>
    <r>
      <rPr>
        <b/>
        <sz val="8"/>
        <color indexed="8"/>
        <rFont val="Calibri"/>
        <family val="2"/>
      </rPr>
      <t>W (SQ.M.)</t>
    </r>
  </si>
  <si>
    <t>H (M)</t>
  </si>
  <si>
    <t>Enter Wall Length</t>
  </si>
  <si>
    <t>Breakage Allowance</t>
  </si>
  <si>
    <t>%</t>
  </si>
  <si>
    <t>TOTAL NUMBER OF CHB:</t>
  </si>
  <si>
    <t>PCS</t>
  </si>
  <si>
    <t>TOTAL WALL AREA:</t>
  </si>
  <si>
    <t>PLASTER : 16mm thk Mix: 1:2</t>
  </si>
  <si>
    <t>VOL. OF FINE SAND</t>
  </si>
  <si>
    <t>VOL. OF SCREENED SAND</t>
  </si>
  <si>
    <t>B. DETERMINING THE NUMBER OF CEMENT &amp; VOLUME OF SAND FOR MORTAR &amp; PLASTERING</t>
  </si>
  <si>
    <t>One face ofthe wall only</t>
  </si>
  <si>
    <t>MORTAR USING 4" CHB</t>
  </si>
  <si>
    <t>MORTAR USING 6" CHB</t>
  </si>
  <si>
    <t>Two faces of the wall</t>
  </si>
  <si>
    <t>RIPRAPING WORKS</t>
  </si>
  <si>
    <t>Enter Width 1</t>
  </si>
  <si>
    <t>Enter Width 2</t>
  </si>
  <si>
    <t>W1 (M)</t>
  </si>
  <si>
    <t>W2 (M)</t>
  </si>
  <si>
    <t>TOTAL SIDE AREA:</t>
  </si>
  <si>
    <t>TOTAL VOLUME:</t>
  </si>
  <si>
    <t>VOL. OF BOULDERS</t>
  </si>
  <si>
    <t>Using:</t>
  </si>
  <si>
    <t>Stones ranging from 15 to 25 kgs with atleast 50% of stones weighing more than 20 kgs, &amp; Class A Mixture</t>
  </si>
  <si>
    <t>ITEM - III STEEL REINFORCEMENT</t>
  </si>
  <si>
    <t>PCS @ 6M</t>
  </si>
  <si>
    <t>DETERMINING THE NUMBER OF BARS USED</t>
  </si>
  <si>
    <t>Enter Constant Factor</t>
  </si>
  <si>
    <t>#16 TIE WIRE USED:</t>
  </si>
  <si>
    <t>Kgs</t>
  </si>
  <si>
    <t>SPACEING LAYER</t>
  </si>
  <si>
    <t>2 Layers</t>
  </si>
  <si>
    <t>3 Layers</t>
  </si>
  <si>
    <t>4 Layers</t>
  </si>
  <si>
    <t>LENGTH OF REINFORCING BARS FOR CHB IN METERS</t>
  </si>
  <si>
    <t>VERT. SPACING (CM)</t>
  </si>
  <si>
    <t>(M) LENGTH OF VERTICAL REIN./SQ.M.</t>
  </si>
  <si>
    <t>(M) LENGTH OF HORIZONTAL REIN./ SQ.M.</t>
  </si>
  <si>
    <t># OF VERTICAL BARS USED:</t>
  </si>
  <si>
    <t># OF HORIZONTAL BARS USED:</t>
  </si>
  <si>
    <t>VERTICAL</t>
  </si>
  <si>
    <t>HORIZONTAL</t>
  </si>
  <si>
    <t>FOOTING MATTING</t>
  </si>
  <si>
    <t>Enter Footing Length</t>
  </si>
  <si>
    <t>Enter Footing Width</t>
  </si>
  <si>
    <t>Enter Clear Cover</t>
  </si>
  <si>
    <t>Cc (M)</t>
  </si>
  <si>
    <t>Enter Number of Footing</t>
  </si>
  <si>
    <t>Enter # of Bars along L</t>
  </si>
  <si>
    <t>Enter Number of Bars along W</t>
  </si>
  <si>
    <t>#</t>
  </si>
  <si>
    <t>Pcs</t>
  </si>
  <si>
    <t>Net. Length along L</t>
  </si>
  <si>
    <t>Net. Length along W</t>
  </si>
  <si>
    <t># OF REIN. BARS USED:</t>
  </si>
  <si>
    <t>LHS</t>
  </si>
  <si>
    <t>WALL FOOTING REINFORCEMENT</t>
  </si>
  <si>
    <t>Enter Wall Footing Width</t>
  </si>
  <si>
    <t>Enter Wall Footing Total Length</t>
  </si>
  <si>
    <t>Enter Spacing of Tie Bars for Wall footing</t>
  </si>
  <si>
    <t>(M)</t>
  </si>
  <si>
    <t>Total # of Horizontal Bars Used:</t>
  </si>
  <si>
    <t>Total # of Ties:</t>
  </si>
  <si>
    <t>Overall Total # of Bars used:</t>
  </si>
  <si>
    <t>Enter Column Height</t>
  </si>
  <si>
    <t>Enter Number of Columns</t>
  </si>
  <si>
    <t>Enter Column Dimension D1</t>
  </si>
  <si>
    <t>Enter Column Dimension D2</t>
  </si>
  <si>
    <t>Enter Stirrups Spacing</t>
  </si>
  <si>
    <t>Enter Number of Vertical Bars</t>
  </si>
  <si>
    <t>Ø</t>
  </si>
  <si>
    <t>mm</t>
  </si>
  <si>
    <t>Use End Hook:</t>
  </si>
  <si>
    <t xml:space="preserve">Total length of each bars should be more than or equal to: </t>
  </si>
  <si>
    <t>Note: Standard Clear Cover for footing =0.05m to 0.075m</t>
  </si>
  <si>
    <t>Cut Length of each stirrups:</t>
  </si>
  <si>
    <t>Number of Stirrups per Column:</t>
  </si>
  <si>
    <t>Total Number of Bars used  for stirrups @ 6M :</t>
  </si>
  <si>
    <t>Total Number of Vertical Bars @ 6M:</t>
  </si>
  <si>
    <t>RECTANGULAR COLUMN REINFORCEMENT</t>
  </si>
  <si>
    <t>CIRCULAR COLUMN REINFORCEMENT</t>
  </si>
  <si>
    <t>Enter Column Diameter D1</t>
  </si>
  <si>
    <t>Circular Stirrups</t>
  </si>
  <si>
    <t>Spiral Stirrups</t>
  </si>
  <si>
    <t>Number of Stirrup Loops per Column:</t>
  </si>
  <si>
    <t>Size of Bars</t>
  </si>
  <si>
    <t># of Non-Continuous Bars</t>
  </si>
  <si>
    <t># of Bars Continuous</t>
  </si>
  <si>
    <t>Top Bars</t>
  </si>
  <si>
    <t>Web Bars</t>
  </si>
  <si>
    <t>Bottom Bars</t>
  </si>
  <si>
    <t>Note: put "0" zero if web bars not applicable</t>
  </si>
  <si>
    <t>Enter Stirrup Spacing:</t>
  </si>
  <si>
    <t xml:space="preserve">Enter Column Width </t>
  </si>
  <si>
    <t>Enter Beam Width</t>
  </si>
  <si>
    <t>Enter Beam Depth</t>
  </si>
  <si>
    <t>TOP BARS</t>
  </si>
  <si>
    <t># of 6m Length Deformed Bars used as Continuous Bars</t>
  </si>
  <si>
    <t>WEB BARS</t>
  </si>
  <si>
    <t>BOTTOM BARS</t>
  </si>
  <si>
    <t>Enter Beam to Beam Length</t>
  </si>
  <si>
    <t>Cw(M)</t>
  </si>
  <si>
    <t>Enter Beam Length 1</t>
  </si>
  <si>
    <t>Enter Beam Length 2</t>
  </si>
  <si>
    <t>L1 (M)</t>
  </si>
  <si>
    <t>L2 (M)</t>
  </si>
  <si>
    <t>Enter Column Width Max</t>
  </si>
  <si>
    <t>BEAM REINFORCEMENT (BEAM TO BEAM = LESS THAN 6.0 METERS) ONE BAY</t>
  </si>
  <si>
    <t>ONE WAY SLAB</t>
  </si>
  <si>
    <t>QUANTITY OF REINFORCING STEEL BARS IN A ONEWAY REINFORCED CONCRETE SLAB</t>
  </si>
  <si>
    <t>BAR SPACING IN CM.</t>
  </si>
  <si>
    <t>NUMBER OF STEEL BARS PER SQUARE METER</t>
  </si>
  <si>
    <t>TIES (KGS)</t>
  </si>
  <si>
    <t>cm</t>
  </si>
  <si>
    <t>CM</t>
  </si>
  <si>
    <t># of Steel Bar Constant factor</t>
  </si>
  <si>
    <t># of Ties #16 Constant factor</t>
  </si>
  <si>
    <t>c</t>
  </si>
  <si>
    <t># OF #16 TIE WIRE USED</t>
  </si>
  <si>
    <t>KGS</t>
  </si>
  <si>
    <t>TWO WAY SLAB</t>
  </si>
  <si>
    <t>REINFORCED GROUND SLAB (BARS SPACING MORE THAN 25CM)</t>
  </si>
  <si>
    <t>Enter Bar Spacing along W</t>
  </si>
  <si>
    <t>Enter Bar Spacing</t>
  </si>
  <si>
    <t>Enter Bar Spacing along L</t>
  </si>
  <si>
    <t># OF STEEL BARS USED PARALLEL TO W</t>
  </si>
  <si>
    <t># OF STEEL BARS USED PARALLEL TO L</t>
  </si>
  <si>
    <t>CARPENTRY WORKS</t>
  </si>
  <si>
    <t>Determining the total board foot of a lumber.</t>
  </si>
  <si>
    <t>Enter Number of pieces</t>
  </si>
  <si>
    <t>Enter lumber Dimension</t>
  </si>
  <si>
    <t>L(FT)</t>
  </si>
  <si>
    <t>W2(IN)</t>
  </si>
  <si>
    <t>W1(IN)</t>
  </si>
  <si>
    <t>inches</t>
  </si>
  <si>
    <t>feet (ft)</t>
  </si>
  <si>
    <t>TOTAL # OF LUMBER IN BD.FT</t>
  </si>
  <si>
    <t>Bd.ft.</t>
  </si>
  <si>
    <t>BD.FT</t>
  </si>
  <si>
    <t>Determining the total board foot of a round log</t>
  </si>
  <si>
    <t>D1(IN)</t>
  </si>
  <si>
    <r>
      <t>(D - 4)</t>
    </r>
    <r>
      <rPr>
        <b/>
        <sz val="14"/>
        <color indexed="8"/>
        <rFont val="Calibri"/>
        <family val="2"/>
      </rPr>
      <t>² x L</t>
    </r>
  </si>
  <si>
    <t>Determining the total lengths or pcs of a certain lumber from Bd.ft.</t>
  </si>
  <si>
    <t>Enter total Bd.ft :</t>
  </si>
  <si>
    <t>Enter desired lumber dimension :</t>
  </si>
  <si>
    <t>W1 (in)</t>
  </si>
  <si>
    <t>W2 (in)</t>
  </si>
  <si>
    <t>L (ft)</t>
  </si>
  <si>
    <t>TOTAL # OF LUMBER IN PIECES/LENGTHS</t>
  </si>
  <si>
    <t>1 x 2</t>
  </si>
  <si>
    <t>2 x 2</t>
  </si>
  <si>
    <t>2 x 3</t>
  </si>
  <si>
    <t>2 x 4</t>
  </si>
  <si>
    <t>30 x 30</t>
  </si>
  <si>
    <t>30 x 60</t>
  </si>
  <si>
    <t>40 x 40</t>
  </si>
  <si>
    <t>40 x 60</t>
  </si>
  <si>
    <t>60 x 60</t>
  </si>
  <si>
    <t>Lumber size in inches</t>
  </si>
  <si>
    <t>SPACING IN CENTIMETER (CENTER TO CENTER)</t>
  </si>
  <si>
    <t>Enter Height of Wall/Ceilling/Flooring</t>
  </si>
  <si>
    <t>Enter Length of Wall/Ceilling/Flooring</t>
  </si>
  <si>
    <t>C</t>
  </si>
  <si>
    <t>NUMBER OF BOARD FOOT OF STUDS &amp; NAILING JOIST PER SQUARE METER</t>
  </si>
  <si>
    <t># OF BD.FT OF STUDS &amp; NAILING JOIST USED:</t>
  </si>
  <si>
    <t>BD.FT.</t>
  </si>
  <si>
    <t>SHTS</t>
  </si>
  <si>
    <t>Sheets</t>
  </si>
  <si>
    <t>TOTAL # OF 4'X 8' ORDINARY PLYWOOD USED (ONE SIDE)</t>
  </si>
  <si>
    <t>TOTAL # OF 4'X 8' ORDINARY PLYWOOD USED (TWO SIDES)</t>
  </si>
  <si>
    <t># OF 1" CWNails Used for Boards (ONE SIDE)</t>
  </si>
  <si>
    <t># OF 1" CWNails Used for Boards (TWO SIDES)</t>
  </si>
  <si>
    <t># OF 2 1/2" CWNails Used for Joining the Studs together</t>
  </si>
  <si>
    <t>Enter Spacing (M)</t>
  </si>
  <si>
    <t>Enter Steps Lateral Bar diameter (mm)</t>
  </si>
  <si>
    <t>Enter Stringer Lateral Bar diameter (mm)</t>
  </si>
  <si>
    <t>Enter Stringer Horizontal Bar diameter (mm)</t>
  </si>
  <si>
    <t xml:space="preserve">NOTES: </t>
  </si>
  <si>
    <t>DOWELS FOR LATERAL BARS ARE ALREADY INCLUDED IN THE ESTIMATES</t>
  </si>
  <si>
    <t>FOR STAIRS LANDINGS YOU MAY USE THE SLAB REINFORCEMENT CALCULATOR</t>
  </si>
  <si>
    <t>CONCRETE CANAL</t>
  </si>
  <si>
    <t>Enter Canal Total Length</t>
  </si>
  <si>
    <t>Enter Canal Total Height</t>
  </si>
  <si>
    <t>Enter Top Opening Width</t>
  </si>
  <si>
    <t xml:space="preserve"> (M)</t>
  </si>
  <si>
    <t>Enter Bottom Opening width</t>
  </si>
  <si>
    <t>Enter Canal Flooring Bottom Width</t>
  </si>
  <si>
    <t>Enter Canal Flooring Thickness</t>
  </si>
  <si>
    <t>Enter # of layers of CHB used (1 Side)</t>
  </si>
  <si>
    <t>Layer</t>
  </si>
  <si>
    <t>layers</t>
  </si>
  <si>
    <t>4"= 0.10,           6" = 0.15</t>
  </si>
  <si>
    <t>CHB Breakage % allowance</t>
  </si>
  <si>
    <t>Calc. U bar length</t>
  </si>
  <si>
    <t>Enter # of Horizonal Barsfor Walling (2 sides)</t>
  </si>
  <si>
    <t>Enter # of Horizonal Bars for flooring</t>
  </si>
  <si>
    <t>Enter U bar spacing</t>
  </si>
  <si>
    <t>CONCRETING</t>
  </si>
  <si>
    <t>Canal Flooring</t>
  </si>
  <si>
    <t>Total Volume</t>
  </si>
  <si>
    <t>cu.m.</t>
  </si>
  <si>
    <t>Canal Top Stiffener</t>
  </si>
  <si>
    <t># of Bags cement</t>
  </si>
  <si>
    <t>Volume of Sand</t>
  </si>
  <si>
    <t>Volume of 3/4 Gravel</t>
  </si>
  <si>
    <t>MASONRY</t>
  </si>
  <si>
    <t>#  of CHB used</t>
  </si>
  <si>
    <t>AREA</t>
  </si>
  <si>
    <t>REINFORCEMENTS</t>
  </si>
  <si>
    <t># of Horizontal Bars Used at CHB Wall</t>
  </si>
  <si>
    <t># of Horizontal Bars Used at Flooring</t>
  </si>
  <si>
    <t># U Bars</t>
  </si>
  <si>
    <t># Bars Used for U Bars</t>
  </si>
  <si>
    <t>ROOFING WORKS</t>
  </si>
  <si>
    <t>USING 1/4" ORDINARY PLYWOOD or 4' x 8' HARDIFLEX BOARD</t>
  </si>
  <si>
    <t>BEAM REINFORCEMENT (TWO BAYS) CONTINUOUS BEAM</t>
  </si>
  <si>
    <t>Enter Span (Ls)</t>
  </si>
  <si>
    <t>Enter Height (H)</t>
  </si>
  <si>
    <t>Enter Projection Width (Bulada)</t>
  </si>
  <si>
    <t>Angle</t>
  </si>
  <si>
    <t>Total Length of Rafter</t>
  </si>
  <si>
    <t>Rafter L1</t>
  </si>
  <si>
    <t>H2</t>
  </si>
  <si>
    <t>Rafter L2</t>
  </si>
  <si>
    <t># of pulins</t>
  </si>
  <si>
    <t>Roofing Length</t>
  </si>
  <si>
    <t>Total Roofing Net Length</t>
  </si>
  <si>
    <t>Enter Roof Sheet Length 1</t>
  </si>
  <si>
    <t>Enter Roof Sheet Length 2</t>
  </si>
  <si>
    <t>FT</t>
  </si>
  <si>
    <t>Overlap</t>
  </si>
  <si>
    <t>Enter Roof Sheet Length 3</t>
  </si>
  <si>
    <t>USING ONLY TWO SHEETS</t>
  </si>
  <si>
    <t>USING THREE SHEETS</t>
  </si>
  <si>
    <t>Enter Roofing total with</t>
  </si>
  <si>
    <t>Side Lapping</t>
  </si>
  <si>
    <t>Effective Width</t>
  </si>
  <si>
    <t>End Lapping</t>
  </si>
  <si>
    <t>25cm - 30 cm</t>
  </si>
  <si>
    <t>Enter Effective Width</t>
  </si>
  <si>
    <t>Note: Must multiply by two if the other side of the roof is similar</t>
  </si>
  <si>
    <t>Number of Umbrella Nails/Tekscrews</t>
  </si>
  <si>
    <t>DETERMINING THE NUMBER OF ROOF SHEETS</t>
  </si>
  <si>
    <t>12 x 12</t>
  </si>
  <si>
    <t>3 x 3</t>
  </si>
  <si>
    <t>7.5 x 7.5</t>
  </si>
  <si>
    <t>4 x 4</t>
  </si>
  <si>
    <t>10 x 10</t>
  </si>
  <si>
    <t>4 x 8</t>
  </si>
  <si>
    <t>10 x 20</t>
  </si>
  <si>
    <t>6 x 6</t>
  </si>
  <si>
    <t>15 x 15</t>
  </si>
  <si>
    <t>8 x 8</t>
  </si>
  <si>
    <t>Unit Conversion:</t>
  </si>
  <si>
    <t>1 Gallon = 4 Liters</t>
  </si>
  <si>
    <t xml:space="preserve">Simplified Construction Estimate </t>
  </si>
  <si>
    <t>Table 10-6 Kinds of Paint, Uses and Area Coverage</t>
  </si>
  <si>
    <t>PRIMERS</t>
  </si>
  <si>
    <t>KIND OF PAINT</t>
  </si>
  <si>
    <t>USES</t>
  </si>
  <si>
    <t>THINING</t>
  </si>
  <si>
    <t>DRYING TIME</t>
  </si>
  <si>
    <t>COVERAGE/Gal</t>
  </si>
  <si>
    <t>1. Interior Primer &amp; Sealer</t>
  </si>
  <si>
    <t>For interior wood surfaces</t>
  </si>
  <si>
    <t>Paint Thinner</t>
  </si>
  <si>
    <t>2 hrs, allow overnight b4 recoating</t>
  </si>
  <si>
    <t>25 to 30 sq.m.</t>
  </si>
  <si>
    <t>2. Exterior Wood Primer</t>
  </si>
  <si>
    <t>For exterior wood surfaces</t>
  </si>
  <si>
    <t>6 hrs, allow overnight b4 recoating</t>
  </si>
  <si>
    <t>30 to 40 sq.m.</t>
  </si>
  <si>
    <t>3. Red Oxide Primer</t>
  </si>
  <si>
    <t>Primer for ferrous and non-ferrous materials</t>
  </si>
  <si>
    <t>3 Hours</t>
  </si>
  <si>
    <t>35 to 40 sq.m.</t>
  </si>
  <si>
    <t>4. Red Lead Primer</t>
  </si>
  <si>
    <t>Rust preventive primer for ferrous surfaces</t>
  </si>
  <si>
    <t>5. Epoxy Primer</t>
  </si>
  <si>
    <t>For Steel, Aluminum, Galvanized iron</t>
  </si>
  <si>
    <t>Epoxy Reducer</t>
  </si>
  <si>
    <t>WATER BASE MASONRY PAINT</t>
  </si>
  <si>
    <t>1. Acrylic Latex Paint</t>
  </si>
  <si>
    <t>Exterior &amp; Interior masonry surfaces</t>
  </si>
  <si>
    <t>1/2 lts/ 4 lts water</t>
  </si>
  <si>
    <t>30 minutes allow 6 hrs b4 recoat</t>
  </si>
  <si>
    <t>2. Acrylic Semi-Gloss Latex</t>
  </si>
  <si>
    <t>Water</t>
  </si>
  <si>
    <t>3. Acrylic Gloss Latex</t>
  </si>
  <si>
    <t>4. Latex Hi-Gloss Enamel</t>
  </si>
  <si>
    <t>For furniture, cabinets, doors, windows, tools, toys, wrought iron, &amp; primed metals</t>
  </si>
  <si>
    <t>Usse as is</t>
  </si>
  <si>
    <t>1 Hour. Allow 4 hrs before recoating</t>
  </si>
  <si>
    <t>5. Tinting Colors</t>
  </si>
  <si>
    <t>Acrylic colors</t>
  </si>
  <si>
    <t>water</t>
  </si>
  <si>
    <t>ROOF PAINT</t>
  </si>
  <si>
    <t>1. All weather acylic roof shield</t>
  </si>
  <si>
    <t>for G.I. Shts, asbestos bricks concrete and stucco</t>
  </si>
  <si>
    <t>4 hrs. allow overnight before recoating</t>
  </si>
  <si>
    <t>40 to 50 sq.m.</t>
  </si>
  <si>
    <t>2. Davies Roof paint</t>
  </si>
  <si>
    <t>G.I. roofs and other metal such as aluminum and steel</t>
  </si>
  <si>
    <t>6 hrs. allow overnight before recoating</t>
  </si>
  <si>
    <t>ENAMEL AND GLOSS PAINT</t>
  </si>
  <si>
    <t>1. Quick Drying Enamel</t>
  </si>
  <si>
    <t>for exterior &amp; interior wood and metal surface</t>
  </si>
  <si>
    <t>5 hrs. allow 8 hrs. before recoating</t>
  </si>
  <si>
    <t>2. Interior semi-Gloss Enamel</t>
  </si>
  <si>
    <t>Interior wood and metal surfaces</t>
  </si>
  <si>
    <t>3. Flat wall Enamel</t>
  </si>
  <si>
    <t>for interior wall &amp; ceilings</t>
  </si>
  <si>
    <t>3 hrs. allow overnight before recoating</t>
  </si>
  <si>
    <t>4. Exterior Gloss paint</t>
  </si>
  <si>
    <t>for exterrior wood and properly primed metal surfaces</t>
  </si>
  <si>
    <t>6 hrs. allow 48 hrs. before recoating</t>
  </si>
  <si>
    <t>30 to 35 sq.m.</t>
  </si>
  <si>
    <t>Oil Base tinting color</t>
  </si>
  <si>
    <t>VARNISHING</t>
  </si>
  <si>
    <t>1. Valspar or Spar Varnish</t>
  </si>
  <si>
    <t>for floors, sidings furnitures, deck of boats</t>
  </si>
  <si>
    <t>24 hours</t>
  </si>
  <si>
    <t>2. Hi-solid sanding sealer</t>
  </si>
  <si>
    <t>for interior new wood furnitures and fixtures, cabinet, doors, etc.</t>
  </si>
  <si>
    <t>Lacquer Thinner</t>
  </si>
  <si>
    <t>10 minutes. Allow 30 minutes before recoat</t>
  </si>
  <si>
    <t>3. Hi-solid clear gloss Lacquer</t>
  </si>
  <si>
    <t>for interior new wood furnitures, door panelling and trim.</t>
  </si>
  <si>
    <t>Allow 30 minutes before recoat</t>
  </si>
  <si>
    <t>4. Hi-solid Semi-gloss Lacquer</t>
  </si>
  <si>
    <t>for interior new wood furnitures, cabinets, doors, shelves, etc</t>
  </si>
  <si>
    <t>5. Hi-solid dead flat Lacquer</t>
  </si>
  <si>
    <t>for interior wood furniture, cabinets, door jambs, trim panelling, etc.</t>
  </si>
  <si>
    <t>6. Water white gloss Lacquer</t>
  </si>
  <si>
    <t>for furnitures, cabinets, doors, panel and interior walls</t>
  </si>
  <si>
    <t>PAINTING WORKS</t>
  </si>
  <si>
    <t>Enter Total Covered Length</t>
  </si>
  <si>
    <t>Enter Effective Length</t>
  </si>
  <si>
    <t>Number of Roof Accessories Used</t>
  </si>
  <si>
    <t>ROOF ACCESSORIES</t>
  </si>
  <si>
    <t>TILING WORKS</t>
  </si>
  <si>
    <t>Enter Wall or Floor Area</t>
  </si>
  <si>
    <t>Tile Size</t>
  </si>
  <si>
    <t># of PCS</t>
  </si>
  <si>
    <t>per Sq.m.</t>
  </si>
  <si>
    <t>Inches</t>
  </si>
  <si>
    <t>4 1/4 x 4 1/4</t>
  </si>
  <si>
    <t>6 x 8</t>
  </si>
  <si>
    <t>6 x 12</t>
  </si>
  <si>
    <t>8 x 16</t>
  </si>
  <si>
    <t>10 x 16</t>
  </si>
  <si>
    <t>16 x 16</t>
  </si>
  <si>
    <t>20 x 20</t>
  </si>
  <si>
    <t>10.6 x 10.6</t>
  </si>
  <si>
    <t>15 x 20</t>
  </si>
  <si>
    <t>15 x 30</t>
  </si>
  <si>
    <t>20 x 30</t>
  </si>
  <si>
    <t>20 x 40</t>
  </si>
  <si>
    <t>25 x 25</t>
  </si>
  <si>
    <t>8 x 12</t>
  </si>
  <si>
    <t>12 x 24</t>
  </si>
  <si>
    <t>50 x 50</t>
  </si>
  <si>
    <t>Enter Breakage Allowance (5 - 10%)</t>
  </si>
  <si>
    <t>Cement Mortar</t>
  </si>
  <si>
    <t>White Cement</t>
  </si>
  <si>
    <t>Adhesive</t>
  </si>
  <si>
    <t>Enter Wall Area</t>
  </si>
  <si>
    <t>Enter Coverage</t>
  </si>
  <si>
    <t>Coverage/Gal</t>
  </si>
  <si>
    <t>Number of Gallons</t>
  </si>
  <si>
    <t>Coats</t>
  </si>
  <si>
    <t>Enter # of Coats</t>
  </si>
  <si>
    <t>Gals</t>
  </si>
  <si>
    <t xml:space="preserve">CONSTRUCTION ESTIMATE CALCULATOR </t>
  </si>
  <si>
    <t>VOLUME OF CONCRETE FOR EACH COLUME:</t>
  </si>
  <si>
    <t>VOLUME OF CONCRETE EACH COLUMN:</t>
  </si>
  <si>
    <t>Enter Concrete Mix Design  (CLASS)</t>
  </si>
  <si>
    <t>AA, A,or B</t>
  </si>
  <si>
    <t>B</t>
  </si>
  <si>
    <t>Enter wall openings</t>
  </si>
  <si>
    <t>DETERMINING THE DESIRABLE NUMBER OF SHEETS IF USING MORE THAN ONE SHEET</t>
  </si>
  <si>
    <t>SCAFFOLDINGS</t>
  </si>
  <si>
    <t>1. Vertical Support</t>
  </si>
  <si>
    <t>2. Base of Vertical Support</t>
  </si>
  <si>
    <t>3. Horizontal Member</t>
  </si>
  <si>
    <t>4. Diagonal Braces</t>
  </si>
  <si>
    <t>5. Block and Wedges</t>
  </si>
  <si>
    <t>6. Nails &amp; Bolts</t>
  </si>
  <si>
    <t>PARTS OF SCAFFOLDINGS</t>
  </si>
  <si>
    <t>DETERMINING THE TOTAL MATERIALS USED FOR SQUARES &amp; RECTANGULAR COLUMN FORMS</t>
  </si>
  <si>
    <t>Column Dimension A</t>
  </si>
  <si>
    <t>Column Dimension B</t>
  </si>
  <si>
    <t>Total Number of Plywood required:</t>
  </si>
  <si>
    <t>Total # of Bd.ft of frame required:</t>
  </si>
  <si>
    <t>Bd.ft</t>
  </si>
  <si>
    <t>Total Number of Lumber:</t>
  </si>
  <si>
    <t>Sheet(s)</t>
  </si>
  <si>
    <t>Total Number of #2 1/2 CWNails:</t>
  </si>
  <si>
    <t>Total Number of #1 Finishing Nails:</t>
  </si>
  <si>
    <t>Note: One form per column - (Resusable form)</t>
  </si>
  <si>
    <t>DETERMINING THE TOTAL MATERIALS USED FOR BEAMS &amp; GIRDER FORMS</t>
  </si>
  <si>
    <t>Enter Beam Length</t>
  </si>
  <si>
    <t>Beam Dimension B</t>
  </si>
  <si>
    <t>Enter Number of Beams</t>
  </si>
  <si>
    <t>Beam Dimension D</t>
  </si>
  <si>
    <t xml:space="preserve">FORMS </t>
  </si>
  <si>
    <t>Total Column Height:</t>
  </si>
  <si>
    <t>M. Ht.</t>
  </si>
  <si>
    <t>Lumber Size</t>
  </si>
  <si>
    <t>Vertical</t>
  </si>
  <si>
    <t>Brace</t>
  </si>
  <si>
    <t>Horizontal</t>
  </si>
  <si>
    <t>Flooring</t>
  </si>
  <si>
    <t>Column</t>
  </si>
  <si>
    <t>Beam</t>
  </si>
  <si>
    <t>2" x 2"</t>
  </si>
  <si>
    <t>2" x 3"</t>
  </si>
  <si>
    <t>2" x 4"</t>
  </si>
  <si>
    <t>Enter # of Columns</t>
  </si>
  <si>
    <t>Enter # of Beams</t>
  </si>
  <si>
    <t>Total Beam Length:</t>
  </si>
  <si>
    <t>COLUMN</t>
  </si>
  <si>
    <t>BEAM</t>
  </si>
  <si>
    <t>FLOORING</t>
  </si>
  <si>
    <t>QUANTITY OF LUMBER FOR SCAFFOLDING OR STAGING</t>
  </si>
  <si>
    <t>Enter total # of Bd.ft of Lumber required:</t>
  </si>
  <si>
    <t>Total Number of #4 CWNails:</t>
  </si>
  <si>
    <t>Enter Size of CHB required</t>
  </si>
  <si>
    <t># OF #16 TIE WIRE required</t>
  </si>
  <si>
    <t># OF STEEL BARS required</t>
  </si>
  <si>
    <t># of 6m Length Deformed Bars required as Non-Continuous Bars</t>
  </si>
  <si>
    <t># of 6m Length Deformed Bars required as Web Bars</t>
  </si>
  <si>
    <t># of 6m Length Deformed Bars required as Continuous Bars</t>
  </si>
  <si>
    <t>Enter Stirrup Bars Diameter required:</t>
  </si>
  <si>
    <t>Total Number of Bars required  for stirrups @ 6M :</t>
  </si>
  <si>
    <t>#16 TIE WIRE required:</t>
  </si>
  <si>
    <t>Enter Stirrup bar diameter required</t>
  </si>
  <si>
    <t>Enter Reinforcement Bar Diameter required</t>
  </si>
  <si>
    <t>A or B</t>
  </si>
  <si>
    <t>A</t>
  </si>
  <si>
    <t>20 x 120</t>
  </si>
  <si>
    <t>8 x 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</si>
</sst>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"/>
    <numFmt numFmtId="165" formatCode="_(* #,##0.000_);_(* \(#,##0.000\);_(* &quot;-&quot;??_);_(@_)"/>
    <numFmt numFmtId="166" formatCode="_(* #,##0_);_(* \(#,##0\);_(* &quot;-&quot;??_);_(@_)"/>
  </numFmts>
  <fonts count="67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8"/>
      <color indexed="8"/>
      <name val="Calibri"/>
      <family val="2"/>
    </font>
    <font>
      <b/>
      <sz val="14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rgb="FF00B05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theme="1"/>
      <name val="Agency FB"/>
      <family val="2"/>
    </font>
    <font>
      <b/>
      <i/>
      <sz val="11"/>
      <color rgb="FFFF0000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omic Sans MS"/>
      <family val="4"/>
    </font>
    <font>
      <sz val="10"/>
      <color theme="1"/>
      <name val="Calibri"/>
      <family val="2"/>
      <scheme val="minor"/>
    </font>
    <font>
      <b/>
      <i/>
      <sz val="11"/>
      <color rgb="FF00B0F0"/>
      <name val="Calibri"/>
      <family val="2"/>
      <scheme val="minor"/>
    </font>
    <font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3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8"/>
      <color rgb="FF00B050"/>
      <name val="Calibri"/>
      <family val="2"/>
      <scheme val="minor"/>
    </font>
    <font>
      <b/>
      <sz val="8"/>
      <color rgb="FF0070C0"/>
      <name val="Calibri"/>
      <family val="2"/>
      <scheme val="minor"/>
    </font>
    <font>
      <b/>
      <sz val="8"/>
      <color rgb="FF7030A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B0F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b/>
      <sz val="10"/>
      <color rgb="FF7030A0"/>
      <name val="Calibri"/>
      <family val="2"/>
      <scheme val="minor"/>
    </font>
    <font>
      <sz val="10"/>
      <color rgb="FF7030A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rgb="FF00B050"/>
      <name val="Calibri"/>
      <family val="2"/>
      <scheme val="minor"/>
    </font>
    <font>
      <b/>
      <sz val="9"/>
      <color rgb="FF0070C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name val="Calibri"/>
      <family val="2"/>
      <scheme val="minor"/>
    </font>
    <font>
      <sz val="11"/>
      <color rgb="FFFFFF00"/>
      <name val="Calibri"/>
      <family val="2"/>
      <scheme val="minor"/>
    </font>
    <font>
      <b/>
      <i/>
      <sz val="11"/>
      <color rgb="FF7030A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1"/>
      <color rgb="FF00B0F0"/>
      <name val="Calibri"/>
      <family val="2"/>
      <scheme val="minor"/>
    </font>
    <font>
      <i/>
      <sz val="11"/>
      <color theme="0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b/>
      <i/>
      <sz val="11"/>
      <color rgb="FFC00000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omic Sans MS"/>
      <family val="4"/>
    </font>
    <font>
      <b/>
      <sz val="11"/>
      <color rgb="FF00B050"/>
      <name val="Comic Sans MS"/>
      <family val="4"/>
    </font>
    <font>
      <b/>
      <sz val="11"/>
      <color rgb="FF0070C0"/>
      <name val="Comic Sans MS"/>
      <family val="4"/>
    </font>
    <font>
      <b/>
      <i/>
      <sz val="10"/>
      <color rgb="FFFF0000"/>
      <name val="Calibri"/>
      <family val="2"/>
      <scheme val="minor"/>
    </font>
    <font>
      <i/>
      <sz val="11"/>
      <color rgb="FF00B0F0"/>
      <name val="Calibri"/>
      <family val="2"/>
      <scheme val="minor"/>
    </font>
    <font>
      <i/>
      <sz val="11"/>
      <color theme="5"/>
      <name val="Calibri"/>
      <family val="2"/>
      <scheme val="minor"/>
    </font>
    <font>
      <b/>
      <i/>
      <sz val="11"/>
      <color theme="5"/>
      <name val="Calibri"/>
      <family val="2"/>
      <scheme val="minor"/>
    </font>
    <font>
      <sz val="11"/>
      <color theme="1"/>
      <name val="Cooper Black"/>
      <family val="1"/>
    </font>
    <font>
      <sz val="11"/>
      <color rgb="FF0070C0"/>
      <name val="Cooper Black"/>
      <family val="1"/>
    </font>
    <font>
      <b/>
      <sz val="11"/>
      <color rgb="FFFFFF00"/>
      <name val="Bodoni MT Black"/>
      <family val="1"/>
    </font>
    <font>
      <sz val="11"/>
      <color rgb="FFFFFF00"/>
      <name val="Bodoni MT Black"/>
      <family val="1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370">
    <xf numFmtId="0" fontId="0" fillId="0" borderId="0" xfId="0"/>
    <xf numFmtId="0" fontId="8" fillId="0" borderId="0" xfId="0" applyFont="1"/>
    <xf numFmtId="0" fontId="8" fillId="0" borderId="1" xfId="0" applyFont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0" fillId="0" borderId="0" xfId="0" applyFill="1"/>
    <xf numFmtId="0" fontId="8" fillId="0" borderId="1" xfId="0" applyFont="1" applyBorder="1" applyAlignment="1">
      <alignment horizontal="center"/>
    </xf>
    <xf numFmtId="0" fontId="8" fillId="0" borderId="0" xfId="0" applyFont="1" applyFill="1" applyBorder="1" applyAlignment="1">
      <alignment horizontal="right" vertical="center"/>
    </xf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7" fillId="0" borderId="0" xfId="0" applyFont="1" applyFill="1" applyBorder="1" applyAlignment="1">
      <alignment horizontal="right" vertical="center"/>
    </xf>
    <xf numFmtId="0" fontId="7" fillId="0" borderId="1" xfId="0" applyFont="1" applyFill="1" applyBorder="1" applyAlignment="1">
      <alignment horizontal="center" vertical="center"/>
    </xf>
    <xf numFmtId="43" fontId="10" fillId="2" borderId="1" xfId="1" applyFont="1" applyFill="1" applyBorder="1"/>
    <xf numFmtId="0" fontId="8" fillId="0" borderId="2" xfId="0" applyFont="1" applyBorder="1"/>
    <xf numFmtId="0" fontId="0" fillId="0" borderId="3" xfId="0" applyBorder="1"/>
    <xf numFmtId="0" fontId="11" fillId="0" borderId="3" xfId="0" applyFont="1" applyBorder="1"/>
    <xf numFmtId="0" fontId="8" fillId="0" borderId="3" xfId="0" applyFont="1" applyBorder="1" applyAlignment="1">
      <alignment horizontal="left"/>
    </xf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6" xfId="0" applyBorder="1" applyAlignment="1">
      <alignment horizontal="center"/>
    </xf>
    <xf numFmtId="0" fontId="10" fillId="2" borderId="7" xfId="0" applyFont="1" applyFill="1" applyBorder="1" applyAlignment="1">
      <alignment horizontal="center"/>
    </xf>
    <xf numFmtId="43" fontId="10" fillId="3" borderId="0" xfId="1" applyFont="1" applyFill="1" applyBorder="1"/>
    <xf numFmtId="43" fontId="10" fillId="3" borderId="6" xfId="1" applyFont="1" applyFill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0" fillId="0" borderId="8" xfId="0" applyBorder="1"/>
    <xf numFmtId="0" fontId="0" fillId="0" borderId="9" xfId="0" applyBorder="1"/>
    <xf numFmtId="0" fontId="7" fillId="0" borderId="9" xfId="0" applyFont="1" applyFill="1" applyBorder="1" applyAlignment="1">
      <alignment horizontal="right" vertical="center"/>
    </xf>
    <xf numFmtId="0" fontId="7" fillId="0" borderId="10" xfId="0" applyFont="1" applyFill="1" applyBorder="1" applyAlignment="1">
      <alignment horizontal="center" vertical="center"/>
    </xf>
    <xf numFmtId="0" fontId="11" fillId="0" borderId="0" xfId="0" applyFont="1" applyBorder="1"/>
    <xf numFmtId="0" fontId="8" fillId="0" borderId="0" xfId="0" applyFont="1" applyBorder="1" applyAlignment="1">
      <alignment horizontal="left"/>
    </xf>
    <xf numFmtId="0" fontId="12" fillId="0" borderId="0" xfId="0" applyFont="1" applyBorder="1"/>
    <xf numFmtId="43" fontId="13" fillId="4" borderId="1" xfId="1" applyFont="1" applyFill="1" applyBorder="1"/>
    <xf numFmtId="43" fontId="10" fillId="3" borderId="0" xfId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1" xfId="0" applyFont="1" applyFill="1" applyBorder="1" applyAlignment="1">
      <alignment horizontal="right" vertical="center"/>
    </xf>
    <xf numFmtId="43" fontId="10" fillId="3" borderId="1" xfId="1" applyFont="1" applyFill="1" applyBorder="1"/>
    <xf numFmtId="43" fontId="10" fillId="3" borderId="6" xfId="1" applyFont="1" applyFill="1" applyBorder="1" applyAlignment="1">
      <alignment horizontal="center"/>
    </xf>
    <xf numFmtId="43" fontId="10" fillId="3" borderId="9" xfId="1" applyFont="1" applyFill="1" applyBorder="1"/>
    <xf numFmtId="43" fontId="10" fillId="3" borderId="11" xfId="1" applyFont="1" applyFill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7" xfId="0" applyBorder="1" applyAlignment="1">
      <alignment horizontal="center"/>
    </xf>
    <xf numFmtId="43" fontId="10" fillId="3" borderId="7" xfId="1" applyFont="1" applyFill="1" applyBorder="1" applyAlignment="1">
      <alignment horizontal="center" vertical="center"/>
    </xf>
    <xf numFmtId="43" fontId="10" fillId="3" borderId="7" xfId="1" applyFont="1" applyFill="1" applyBorder="1" applyAlignment="1">
      <alignment horizontal="center"/>
    </xf>
    <xf numFmtId="0" fontId="0" fillId="0" borderId="11" xfId="0" applyBorder="1"/>
    <xf numFmtId="0" fontId="8" fillId="0" borderId="5" xfId="0" applyFont="1" applyBorder="1"/>
    <xf numFmtId="0" fontId="11" fillId="0" borderId="5" xfId="0" applyFont="1" applyBorder="1"/>
    <xf numFmtId="0" fontId="8" fillId="0" borderId="1" xfId="0" applyFont="1" applyFill="1" applyBorder="1" applyAlignment="1">
      <alignment horizontal="center"/>
    </xf>
    <xf numFmtId="0" fontId="0" fillId="0" borderId="6" xfId="0" applyFill="1" applyBorder="1"/>
    <xf numFmtId="0" fontId="8" fillId="0" borderId="0" xfId="0" applyFont="1" applyFill="1" applyBorder="1" applyAlignment="1">
      <alignment horizontal="center"/>
    </xf>
    <xf numFmtId="43" fontId="13" fillId="0" borderId="0" xfId="1" applyFont="1" applyFill="1" applyBorder="1" applyAlignment="1">
      <alignment horizontal="center"/>
    </xf>
    <xf numFmtId="0" fontId="0" fillId="0" borderId="6" xfId="0" applyFont="1" applyFill="1" applyBorder="1" applyAlignment="1">
      <alignment horizontal="center"/>
    </xf>
    <xf numFmtId="0" fontId="0" fillId="0" borderId="2" xfId="0" applyBorder="1"/>
    <xf numFmtId="43" fontId="10" fillId="2" borderId="12" xfId="1" applyFont="1" applyFill="1" applyBorder="1"/>
    <xf numFmtId="43" fontId="13" fillId="0" borderId="0" xfId="1" applyFont="1" applyFill="1" applyBorder="1"/>
    <xf numFmtId="43" fontId="10" fillId="3" borderId="7" xfId="1" applyFont="1" applyFill="1" applyBorder="1"/>
    <xf numFmtId="43" fontId="5" fillId="0" borderId="0" xfId="0" applyNumberFormat="1" applyFont="1" applyBorder="1"/>
    <xf numFmtId="43" fontId="10" fillId="3" borderId="10" xfId="1" applyFont="1" applyFill="1" applyBorder="1"/>
    <xf numFmtId="43" fontId="10" fillId="3" borderId="13" xfId="1" applyFont="1" applyFill="1" applyBorder="1" applyAlignment="1">
      <alignment horizontal="center" vertical="center"/>
    </xf>
    <xf numFmtId="43" fontId="10" fillId="3" borderId="0" xfId="1" applyFont="1" applyFill="1" applyBorder="1" applyAlignment="1">
      <alignment horizontal="center"/>
    </xf>
    <xf numFmtId="43" fontId="10" fillId="3" borderId="9" xfId="1" applyFont="1" applyFill="1" applyBorder="1" applyAlignment="1">
      <alignment horizontal="center"/>
    </xf>
    <xf numFmtId="0" fontId="8" fillId="4" borderId="0" xfId="0" applyFont="1" applyFill="1"/>
    <xf numFmtId="0" fontId="0" fillId="4" borderId="0" xfId="0" applyFill="1"/>
    <xf numFmtId="43" fontId="10" fillId="2" borderId="14" xfId="1" applyFont="1" applyFill="1" applyBorder="1"/>
    <xf numFmtId="0" fontId="8" fillId="4" borderId="2" xfId="0" applyFont="1" applyFill="1" applyBorder="1"/>
    <xf numFmtId="0" fontId="0" fillId="4" borderId="3" xfId="0" applyFill="1" applyBorder="1"/>
    <xf numFmtId="0" fontId="14" fillId="0" borderId="0" xfId="0" applyFont="1" applyBorder="1"/>
    <xf numFmtId="0" fontId="15" fillId="0" borderId="0" xfId="0" applyFont="1" applyBorder="1"/>
    <xf numFmtId="0" fontId="8" fillId="0" borderId="0" xfId="0" applyFont="1" applyBorder="1" applyAlignment="1">
      <alignment horizontal="right"/>
    </xf>
    <xf numFmtId="0" fontId="13" fillId="0" borderId="0" xfId="0" applyFont="1" applyBorder="1" applyAlignment="1">
      <alignment horizontal="right"/>
    </xf>
    <xf numFmtId="0" fontId="13" fillId="0" borderId="0" xfId="0" applyFont="1" applyFill="1" applyBorder="1" applyAlignment="1">
      <alignment horizontal="right"/>
    </xf>
    <xf numFmtId="0" fontId="16" fillId="0" borderId="1" xfId="0" applyFont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43" fontId="10" fillId="0" borderId="0" xfId="1" applyFont="1" applyFill="1" applyBorder="1"/>
    <xf numFmtId="0" fontId="17" fillId="0" borderId="15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0" xfId="0" applyFont="1" applyBorder="1" applyAlignment="1">
      <alignment horizontal="right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5" fillId="0" borderId="0" xfId="0" applyFont="1" applyFill="1" applyBorder="1" applyAlignment="1">
      <alignment horizontal="right"/>
    </xf>
    <xf numFmtId="0" fontId="12" fillId="0" borderId="0" xfId="0" applyFont="1" applyFill="1" applyBorder="1" applyAlignment="1">
      <alignment horizontal="right" vertical="center"/>
    </xf>
    <xf numFmtId="0" fontId="20" fillId="0" borderId="7" xfId="0" applyFont="1" applyFill="1" applyBorder="1" applyAlignment="1">
      <alignment horizontal="center"/>
    </xf>
    <xf numFmtId="43" fontId="20" fillId="0" borderId="1" xfId="1" applyFont="1" applyFill="1" applyBorder="1"/>
    <xf numFmtId="0" fontId="21" fillId="0" borderId="1" xfId="0" applyFont="1" applyBorder="1" applyAlignment="1">
      <alignment horizontal="center" vertical="center"/>
    </xf>
    <xf numFmtId="0" fontId="5" fillId="0" borderId="0" xfId="0" applyFont="1"/>
    <xf numFmtId="43" fontId="9" fillId="0" borderId="0" xfId="0" applyNumberFormat="1" applyFont="1"/>
    <xf numFmtId="165" fontId="20" fillId="5" borderId="1" xfId="1" applyNumberFormat="1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center" vertical="center"/>
    </xf>
    <xf numFmtId="43" fontId="20" fillId="5" borderId="1" xfId="0" applyNumberFormat="1" applyFont="1" applyFill="1" applyBorder="1" applyAlignment="1">
      <alignment horizontal="center" vertical="center"/>
    </xf>
    <xf numFmtId="43" fontId="20" fillId="5" borderId="1" xfId="1" applyFont="1" applyFill="1" applyBorder="1"/>
    <xf numFmtId="43" fontId="20" fillId="5" borderId="1" xfId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right"/>
    </xf>
    <xf numFmtId="0" fontId="13" fillId="0" borderId="0" xfId="0" applyFont="1"/>
    <xf numFmtId="0" fontId="5" fillId="0" borderId="0" xfId="0" applyFont="1" applyAlignment="1">
      <alignment horizontal="right"/>
    </xf>
    <xf numFmtId="43" fontId="6" fillId="5" borderId="0" xfId="1" applyFont="1" applyFill="1" applyBorder="1"/>
    <xf numFmtId="43" fontId="6" fillId="5" borderId="0" xfId="1" applyFont="1" applyFill="1" applyBorder="1" applyAlignment="1">
      <alignment horizontal="center" vertical="center"/>
    </xf>
    <xf numFmtId="43" fontId="10" fillId="2" borderId="16" xfId="1" applyFont="1" applyFill="1" applyBorder="1"/>
    <xf numFmtId="0" fontId="10" fillId="2" borderId="17" xfId="0" applyFont="1" applyFill="1" applyBorder="1" applyAlignment="1">
      <alignment horizontal="center"/>
    </xf>
    <xf numFmtId="43" fontId="10" fillId="2" borderId="14" xfId="1" applyNumberFormat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166" fontId="4" fillId="0" borderId="0" xfId="1" applyNumberFormat="1" applyFont="1"/>
    <xf numFmtId="0" fontId="22" fillId="0" borderId="1" xfId="0" applyFont="1" applyBorder="1" applyAlignment="1">
      <alignment horizontal="center" vertical="center" wrapText="1"/>
    </xf>
    <xf numFmtId="0" fontId="8" fillId="4" borderId="1" xfId="0" applyFont="1" applyFill="1" applyBorder="1"/>
    <xf numFmtId="0" fontId="0" fillId="0" borderId="0" xfId="0" applyAlignment="1">
      <alignment horizontal="right"/>
    </xf>
    <xf numFmtId="43" fontId="10" fillId="3" borderId="0" xfId="0" applyNumberFormat="1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4" fillId="0" borderId="0" xfId="0" applyFont="1" applyAlignment="1">
      <alignment horizontal="right"/>
    </xf>
    <xf numFmtId="0" fontId="18" fillId="0" borderId="0" xfId="0" applyFont="1" applyAlignment="1">
      <alignment horizontal="right"/>
    </xf>
    <xf numFmtId="0" fontId="23" fillId="0" borderId="0" xfId="0" applyFont="1" applyAlignment="1">
      <alignment horizontal="right"/>
    </xf>
    <xf numFmtId="0" fontId="0" fillId="4" borderId="14" xfId="0" applyFill="1" applyBorder="1"/>
    <xf numFmtId="43" fontId="10" fillId="3" borderId="0" xfId="1" applyFont="1" applyFill="1" applyAlignment="1">
      <alignment horizontal="center" vertical="center"/>
    </xf>
    <xf numFmtId="43" fontId="20" fillId="0" borderId="0" xfId="1" applyFont="1" applyFill="1" applyBorder="1"/>
    <xf numFmtId="43" fontId="20" fillId="0" borderId="0" xfId="1" applyFont="1" applyFill="1" applyBorder="1" applyAlignment="1">
      <alignment horizontal="center" vertical="center"/>
    </xf>
    <xf numFmtId="0" fontId="24" fillId="0" borderId="0" xfId="0" applyFont="1" applyFill="1"/>
    <xf numFmtId="43" fontId="20" fillId="0" borderId="1" xfId="1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43" fontId="8" fillId="0" borderId="1" xfId="1" applyFont="1" applyBorder="1"/>
    <xf numFmtId="0" fontId="8" fillId="0" borderId="0" xfId="0" applyFont="1" applyAlignment="1">
      <alignment horizontal="right"/>
    </xf>
    <xf numFmtId="164" fontId="0" fillId="0" borderId="14" xfId="0" applyNumberFormat="1" applyBorder="1" applyAlignment="1">
      <alignment horizontal="center" vertical="center"/>
    </xf>
    <xf numFmtId="0" fontId="25" fillId="0" borderId="14" xfId="0" applyFont="1" applyBorder="1" applyAlignment="1">
      <alignment horizontal="center" vertical="center" wrapText="1"/>
    </xf>
    <xf numFmtId="0" fontId="13" fillId="0" borderId="0" xfId="0" applyFont="1" applyAlignment="1">
      <alignment horizontal="right"/>
    </xf>
    <xf numFmtId="165" fontId="10" fillId="3" borderId="1" xfId="1" applyNumberFormat="1" applyFont="1" applyFill="1" applyBorder="1"/>
    <xf numFmtId="0" fontId="0" fillId="3" borderId="1" xfId="0" applyFill="1" applyBorder="1" applyAlignment="1">
      <alignment horizontal="center"/>
    </xf>
    <xf numFmtId="0" fontId="20" fillId="0" borderId="0" xfId="0" applyFont="1" applyBorder="1" applyAlignment="1">
      <alignment horizontal="right"/>
    </xf>
    <xf numFmtId="0" fontId="20" fillId="0" borderId="0" xfId="0" applyFont="1" applyFill="1" applyBorder="1" applyAlignment="1">
      <alignment horizontal="right" vertical="center"/>
    </xf>
    <xf numFmtId="0" fontId="20" fillId="0" borderId="0" xfId="0" applyFont="1" applyBorder="1" applyAlignment="1">
      <alignment horizontal="right" vertical="center"/>
    </xf>
    <xf numFmtId="43" fontId="10" fillId="0" borderId="0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/>
    </xf>
    <xf numFmtId="0" fontId="26" fillId="0" borderId="18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vertical="center"/>
    </xf>
    <xf numFmtId="0" fontId="8" fillId="0" borderId="14" xfId="0" applyFont="1" applyBorder="1" applyAlignment="1">
      <alignment horizontal="center" vertical="center"/>
    </xf>
    <xf numFmtId="165" fontId="4" fillId="0" borderId="1" xfId="1" applyNumberFormat="1" applyFont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165" fontId="4" fillId="6" borderId="1" xfId="1" applyNumberFormat="1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165" fontId="4" fillId="7" borderId="1" xfId="1" applyNumberFormat="1" applyFont="1" applyFill="1" applyBorder="1" applyAlignment="1">
      <alignment horizontal="center" vertical="center"/>
    </xf>
    <xf numFmtId="0" fontId="7" fillId="0" borderId="0" xfId="0" applyFont="1"/>
    <xf numFmtId="165" fontId="8" fillId="4" borderId="1" xfId="1" applyNumberFormat="1" applyFont="1" applyFill="1" applyBorder="1" applyAlignment="1">
      <alignment horizontal="center" vertical="center"/>
    </xf>
    <xf numFmtId="43" fontId="27" fillId="0" borderId="0" xfId="0" applyNumberFormat="1" applyFont="1"/>
    <xf numFmtId="43" fontId="13" fillId="4" borderId="1" xfId="1" applyFont="1" applyFill="1" applyBorder="1" applyAlignment="1" applyProtection="1">
      <alignment horizontal="center"/>
      <protection locked="0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30" fillId="0" borderId="0" xfId="0" applyFont="1" applyAlignment="1">
      <alignment horizontal="left" vertical="center"/>
    </xf>
    <xf numFmtId="0" fontId="9" fillId="0" borderId="0" xfId="0" applyFont="1" applyFill="1" applyBorder="1"/>
    <xf numFmtId="0" fontId="31" fillId="0" borderId="0" xfId="0" applyFont="1" applyAlignment="1">
      <alignment horizontal="left" vertical="center"/>
    </xf>
    <xf numFmtId="0" fontId="10" fillId="0" borderId="0" xfId="0" applyFont="1" applyFill="1" applyBorder="1" applyAlignment="1">
      <alignment horizontal="center"/>
    </xf>
    <xf numFmtId="0" fontId="32" fillId="0" borderId="0" xfId="0" applyFont="1" applyFill="1" applyBorder="1" applyAlignment="1">
      <alignment horizontal="right" vertical="center"/>
    </xf>
    <xf numFmtId="0" fontId="32" fillId="0" borderId="0" xfId="0" applyNumberFormat="1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3" fillId="0" borderId="0" xfId="0" applyFont="1" applyFill="1" applyBorder="1" applyAlignment="1">
      <alignment horizontal="right" vertical="center"/>
    </xf>
    <xf numFmtId="0" fontId="33" fillId="0" borderId="0" xfId="0" applyNumberFormat="1" applyFont="1" applyFill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4" fillId="0" borderId="0" xfId="0" applyFont="1" applyFill="1" applyBorder="1" applyAlignment="1">
      <alignment horizontal="right" vertical="center"/>
    </xf>
    <xf numFmtId="0" fontId="34" fillId="0" borderId="0" xfId="0" applyNumberFormat="1" applyFont="1" applyFill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5" fillId="0" borderId="0" xfId="0" applyFont="1" applyFill="1" applyBorder="1" applyAlignment="1">
      <alignment horizontal="right" vertical="center"/>
    </xf>
    <xf numFmtId="0" fontId="36" fillId="0" borderId="0" xfId="0" applyNumberFormat="1" applyFont="1" applyFill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7" fillId="0" borderId="0" xfId="0" applyFont="1" applyBorder="1" applyAlignment="1">
      <alignment horizontal="right"/>
    </xf>
    <xf numFmtId="0" fontId="37" fillId="0" borderId="0" xfId="0" applyFont="1" applyBorder="1" applyAlignment="1">
      <alignment horizontal="right" vertical="center"/>
    </xf>
    <xf numFmtId="0" fontId="16" fillId="0" borderId="1" xfId="0" applyFont="1" applyBorder="1" applyAlignment="1">
      <alignment horizontal="center" vertical="center" wrapText="1"/>
    </xf>
    <xf numFmtId="0" fontId="37" fillId="0" borderId="0" xfId="0" applyFont="1" applyFill="1" applyBorder="1" applyAlignment="1">
      <alignment horizontal="right"/>
    </xf>
    <xf numFmtId="0" fontId="8" fillId="0" borderId="1" xfId="0" applyFont="1" applyFill="1" applyBorder="1" applyAlignment="1">
      <alignment horizontal="center" vertical="center"/>
    </xf>
    <xf numFmtId="0" fontId="38" fillId="0" borderId="0" xfId="0" applyFont="1" applyFill="1" applyBorder="1" applyAlignment="1">
      <alignment horizontal="right"/>
    </xf>
    <xf numFmtId="43" fontId="5" fillId="0" borderId="0" xfId="0" applyNumberFormat="1" applyFont="1"/>
    <xf numFmtId="0" fontId="39" fillId="0" borderId="0" xfId="0" applyFont="1" applyBorder="1" applyAlignment="1">
      <alignment horizontal="right"/>
    </xf>
    <xf numFmtId="0" fontId="40" fillId="0" borderId="0" xfId="0" applyFont="1" applyBorder="1" applyAlignment="1">
      <alignment horizontal="right"/>
    </xf>
    <xf numFmtId="0" fontId="32" fillId="0" borderId="0" xfId="0" applyFont="1" applyAlignment="1">
      <alignment horizontal="right"/>
    </xf>
    <xf numFmtId="43" fontId="10" fillId="3" borderId="0" xfId="0" applyNumberFormat="1" applyFont="1" applyFill="1"/>
    <xf numFmtId="0" fontId="6" fillId="0" borderId="0" xfId="0" applyFont="1" applyAlignment="1">
      <alignment horizontal="right"/>
    </xf>
    <xf numFmtId="43" fontId="10" fillId="3" borderId="1" xfId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right"/>
    </xf>
    <xf numFmtId="0" fontId="41" fillId="0" borderId="0" xfId="0" applyFont="1"/>
    <xf numFmtId="0" fontId="42" fillId="0" borderId="0" xfId="0" applyFont="1" applyFill="1" applyBorder="1" applyAlignment="1">
      <alignment horizontal="right"/>
    </xf>
    <xf numFmtId="0" fontId="43" fillId="0" borderId="0" xfId="0" applyFont="1" applyFill="1" applyBorder="1" applyAlignment="1">
      <alignment horizontal="center"/>
    </xf>
    <xf numFmtId="43" fontId="10" fillId="3" borderId="0" xfId="1" applyFont="1" applyFill="1"/>
    <xf numFmtId="0" fontId="10" fillId="3" borderId="1" xfId="0" applyFont="1" applyFill="1" applyBorder="1" applyAlignment="1">
      <alignment horizontal="center" vertical="center"/>
    </xf>
    <xf numFmtId="0" fontId="24" fillId="0" borderId="0" xfId="0" applyFont="1"/>
    <xf numFmtId="43" fontId="24" fillId="0" borderId="0" xfId="0" applyNumberFormat="1" applyFont="1"/>
    <xf numFmtId="0" fontId="0" fillId="0" borderId="0" xfId="0" applyFont="1"/>
    <xf numFmtId="0" fontId="6" fillId="0" borderId="0" xfId="0" applyFont="1" applyFill="1" applyBorder="1" applyAlignment="1">
      <alignment horizontal="right"/>
    </xf>
    <xf numFmtId="0" fontId="5" fillId="0" borderId="0" xfId="0" applyFont="1" applyFill="1" applyBorder="1" applyAlignment="1">
      <alignment horizontal="center" vertical="center"/>
    </xf>
    <xf numFmtId="43" fontId="6" fillId="0" borderId="0" xfId="1" applyFont="1" applyFill="1" applyBorder="1"/>
    <xf numFmtId="0" fontId="6" fillId="0" borderId="0" xfId="0" applyFont="1" applyFill="1" applyBorder="1" applyAlignment="1">
      <alignment horizontal="center" vertical="center"/>
    </xf>
    <xf numFmtId="43" fontId="10" fillId="3" borderId="19" xfId="1" applyFont="1" applyFill="1" applyBorder="1"/>
    <xf numFmtId="0" fontId="20" fillId="0" borderId="0" xfId="0" applyFont="1" applyFill="1" applyBorder="1" applyAlignment="1">
      <alignment horizontal="right"/>
    </xf>
    <xf numFmtId="43" fontId="10" fillId="3" borderId="1" xfId="0" applyNumberFormat="1" applyFont="1" applyFill="1" applyBorder="1" applyAlignment="1">
      <alignment horizontal="center" vertical="center"/>
    </xf>
    <xf numFmtId="0" fontId="44" fillId="0" borderId="0" xfId="0" applyFont="1" applyAlignment="1">
      <alignment horizontal="center"/>
    </xf>
    <xf numFmtId="0" fontId="45" fillId="0" borderId="0" xfId="0" applyFont="1" applyFill="1" applyBorder="1" applyAlignment="1">
      <alignment horizontal="center" vertical="center"/>
    </xf>
    <xf numFmtId="0" fontId="46" fillId="0" borderId="0" xfId="0" applyFont="1"/>
    <xf numFmtId="43" fontId="47" fillId="0" borderId="0" xfId="0" applyNumberFormat="1" applyFont="1" applyBorder="1" applyAlignment="1">
      <alignment horizontal="right"/>
    </xf>
    <xf numFmtId="0" fontId="18" fillId="0" borderId="0" xfId="0" applyFont="1" applyAlignment="1">
      <alignment horizontal="center"/>
    </xf>
    <xf numFmtId="0" fontId="20" fillId="4" borderId="0" xfId="0" applyFont="1" applyFill="1"/>
    <xf numFmtId="0" fontId="46" fillId="4" borderId="0" xfId="0" applyFont="1" applyFill="1"/>
    <xf numFmtId="0" fontId="20" fillId="0" borderId="0" xfId="0" applyFont="1" applyFill="1"/>
    <xf numFmtId="0" fontId="0" fillId="0" borderId="20" xfId="0" applyBorder="1"/>
    <xf numFmtId="0" fontId="0" fillId="0" borderId="21" xfId="0" applyBorder="1"/>
    <xf numFmtId="0" fontId="8" fillId="0" borderId="19" xfId="0" applyFont="1" applyBorder="1" applyAlignment="1">
      <alignment horizontal="right"/>
    </xf>
    <xf numFmtId="0" fontId="8" fillId="0" borderId="18" xfId="0" applyFont="1" applyBorder="1" applyAlignment="1">
      <alignment horizontal="right"/>
    </xf>
    <xf numFmtId="12" fontId="8" fillId="8" borderId="1" xfId="0" applyNumberFormat="1" applyFont="1" applyFill="1" applyBorder="1"/>
    <xf numFmtId="2" fontId="8" fillId="9" borderId="12" xfId="0" applyNumberFormat="1" applyFont="1" applyFill="1" applyBorder="1"/>
    <xf numFmtId="12" fontId="8" fillId="10" borderId="14" xfId="0" applyNumberFormat="1" applyFont="1" applyFill="1" applyBorder="1"/>
    <xf numFmtId="2" fontId="8" fillId="11" borderId="16" xfId="0" applyNumberFormat="1" applyFont="1" applyFill="1" applyBorder="1"/>
    <xf numFmtId="0" fontId="18" fillId="0" borderId="0" xfId="0" applyFont="1"/>
    <xf numFmtId="0" fontId="48" fillId="0" borderId="0" xfId="0" applyFont="1" applyAlignment="1">
      <alignment horizontal="right"/>
    </xf>
    <xf numFmtId="0" fontId="49" fillId="3" borderId="0" xfId="0" applyFont="1" applyFill="1" applyAlignment="1">
      <alignment horizontal="center" vertical="center"/>
    </xf>
    <xf numFmtId="0" fontId="50" fillId="0" borderId="0" xfId="0" applyFont="1" applyAlignment="1">
      <alignment horizontal="center"/>
    </xf>
    <xf numFmtId="0" fontId="32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0" fontId="34" fillId="0" borderId="0" xfId="0" applyFont="1" applyAlignment="1">
      <alignment vertical="center"/>
    </xf>
    <xf numFmtId="0" fontId="35" fillId="0" borderId="0" xfId="0" applyFont="1" applyAlignment="1">
      <alignment vertical="center"/>
    </xf>
    <xf numFmtId="0" fontId="11" fillId="0" borderId="0" xfId="0" applyFont="1" applyAlignment="1">
      <alignment horizontal="right"/>
    </xf>
    <xf numFmtId="0" fontId="44" fillId="0" borderId="0" xfId="0" applyFont="1" applyAlignment="1">
      <alignment horizontal="right"/>
    </xf>
    <xf numFmtId="0" fontId="50" fillId="0" borderId="0" xfId="0" applyFont="1" applyFill="1" applyAlignment="1">
      <alignment horizontal="center" vertical="center"/>
    </xf>
    <xf numFmtId="0" fontId="51" fillId="0" borderId="0" xfId="0" applyFont="1"/>
    <xf numFmtId="0" fontId="52" fillId="0" borderId="0" xfId="0" applyFont="1"/>
    <xf numFmtId="0" fontId="52" fillId="0" borderId="0" xfId="1" applyNumberFormat="1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16" fillId="0" borderId="1" xfId="1" applyNumberFormat="1" applyFont="1" applyBorder="1" applyAlignment="1">
      <alignment horizontal="center" vertical="center"/>
    </xf>
    <xf numFmtId="0" fontId="16" fillId="0" borderId="0" xfId="0" applyFont="1"/>
    <xf numFmtId="0" fontId="25" fillId="0" borderId="1" xfId="0" applyFont="1" applyBorder="1" applyAlignment="1">
      <alignment horizontal="center" vertical="center"/>
    </xf>
    <xf numFmtId="0" fontId="52" fillId="0" borderId="1" xfId="0" applyFont="1" applyBorder="1" applyAlignment="1">
      <alignment horizontal="center" vertical="center" wrapText="1"/>
    </xf>
    <xf numFmtId="0" fontId="52" fillId="0" borderId="1" xfId="1" applyNumberFormat="1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51" fillId="0" borderId="0" xfId="0" applyFont="1" applyBorder="1"/>
    <xf numFmtId="0" fontId="52" fillId="0" borderId="0" xfId="0" applyFont="1" applyBorder="1"/>
    <xf numFmtId="0" fontId="52" fillId="0" borderId="0" xfId="1" applyNumberFormat="1" applyFont="1" applyBorder="1" applyAlignment="1">
      <alignment horizontal="center" vertical="center"/>
    </xf>
    <xf numFmtId="0" fontId="52" fillId="0" borderId="0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16" fillId="0" borderId="0" xfId="1" applyNumberFormat="1" applyFont="1" applyBorder="1" applyAlignment="1">
      <alignment horizontal="center" vertical="center"/>
    </xf>
    <xf numFmtId="0" fontId="16" fillId="0" borderId="0" xfId="0" applyFont="1" applyBorder="1" applyAlignment="1">
      <alignment horizontal="right"/>
    </xf>
    <xf numFmtId="0" fontId="16" fillId="0" borderId="0" xfId="1" quotePrefix="1" applyNumberFormat="1" applyFont="1" applyBorder="1" applyAlignment="1">
      <alignment horizontal="left" vertical="center"/>
    </xf>
    <xf numFmtId="0" fontId="16" fillId="0" borderId="0" xfId="0" quotePrefix="1" applyFont="1" applyBorder="1" applyAlignment="1">
      <alignment horizontal="center" vertical="center"/>
    </xf>
    <xf numFmtId="0" fontId="52" fillId="0" borderId="0" xfId="0" applyFont="1" applyBorder="1" applyAlignment="1">
      <alignment vertical="center"/>
    </xf>
    <xf numFmtId="0" fontId="16" fillId="0" borderId="0" xfId="0" applyFont="1" applyBorder="1" applyAlignment="1">
      <alignment vertical="center"/>
    </xf>
    <xf numFmtId="0" fontId="16" fillId="0" borderId="0" xfId="0" applyFont="1" applyBorder="1" applyAlignment="1"/>
    <xf numFmtId="0" fontId="20" fillId="0" borderId="1" xfId="0" applyFont="1" applyBorder="1" applyAlignment="1">
      <alignment horizontal="center" vertical="center"/>
    </xf>
    <xf numFmtId="0" fontId="52" fillId="0" borderId="0" xfId="0" quotePrefix="1" applyFont="1" applyBorder="1" applyAlignment="1">
      <alignment vertical="center"/>
    </xf>
    <xf numFmtId="0" fontId="8" fillId="0" borderId="12" xfId="0" applyFont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43" fontId="6" fillId="3" borderId="1" xfId="0" applyNumberFormat="1" applyFont="1" applyFill="1" applyBorder="1" applyAlignment="1">
      <alignment horizontal="center" vertical="center"/>
    </xf>
    <xf numFmtId="0" fontId="20" fillId="0" borderId="1" xfId="0" applyFont="1" applyBorder="1"/>
    <xf numFmtId="0" fontId="20" fillId="0" borderId="1" xfId="0" applyFont="1" applyBorder="1" applyAlignment="1">
      <alignment horizontal="center" vertical="center" wrapText="1"/>
    </xf>
    <xf numFmtId="43" fontId="13" fillId="4" borderId="1" xfId="1" applyFont="1" applyFill="1" applyBorder="1" applyProtection="1">
      <protection locked="0"/>
    </xf>
    <xf numFmtId="43" fontId="13" fillId="4" borderId="15" xfId="1" applyFont="1" applyFill="1" applyBorder="1" applyProtection="1">
      <protection locked="0"/>
    </xf>
    <xf numFmtId="43" fontId="13" fillId="4" borderId="22" xfId="1" applyFont="1" applyFill="1" applyBorder="1" applyProtection="1">
      <protection locked="0"/>
    </xf>
    <xf numFmtId="165" fontId="13" fillId="4" borderId="1" xfId="1" applyNumberFormat="1" applyFont="1" applyFill="1" applyBorder="1" applyProtection="1">
      <protection locked="0"/>
    </xf>
    <xf numFmtId="0" fontId="18" fillId="0" borderId="0" xfId="0" applyFont="1" applyFill="1" applyBorder="1" applyAlignment="1">
      <alignment horizontal="right"/>
    </xf>
    <xf numFmtId="166" fontId="53" fillId="4" borderId="1" xfId="1" applyNumberFormat="1" applyFont="1" applyFill="1" applyBorder="1" applyAlignment="1" applyProtection="1">
      <alignment horizontal="center" vertical="center"/>
      <protection locked="0"/>
    </xf>
    <xf numFmtId="166" fontId="54" fillId="4" borderId="1" xfId="1" applyNumberFormat="1" applyFont="1" applyFill="1" applyBorder="1" applyAlignment="1" applyProtection="1">
      <alignment horizontal="center" vertical="center"/>
      <protection locked="0"/>
    </xf>
    <xf numFmtId="166" fontId="55" fillId="4" borderId="1" xfId="1" applyNumberFormat="1" applyFont="1" applyFill="1" applyBorder="1" applyAlignment="1" applyProtection="1">
      <alignment horizontal="center" vertical="center"/>
      <protection locked="0"/>
    </xf>
    <xf numFmtId="166" fontId="21" fillId="0" borderId="1" xfId="1" applyNumberFormat="1" applyFont="1" applyFill="1" applyBorder="1" applyAlignment="1" applyProtection="1">
      <alignment horizontal="center" vertical="center"/>
      <protection locked="0"/>
    </xf>
    <xf numFmtId="43" fontId="13" fillId="4" borderId="1" xfId="1" applyFont="1" applyFill="1" applyBorder="1" applyAlignment="1" applyProtection="1">
      <alignment vertical="center" wrapText="1"/>
      <protection locked="0"/>
    </xf>
    <xf numFmtId="0" fontId="13" fillId="4" borderId="1" xfId="1" applyNumberFormat="1" applyFont="1" applyFill="1" applyBorder="1" applyAlignment="1" applyProtection="1">
      <alignment horizontal="center" vertical="center" wrapText="1"/>
      <protection locked="0"/>
    </xf>
    <xf numFmtId="0" fontId="13" fillId="4" borderId="1" xfId="0" applyFont="1" applyFill="1" applyBorder="1" applyProtection="1">
      <protection locked="0"/>
    </xf>
    <xf numFmtId="0" fontId="13" fillId="4" borderId="1" xfId="0" applyFont="1" applyFill="1" applyBorder="1" applyAlignment="1" applyProtection="1">
      <alignment horizontal="center" vertical="center"/>
      <protection locked="0"/>
    </xf>
    <xf numFmtId="43" fontId="13" fillId="4" borderId="1" xfId="0" applyNumberFormat="1" applyFont="1" applyFill="1" applyBorder="1" applyProtection="1">
      <protection locked="0"/>
    </xf>
    <xf numFmtId="43" fontId="13" fillId="4" borderId="1" xfId="0" applyNumberFormat="1" applyFont="1" applyFill="1" applyBorder="1" applyAlignment="1" applyProtection="1">
      <alignment horizontal="center" vertical="center"/>
      <protection locked="0"/>
    </xf>
    <xf numFmtId="43" fontId="13" fillId="4" borderId="1" xfId="1" applyFont="1" applyFill="1" applyBorder="1" applyAlignment="1" applyProtection="1">
      <alignment horizontal="center" vertical="center"/>
      <protection locked="0"/>
    </xf>
    <xf numFmtId="0" fontId="11" fillId="0" borderId="1" xfId="0" applyFont="1" applyFill="1" applyBorder="1" applyAlignment="1">
      <alignment horizontal="right" vertical="center"/>
    </xf>
    <xf numFmtId="0" fontId="56" fillId="0" borderId="0" xfId="0" applyFont="1" applyFill="1" applyBorder="1" applyAlignment="1">
      <alignment horizontal="right"/>
    </xf>
    <xf numFmtId="0" fontId="0" fillId="0" borderId="1" xfId="0" applyBorder="1"/>
    <xf numFmtId="0" fontId="11" fillId="0" borderId="1" xfId="0" applyFont="1" applyBorder="1"/>
    <xf numFmtId="0" fontId="0" fillId="0" borderId="0" xfId="0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9" fillId="12" borderId="7" xfId="0" applyFont="1" applyFill="1" applyBorder="1" applyAlignment="1">
      <alignment horizontal="center"/>
    </xf>
    <xf numFmtId="43" fontId="18" fillId="4" borderId="1" xfId="1" applyFont="1" applyFill="1" applyBorder="1" applyProtection="1">
      <protection locked="0"/>
    </xf>
    <xf numFmtId="0" fontId="57" fillId="0" borderId="0" xfId="0" applyFont="1" applyAlignment="1">
      <alignment horizontal="center"/>
    </xf>
    <xf numFmtId="43" fontId="46" fillId="0" borderId="0" xfId="0" applyNumberFormat="1" applyFont="1"/>
    <xf numFmtId="0" fontId="48" fillId="0" borderId="0" xfId="0" applyFont="1" applyFill="1" applyBorder="1" applyAlignment="1">
      <alignment horizontal="right"/>
    </xf>
    <xf numFmtId="0" fontId="23" fillId="0" borderId="0" xfId="0" applyFont="1" applyAlignment="1">
      <alignment horizontal="center" vertical="center"/>
    </xf>
    <xf numFmtId="0" fontId="18" fillId="0" borderId="1" xfId="0" applyFont="1" applyBorder="1" applyAlignment="1">
      <alignment horizontal="right"/>
    </xf>
    <xf numFmtId="0" fontId="48" fillId="0" borderId="1" xfId="0" applyFont="1" applyFill="1" applyBorder="1" applyAlignment="1">
      <alignment horizontal="right"/>
    </xf>
    <xf numFmtId="0" fontId="8" fillId="13" borderId="1" xfId="0" applyFont="1" applyFill="1" applyBorder="1" applyAlignment="1">
      <alignment horizontal="center"/>
    </xf>
    <xf numFmtId="0" fontId="8" fillId="14" borderId="1" xfId="0" applyFont="1" applyFill="1" applyBorder="1" applyAlignment="1">
      <alignment horizontal="center"/>
    </xf>
    <xf numFmtId="43" fontId="13" fillId="0" borderId="0" xfId="1" applyFont="1" applyFill="1" applyBorder="1" applyAlignment="1">
      <alignment horizontal="center" vertical="center"/>
    </xf>
    <xf numFmtId="43" fontId="10" fillId="12" borderId="1" xfId="0" applyNumberFormat="1" applyFont="1" applyFill="1" applyBorder="1"/>
    <xf numFmtId="43" fontId="10" fillId="12" borderId="1" xfId="1" applyFont="1" applyFill="1" applyBorder="1"/>
    <xf numFmtId="0" fontId="20" fillId="15" borderId="1" xfId="0" applyFont="1" applyFill="1" applyBorder="1" applyAlignment="1">
      <alignment horizontal="center" vertical="center"/>
    </xf>
    <xf numFmtId="0" fontId="20" fillId="16" borderId="1" xfId="0" applyFont="1" applyFill="1" applyBorder="1" applyAlignment="1" applyProtection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58" fillId="0" borderId="0" xfId="0" applyFont="1"/>
    <xf numFmtId="43" fontId="58" fillId="0" borderId="0" xfId="0" applyNumberFormat="1" applyFont="1"/>
    <xf numFmtId="0" fontId="59" fillId="0" borderId="0" xfId="0" applyFont="1" applyFill="1" applyBorder="1" applyAlignment="1">
      <alignment horizontal="center" vertical="center"/>
    </xf>
    <xf numFmtId="43" fontId="58" fillId="0" borderId="0" xfId="1" applyFont="1"/>
    <xf numFmtId="43" fontId="10" fillId="0" borderId="0" xfId="1" applyFont="1" applyFill="1" applyBorder="1" applyAlignment="1">
      <alignment horizontal="center"/>
    </xf>
    <xf numFmtId="43" fontId="13" fillId="4" borderId="0" xfId="1" applyFont="1" applyFill="1" applyBorder="1" applyProtection="1">
      <protection locked="0"/>
    </xf>
    <xf numFmtId="43" fontId="8" fillId="0" borderId="0" xfId="1" applyFont="1" applyBorder="1"/>
    <xf numFmtId="0" fontId="62" fillId="0" borderId="3" xfId="0" applyFont="1" applyFill="1" applyBorder="1" applyAlignment="1">
      <alignment vertical="center"/>
    </xf>
    <xf numFmtId="0" fontId="60" fillId="17" borderId="2" xfId="0" applyFont="1" applyFill="1" applyBorder="1" applyAlignment="1">
      <alignment horizontal="center"/>
    </xf>
    <xf numFmtId="0" fontId="60" fillId="17" borderId="3" xfId="0" applyFont="1" applyFill="1" applyBorder="1" applyAlignment="1">
      <alignment horizontal="center"/>
    </xf>
    <xf numFmtId="0" fontId="60" fillId="17" borderId="4" xfId="0" applyFont="1" applyFill="1" applyBorder="1" applyAlignment="1">
      <alignment horizontal="center"/>
    </xf>
    <xf numFmtId="0" fontId="12" fillId="17" borderId="8" xfId="0" applyFont="1" applyFill="1" applyBorder="1" applyAlignment="1">
      <alignment horizontal="center"/>
    </xf>
    <xf numFmtId="0" fontId="12" fillId="17" borderId="9" xfId="0" applyFont="1" applyFill="1" applyBorder="1" applyAlignment="1">
      <alignment horizontal="center"/>
    </xf>
    <xf numFmtId="0" fontId="12" fillId="17" borderId="11" xfId="0" applyFont="1" applyFill="1" applyBorder="1" applyAlignment="1">
      <alignment horizontal="center"/>
    </xf>
    <xf numFmtId="0" fontId="61" fillId="17" borderId="5" xfId="0" applyFont="1" applyFill="1" applyBorder="1" applyAlignment="1">
      <alignment horizontal="center" vertical="center"/>
    </xf>
    <xf numFmtId="0" fontId="60" fillId="17" borderId="0" xfId="0" applyFont="1" applyFill="1" applyBorder="1" applyAlignment="1">
      <alignment horizontal="center" vertical="center"/>
    </xf>
    <xf numFmtId="0" fontId="60" fillId="17" borderId="6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63" fillId="18" borderId="9" xfId="0" applyFont="1" applyFill="1" applyBorder="1" applyAlignment="1">
      <alignment horizontal="center" vertical="center"/>
    </xf>
    <xf numFmtId="164" fontId="0" fillId="0" borderId="21" xfId="0" applyNumberFormat="1" applyBorder="1" applyAlignment="1">
      <alignment horizontal="center" vertical="center" wrapText="1"/>
    </xf>
    <xf numFmtId="164" fontId="0" fillId="0" borderId="19" xfId="0" applyNumberFormat="1" applyBorder="1" applyAlignment="1">
      <alignment horizontal="center" vertical="center" wrapText="1"/>
    </xf>
    <xf numFmtId="164" fontId="0" fillId="0" borderId="14" xfId="0" applyNumberFormat="1" applyBorder="1" applyAlignment="1">
      <alignment horizontal="center" vertical="center" wrapText="1"/>
    </xf>
    <xf numFmtId="164" fontId="0" fillId="0" borderId="21" xfId="0" applyNumberFormat="1" applyBorder="1" applyAlignment="1">
      <alignment horizontal="center" vertical="center"/>
    </xf>
    <xf numFmtId="164" fontId="0" fillId="0" borderId="19" xfId="0" applyNumberFormat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0" fontId="8" fillId="0" borderId="21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64" fillId="0" borderId="21" xfId="0" applyFont="1" applyBorder="1" applyAlignment="1">
      <alignment horizontal="center" vertical="center" wrapText="1"/>
    </xf>
    <xf numFmtId="0" fontId="64" fillId="0" borderId="19" xfId="0" applyFont="1" applyBorder="1" applyAlignment="1">
      <alignment horizontal="center" vertical="center" wrapText="1"/>
    </xf>
    <xf numFmtId="0" fontId="64" fillId="0" borderId="14" xfId="0" applyFont="1" applyBorder="1" applyAlignment="1">
      <alignment horizontal="center" vertical="center" wrapText="1"/>
    </xf>
    <xf numFmtId="0" fontId="63" fillId="18" borderId="0" xfId="0" applyFont="1" applyFill="1" applyAlignment="1">
      <alignment horizontal="center" vertical="center"/>
    </xf>
    <xf numFmtId="164" fontId="65" fillId="4" borderId="15" xfId="0" applyNumberFormat="1" applyFont="1" applyFill="1" applyBorder="1" applyAlignment="1">
      <alignment horizontal="center" vertical="center"/>
    </xf>
    <xf numFmtId="164" fontId="65" fillId="4" borderId="22" xfId="0" applyNumberFormat="1" applyFont="1" applyFill="1" applyBorder="1" applyAlignment="1">
      <alignment horizontal="center" vertical="center"/>
    </xf>
    <xf numFmtId="164" fontId="65" fillId="4" borderId="12" xfId="0" applyNumberFormat="1" applyFont="1" applyFill="1" applyBorder="1" applyAlignment="1">
      <alignment horizontal="center" vertical="center"/>
    </xf>
    <xf numFmtId="0" fontId="17" fillId="0" borderId="21" xfId="0" applyFont="1" applyBorder="1" applyAlignment="1">
      <alignment horizontal="center"/>
    </xf>
    <xf numFmtId="0" fontId="17" fillId="0" borderId="19" xfId="0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0" fontId="66" fillId="0" borderId="15" xfId="0" applyFont="1" applyBorder="1" applyAlignment="1">
      <alignment horizontal="center" vertical="center"/>
    </xf>
    <xf numFmtId="0" fontId="66" fillId="0" borderId="22" xfId="0" applyFont="1" applyBorder="1" applyAlignment="1">
      <alignment horizontal="center" vertical="center"/>
    </xf>
    <xf numFmtId="0" fontId="66" fillId="0" borderId="12" xfId="0" applyFont="1" applyBorder="1" applyAlignment="1">
      <alignment horizontal="center" vertical="center"/>
    </xf>
    <xf numFmtId="0" fontId="65" fillId="4" borderId="15" xfId="0" applyFont="1" applyFill="1" applyBorder="1" applyAlignment="1">
      <alignment horizontal="center" vertical="center"/>
    </xf>
    <xf numFmtId="0" fontId="65" fillId="4" borderId="22" xfId="0" applyFont="1" applyFill="1" applyBorder="1" applyAlignment="1">
      <alignment horizontal="center" vertical="center"/>
    </xf>
    <xf numFmtId="0" fontId="65" fillId="4" borderId="12" xfId="0" applyFont="1" applyFill="1" applyBorder="1" applyAlignment="1">
      <alignment horizontal="center" vertical="center"/>
    </xf>
    <xf numFmtId="164" fontId="65" fillId="0" borderId="15" xfId="0" applyNumberFormat="1" applyFont="1" applyFill="1" applyBorder="1" applyAlignment="1">
      <alignment horizontal="center" vertical="center"/>
    </xf>
    <xf numFmtId="164" fontId="65" fillId="0" borderId="22" xfId="0" applyNumberFormat="1" applyFont="1" applyFill="1" applyBorder="1" applyAlignment="1">
      <alignment horizontal="center" vertical="center"/>
    </xf>
    <xf numFmtId="164" fontId="65" fillId="0" borderId="12" xfId="0" applyNumberFormat="1" applyFont="1" applyFill="1" applyBorder="1" applyAlignment="1">
      <alignment horizontal="center" vertical="center"/>
    </xf>
    <xf numFmtId="164" fontId="65" fillId="0" borderId="15" xfId="0" applyNumberFormat="1" applyFont="1" applyBorder="1" applyAlignment="1">
      <alignment horizontal="center" vertical="center"/>
    </xf>
    <xf numFmtId="164" fontId="65" fillId="0" borderId="22" xfId="0" applyNumberFormat="1" applyFont="1" applyBorder="1" applyAlignment="1">
      <alignment horizontal="center" vertical="center"/>
    </xf>
    <xf numFmtId="164" fontId="65" fillId="0" borderId="12" xfId="0" applyNumberFormat="1" applyFont="1" applyBorder="1" applyAlignment="1">
      <alignment horizontal="center" vertical="center"/>
    </xf>
    <xf numFmtId="0" fontId="66" fillId="0" borderId="15" xfId="0" applyFont="1" applyFill="1" applyBorder="1" applyAlignment="1">
      <alignment horizontal="center" vertical="center"/>
    </xf>
    <xf numFmtId="0" fontId="66" fillId="0" borderId="22" xfId="0" applyFont="1" applyFill="1" applyBorder="1" applyAlignment="1">
      <alignment horizontal="center" vertical="center"/>
    </xf>
    <xf numFmtId="0" fontId="66" fillId="0" borderId="12" xfId="0" applyFont="1" applyFill="1" applyBorder="1" applyAlignment="1">
      <alignment horizontal="center" vertical="center"/>
    </xf>
    <xf numFmtId="164" fontId="0" fillId="4" borderId="21" xfId="0" applyNumberFormat="1" applyFill="1" applyBorder="1" applyAlignment="1">
      <alignment horizontal="center" vertical="center" wrapText="1"/>
    </xf>
    <xf numFmtId="164" fontId="0" fillId="4" borderId="19" xfId="0" applyNumberFormat="1" applyFill="1" applyBorder="1" applyAlignment="1">
      <alignment horizontal="center" vertical="center" wrapText="1"/>
    </xf>
    <xf numFmtId="164" fontId="0" fillId="4" borderId="14" xfId="0" applyNumberFormat="1" applyFill="1" applyBorder="1" applyAlignment="1">
      <alignment horizontal="center" vertical="center" wrapText="1"/>
    </xf>
    <xf numFmtId="0" fontId="52" fillId="0" borderId="15" xfId="0" applyFont="1" applyBorder="1" applyAlignment="1">
      <alignment horizontal="center" wrapText="1"/>
    </xf>
    <xf numFmtId="0" fontId="52" fillId="0" borderId="12" xfId="0" applyFont="1" applyBorder="1" applyAlignment="1">
      <alignment horizontal="center" wrapText="1"/>
    </xf>
    <xf numFmtId="0" fontId="8" fillId="0" borderId="1" xfId="0" applyFont="1" applyBorder="1" applyAlignment="1">
      <alignment horizontal="center"/>
    </xf>
    <xf numFmtId="0" fontId="8" fillId="0" borderId="21" xfId="0" applyFont="1" applyBorder="1" applyAlignment="1">
      <alignment horizontal="center" wrapText="1"/>
    </xf>
    <xf numFmtId="0" fontId="8" fillId="0" borderId="14" xfId="0" applyFont="1" applyBorder="1" applyAlignment="1">
      <alignment horizontal="center" wrapText="1"/>
    </xf>
    <xf numFmtId="0" fontId="6" fillId="19" borderId="21" xfId="0" applyFont="1" applyFill="1" applyBorder="1" applyAlignment="1">
      <alignment horizontal="center" vertical="center"/>
    </xf>
    <xf numFmtId="0" fontId="6" fillId="19" borderId="14" xfId="0" applyFont="1" applyFill="1" applyBorder="1" applyAlignment="1">
      <alignment horizontal="center" vertical="center"/>
    </xf>
    <xf numFmtId="0" fontId="10" fillId="19" borderId="21" xfId="0" applyFont="1" applyFill="1" applyBorder="1" applyAlignment="1">
      <alignment horizontal="center"/>
    </xf>
    <xf numFmtId="0" fontId="10" fillId="19" borderId="19" xfId="0" applyFont="1" applyFill="1" applyBorder="1" applyAlignment="1">
      <alignment horizontal="center"/>
    </xf>
    <xf numFmtId="0" fontId="10" fillId="19" borderId="14" xfId="0" applyFont="1" applyFill="1" applyBorder="1" applyAlignment="1">
      <alignment horizontal="center"/>
    </xf>
    <xf numFmtId="0" fontId="62" fillId="12" borderId="0" xfId="0" applyFont="1" applyFill="1" applyAlignment="1">
      <alignment horizontal="center" vertical="center"/>
    </xf>
    <xf numFmtId="0" fontId="8" fillId="6" borderId="21" xfId="0" applyFont="1" applyFill="1" applyBorder="1" applyAlignment="1">
      <alignment horizontal="center" vertical="center"/>
    </xf>
    <xf numFmtId="0" fontId="8" fillId="6" borderId="19" xfId="0" applyFont="1" applyFill="1" applyBorder="1" applyAlignment="1">
      <alignment horizontal="center" vertical="center"/>
    </xf>
    <xf numFmtId="0" fontId="8" fillId="6" borderId="14" xfId="0" applyFont="1" applyFill="1" applyBorder="1" applyAlignment="1">
      <alignment horizontal="center" vertical="center"/>
    </xf>
    <xf numFmtId="0" fontId="8" fillId="9" borderId="15" xfId="0" applyFont="1" applyFill="1" applyBorder="1" applyAlignment="1">
      <alignment horizontal="center" vertical="center" wrapText="1"/>
    </xf>
    <xf numFmtId="0" fontId="8" fillId="9" borderId="12" xfId="0" applyFont="1" applyFill="1" applyBorder="1" applyAlignment="1">
      <alignment horizontal="center" vertical="center" wrapText="1"/>
    </xf>
    <xf numFmtId="0" fontId="8" fillId="7" borderId="15" xfId="0" applyFont="1" applyFill="1" applyBorder="1" applyAlignment="1">
      <alignment horizontal="center" vertical="center"/>
    </xf>
    <xf numFmtId="0" fontId="8" fillId="7" borderId="12" xfId="0" applyFont="1" applyFill="1" applyBorder="1" applyAlignment="1">
      <alignment horizontal="center" vertical="center"/>
    </xf>
    <xf numFmtId="0" fontId="8" fillId="11" borderId="21" xfId="0" applyFont="1" applyFill="1" applyBorder="1" applyAlignment="1">
      <alignment horizontal="center" vertical="center"/>
    </xf>
    <xf numFmtId="0" fontId="8" fillId="11" borderId="14" xfId="0" applyFont="1" applyFill="1" applyBorder="1" applyAlignment="1">
      <alignment horizontal="center" vertical="center"/>
    </xf>
    <xf numFmtId="0" fontId="6" fillId="12" borderId="21" xfId="0" applyFont="1" applyFill="1" applyBorder="1" applyAlignment="1">
      <alignment horizontal="center" vertical="center"/>
    </xf>
    <xf numFmtId="0" fontId="6" fillId="12" borderId="19" xfId="0" applyFont="1" applyFill="1" applyBorder="1" applyAlignment="1">
      <alignment horizontal="center" vertical="center"/>
    </xf>
    <xf numFmtId="0" fontId="6" fillId="12" borderId="14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jpeg"/><Relationship Id="rId3" Type="http://schemas.openxmlformats.org/officeDocument/2006/relationships/image" Target="../media/image6.jpeg"/><Relationship Id="rId7" Type="http://schemas.openxmlformats.org/officeDocument/2006/relationships/image" Target="../media/image2.jpeg"/><Relationship Id="rId2" Type="http://schemas.openxmlformats.org/officeDocument/2006/relationships/image" Target="../media/image5.jpeg"/><Relationship Id="rId1" Type="http://schemas.openxmlformats.org/officeDocument/2006/relationships/image" Target="../media/image4.jpeg"/><Relationship Id="rId6" Type="http://schemas.openxmlformats.org/officeDocument/2006/relationships/image" Target="../media/image1.jpeg"/><Relationship Id="rId5" Type="http://schemas.openxmlformats.org/officeDocument/2006/relationships/image" Target="../media/image8.jpeg"/><Relationship Id="rId4" Type="http://schemas.openxmlformats.org/officeDocument/2006/relationships/image" Target="../media/image7.jpe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jpeg"/><Relationship Id="rId3" Type="http://schemas.openxmlformats.org/officeDocument/2006/relationships/image" Target="../media/image4.jpeg"/><Relationship Id="rId7" Type="http://schemas.openxmlformats.org/officeDocument/2006/relationships/image" Target="../media/image11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3.jpeg"/><Relationship Id="rId5" Type="http://schemas.openxmlformats.org/officeDocument/2006/relationships/image" Target="../media/image10.jpeg"/><Relationship Id="rId4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jpeg"/><Relationship Id="rId2" Type="http://schemas.openxmlformats.org/officeDocument/2006/relationships/image" Target="../media/image14.jpeg"/><Relationship Id="rId1" Type="http://schemas.openxmlformats.org/officeDocument/2006/relationships/image" Target="../media/image13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jpeg"/><Relationship Id="rId7" Type="http://schemas.openxmlformats.org/officeDocument/2006/relationships/image" Target="../media/image19.png"/><Relationship Id="rId2" Type="http://schemas.openxmlformats.org/officeDocument/2006/relationships/image" Target="../media/image15.jpeg"/><Relationship Id="rId1" Type="http://schemas.openxmlformats.org/officeDocument/2006/relationships/image" Target="../media/image16.jpeg"/><Relationship Id="rId6" Type="http://schemas.openxmlformats.org/officeDocument/2006/relationships/image" Target="../media/image18.png"/><Relationship Id="rId5" Type="http://schemas.openxmlformats.org/officeDocument/2006/relationships/image" Target="../media/image17.jpeg"/><Relationship Id="rId4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jpeg"/><Relationship Id="rId2" Type="http://schemas.openxmlformats.org/officeDocument/2006/relationships/image" Target="../media/image1.jpeg"/><Relationship Id="rId1" Type="http://schemas.openxmlformats.org/officeDocument/2006/relationships/image" Target="../media/image21.jpeg"/><Relationship Id="rId5" Type="http://schemas.openxmlformats.org/officeDocument/2006/relationships/image" Target="../media/image24.jpeg"/><Relationship Id="rId4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137160</xdr:colOff>
      <xdr:row>5</xdr:row>
      <xdr:rowOff>83820</xdr:rowOff>
    </xdr:from>
    <xdr:to>
      <xdr:col>3</xdr:col>
      <xdr:colOff>548640</xdr:colOff>
      <xdr:row>15</xdr:row>
      <xdr:rowOff>121920</xdr:rowOff>
    </xdr:to>
    <xdr:grpSp>
      <xdr:nvGrpSpPr>
        <xdr:cNvPr id="22073" name="Group 64">
          <a:extLst>
            <a:ext uri="{FF2B5EF4-FFF2-40B4-BE49-F238E27FC236}">
              <a16:creationId xmlns:a16="http://schemas.microsoft.com/office/drawing/2014/main" id="{F3019132-337B-467A-B7F1-FC8053DC7338}"/>
            </a:ext>
          </a:extLst>
        </xdr:cNvPr>
        <xdr:cNvGrpSpPr>
          <a:grpSpLocks/>
        </xdr:cNvGrpSpPr>
      </xdr:nvGrpSpPr>
      <xdr:grpSpPr bwMode="auto">
        <a:xfrm>
          <a:off x="137160" y="1013460"/>
          <a:ext cx="2331720" cy="1866900"/>
          <a:chOff x="95250" y="752475"/>
          <a:chExt cx="2381250" cy="1971675"/>
        </a:xfrm>
      </xdr:grpSpPr>
      <xdr:grpSp>
        <xdr:nvGrpSpPr>
          <xdr:cNvPr id="22204" name="Group 3">
            <a:extLst>
              <a:ext uri="{FF2B5EF4-FFF2-40B4-BE49-F238E27FC236}">
                <a16:creationId xmlns:a16="http://schemas.microsoft.com/office/drawing/2014/main" id="{3BF5CCB4-913B-4CE9-8E1A-9F5DA084596D}"/>
              </a:ext>
            </a:extLst>
          </xdr:cNvPr>
          <xdr:cNvGrpSpPr>
            <a:grpSpLocks/>
          </xdr:cNvGrpSpPr>
        </xdr:nvGrpSpPr>
        <xdr:grpSpPr bwMode="auto">
          <a:xfrm>
            <a:off x="295275" y="752475"/>
            <a:ext cx="1676400" cy="1523999"/>
            <a:chOff x="600075" y="809625"/>
            <a:chExt cx="1676400" cy="1495424"/>
          </a:xfrm>
        </xdr:grpSpPr>
        <xdr:sp macro="" textlink="">
          <xdr:nvSpPr>
            <xdr:cNvPr id="2" name="Cube 1">
              <a:extLst>
                <a:ext uri="{FF2B5EF4-FFF2-40B4-BE49-F238E27FC236}">
                  <a16:creationId xmlns:a16="http://schemas.microsoft.com/office/drawing/2014/main" id="{2A23093C-6703-461E-8FBF-B6E6464B09B7}"/>
                </a:ext>
              </a:extLst>
            </xdr:cNvPr>
            <xdr:cNvSpPr/>
          </xdr:nvSpPr>
          <xdr:spPr>
            <a:xfrm>
              <a:off x="602537" y="1496643"/>
              <a:ext cx="1676595" cy="805469"/>
            </a:xfrm>
            <a:prstGeom prst="cube">
              <a:avLst>
                <a:gd name="adj" fmla="val 65512"/>
              </a:avLst>
            </a:prstGeom>
            <a:ln w="3175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en-US"/>
            </a:p>
          </xdr:txBody>
        </xdr:sp>
        <xdr:sp macro="" textlink="">
          <xdr:nvSpPr>
            <xdr:cNvPr id="3" name="Cube 2">
              <a:extLst>
                <a:ext uri="{FF2B5EF4-FFF2-40B4-BE49-F238E27FC236}">
                  <a16:creationId xmlns:a16="http://schemas.microsoft.com/office/drawing/2014/main" id="{ACE2B4AA-CEBA-4E3F-88EC-6A11BE63C223}"/>
                </a:ext>
              </a:extLst>
            </xdr:cNvPr>
            <xdr:cNvSpPr/>
          </xdr:nvSpPr>
          <xdr:spPr>
            <a:xfrm>
              <a:off x="1226197" y="809625"/>
              <a:ext cx="413074" cy="1010785"/>
            </a:xfrm>
            <a:prstGeom prst="cube">
              <a:avLst/>
            </a:prstGeom>
            <a:ln w="3175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en-US"/>
            </a:p>
          </xdr:txBody>
        </xdr:sp>
      </xdr:grpSp>
      <xdr:cxnSp macro="">
        <xdr:nvCxnSpPr>
          <xdr:cNvPr id="6" name="Straight Arrow Connector 5">
            <a:extLst>
              <a:ext uri="{FF2B5EF4-FFF2-40B4-BE49-F238E27FC236}">
                <a16:creationId xmlns:a16="http://schemas.microsoft.com/office/drawing/2014/main" id="{7079B4AE-20C4-41E6-BF8A-54B82BB584A2}"/>
              </a:ext>
            </a:extLst>
          </xdr:cNvPr>
          <xdr:cNvCxnSpPr/>
        </xdr:nvCxnSpPr>
        <xdr:spPr>
          <a:xfrm>
            <a:off x="2152520" y="1444573"/>
            <a:ext cx="0" cy="297763"/>
          </a:xfrm>
          <a:prstGeom prst="straightConnector1">
            <a:avLst/>
          </a:prstGeom>
          <a:ln>
            <a:solidFill>
              <a:sysClr val="windowText" lastClr="000000"/>
            </a:solidFill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3C4B903E-B127-4AE4-A0F5-A8EC574186BB}"/>
              </a:ext>
            </a:extLst>
          </xdr:cNvPr>
          <xdr:cNvSpPr txBox="1"/>
        </xdr:nvSpPr>
        <xdr:spPr>
          <a:xfrm>
            <a:off x="2136321" y="1484811"/>
            <a:ext cx="340179" cy="18509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/>
              <a:t>T</a:t>
            </a:r>
          </a:p>
        </xdr:txBody>
      </xdr:sp>
      <xdr:cxnSp macro="">
        <xdr:nvCxnSpPr>
          <xdr:cNvPr id="9" name="Straight Arrow Connector 8">
            <a:extLst>
              <a:ext uri="{FF2B5EF4-FFF2-40B4-BE49-F238E27FC236}">
                <a16:creationId xmlns:a16="http://schemas.microsoft.com/office/drawing/2014/main" id="{B761856F-8B30-4E4B-B3BD-54BD0844B337}"/>
              </a:ext>
            </a:extLst>
          </xdr:cNvPr>
          <xdr:cNvCxnSpPr/>
        </xdr:nvCxnSpPr>
        <xdr:spPr>
          <a:xfrm flipV="1">
            <a:off x="111449" y="1436526"/>
            <a:ext cx="566964" cy="571383"/>
          </a:xfrm>
          <a:prstGeom prst="straightConnector1">
            <a:avLst/>
          </a:prstGeom>
          <a:ln>
            <a:solidFill>
              <a:sysClr val="windowText" lastClr="000000"/>
            </a:solidFill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C3483A56-2211-4BF7-8ADB-118BC46061AB}"/>
              </a:ext>
            </a:extLst>
          </xdr:cNvPr>
          <xdr:cNvCxnSpPr/>
        </xdr:nvCxnSpPr>
        <xdr:spPr>
          <a:xfrm>
            <a:off x="289638" y="2402244"/>
            <a:ext cx="1158227" cy="0"/>
          </a:xfrm>
          <a:prstGeom prst="straightConnector1">
            <a:avLst/>
          </a:prstGeom>
          <a:ln>
            <a:solidFill>
              <a:sysClr val="windowText" lastClr="000000"/>
            </a:solidFill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FCE08C30-E9FD-4D00-9639-038142E50A9A}"/>
              </a:ext>
            </a:extLst>
          </xdr:cNvPr>
          <xdr:cNvSpPr txBox="1"/>
        </xdr:nvSpPr>
        <xdr:spPr>
          <a:xfrm>
            <a:off x="694612" y="2466625"/>
            <a:ext cx="332079" cy="2575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/>
              <a:t>L</a:t>
            </a:r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4D4CB704-CA49-4F48-BD41-A531A00491F7}"/>
              </a:ext>
            </a:extLst>
          </xdr:cNvPr>
          <xdr:cNvSpPr txBox="1"/>
        </xdr:nvSpPr>
        <xdr:spPr>
          <a:xfrm>
            <a:off x="95250" y="1468716"/>
            <a:ext cx="340179" cy="18509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/>
              <a:t>W</a:t>
            </a:r>
          </a:p>
        </xdr:txBody>
      </xdr:sp>
    </xdr:grpSp>
    <xdr:clientData/>
  </xdr:twoCellAnchor>
  <xdr:twoCellAnchor>
    <xdr:from>
      <xdr:col>0</xdr:col>
      <xdr:colOff>213360</xdr:colOff>
      <xdr:row>18</xdr:row>
      <xdr:rowOff>106680</xdr:rowOff>
    </xdr:from>
    <xdr:to>
      <xdr:col>4</xdr:col>
      <xdr:colOff>137160</xdr:colOff>
      <xdr:row>24</xdr:row>
      <xdr:rowOff>167640</xdr:rowOff>
    </xdr:to>
    <xdr:grpSp>
      <xdr:nvGrpSpPr>
        <xdr:cNvPr id="22074" name="Group 39">
          <a:extLst>
            <a:ext uri="{FF2B5EF4-FFF2-40B4-BE49-F238E27FC236}">
              <a16:creationId xmlns:a16="http://schemas.microsoft.com/office/drawing/2014/main" id="{701364BD-6A55-4FEE-8730-BEBC53AE03C2}"/>
            </a:ext>
          </a:extLst>
        </xdr:cNvPr>
        <xdr:cNvGrpSpPr>
          <a:grpSpLocks/>
        </xdr:cNvGrpSpPr>
      </xdr:nvGrpSpPr>
      <xdr:grpSpPr bwMode="auto">
        <a:xfrm>
          <a:off x="213360" y="3429000"/>
          <a:ext cx="2484120" cy="1158240"/>
          <a:chOff x="266700" y="3467100"/>
          <a:chExt cx="2552700" cy="1200150"/>
        </a:xfrm>
      </xdr:grpSpPr>
      <xdr:sp macro="" textlink="">
        <xdr:nvSpPr>
          <xdr:cNvPr id="5" name="Cube 4">
            <a:extLst>
              <a:ext uri="{FF2B5EF4-FFF2-40B4-BE49-F238E27FC236}">
                <a16:creationId xmlns:a16="http://schemas.microsoft.com/office/drawing/2014/main" id="{5108EDA4-CB1F-4FD9-98EC-17D3C60571DF}"/>
              </a:ext>
            </a:extLst>
          </xdr:cNvPr>
          <xdr:cNvSpPr/>
        </xdr:nvSpPr>
        <xdr:spPr>
          <a:xfrm>
            <a:off x="274935" y="3893469"/>
            <a:ext cx="2544465" cy="410578"/>
          </a:xfrm>
          <a:prstGeom prst="cube">
            <a:avLst>
              <a:gd name="adj" fmla="val 51870"/>
            </a:avLst>
          </a:prstGeom>
          <a:blipFill>
            <a:blip xmlns:r="http://schemas.openxmlformats.org/officeDocument/2006/relationships" r:embed="rId1"/>
            <a:tile tx="0" ty="0" sx="100000" sy="100000" flip="none" algn="tl"/>
          </a:blipFill>
          <a:ln w="3175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8" name="Cube 7">
            <a:extLst>
              <a:ext uri="{FF2B5EF4-FFF2-40B4-BE49-F238E27FC236}">
                <a16:creationId xmlns:a16="http://schemas.microsoft.com/office/drawing/2014/main" id="{3ECB80CA-F47C-48A0-9481-CF98191A00A0}"/>
              </a:ext>
            </a:extLst>
          </xdr:cNvPr>
          <xdr:cNvSpPr/>
        </xdr:nvSpPr>
        <xdr:spPr>
          <a:xfrm>
            <a:off x="349045" y="3703972"/>
            <a:ext cx="559947" cy="331620"/>
          </a:xfrm>
          <a:prstGeom prst="cube">
            <a:avLst/>
          </a:prstGeom>
          <a:blipFill>
            <a:blip xmlns:r="http://schemas.openxmlformats.org/officeDocument/2006/relationships" r:embed="rId2"/>
            <a:tile tx="0" ty="0" sx="100000" sy="100000" flip="none" algn="tl"/>
          </a:blipFill>
          <a:ln w="3175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15" name="Cube 14">
            <a:extLst>
              <a:ext uri="{FF2B5EF4-FFF2-40B4-BE49-F238E27FC236}">
                <a16:creationId xmlns:a16="http://schemas.microsoft.com/office/drawing/2014/main" id="{C12028D8-753D-4F52-B345-95F9C58990FD}"/>
              </a:ext>
            </a:extLst>
          </xdr:cNvPr>
          <xdr:cNvSpPr/>
        </xdr:nvSpPr>
        <xdr:spPr>
          <a:xfrm>
            <a:off x="834882" y="3703972"/>
            <a:ext cx="543478" cy="331620"/>
          </a:xfrm>
          <a:prstGeom prst="cube">
            <a:avLst/>
          </a:prstGeom>
          <a:blipFill>
            <a:blip xmlns:r="http://schemas.openxmlformats.org/officeDocument/2006/relationships" r:embed="rId2"/>
            <a:tile tx="0" ty="0" sx="100000" sy="100000" flip="none" algn="tl"/>
          </a:blipFill>
          <a:ln w="3175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16" name="Cube 15">
            <a:extLst>
              <a:ext uri="{FF2B5EF4-FFF2-40B4-BE49-F238E27FC236}">
                <a16:creationId xmlns:a16="http://schemas.microsoft.com/office/drawing/2014/main" id="{921147D0-474F-4A32-A343-B77CCDB035D8}"/>
              </a:ext>
            </a:extLst>
          </xdr:cNvPr>
          <xdr:cNvSpPr/>
        </xdr:nvSpPr>
        <xdr:spPr>
          <a:xfrm>
            <a:off x="1279545" y="3703972"/>
            <a:ext cx="559947" cy="331620"/>
          </a:xfrm>
          <a:prstGeom prst="cube">
            <a:avLst/>
          </a:prstGeom>
          <a:blipFill>
            <a:blip xmlns:r="http://schemas.openxmlformats.org/officeDocument/2006/relationships" r:embed="rId2"/>
            <a:tile tx="0" ty="0" sx="100000" sy="100000" flip="none" algn="tl"/>
          </a:blipFill>
          <a:ln w="3175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17" name="Cube 16">
            <a:extLst>
              <a:ext uri="{FF2B5EF4-FFF2-40B4-BE49-F238E27FC236}">
                <a16:creationId xmlns:a16="http://schemas.microsoft.com/office/drawing/2014/main" id="{2BE0DA38-A4DE-4777-82CA-C7B5AD578089}"/>
              </a:ext>
            </a:extLst>
          </xdr:cNvPr>
          <xdr:cNvSpPr/>
        </xdr:nvSpPr>
        <xdr:spPr>
          <a:xfrm>
            <a:off x="1748913" y="3703972"/>
            <a:ext cx="559947" cy="331620"/>
          </a:xfrm>
          <a:prstGeom prst="cube">
            <a:avLst/>
          </a:prstGeom>
          <a:blipFill>
            <a:blip xmlns:r="http://schemas.openxmlformats.org/officeDocument/2006/relationships" r:embed="rId2"/>
            <a:tile tx="0" ty="0" sx="100000" sy="100000" flip="none" algn="tl"/>
          </a:blipFill>
          <a:ln w="3175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18" name="Cube 17">
            <a:extLst>
              <a:ext uri="{FF2B5EF4-FFF2-40B4-BE49-F238E27FC236}">
                <a16:creationId xmlns:a16="http://schemas.microsoft.com/office/drawing/2014/main" id="{C50292AA-74F5-4622-AFEA-A0256F44E461}"/>
              </a:ext>
            </a:extLst>
          </xdr:cNvPr>
          <xdr:cNvSpPr/>
        </xdr:nvSpPr>
        <xdr:spPr>
          <a:xfrm>
            <a:off x="2226515" y="3703972"/>
            <a:ext cx="543478" cy="331620"/>
          </a:xfrm>
          <a:prstGeom prst="cube">
            <a:avLst/>
          </a:prstGeom>
          <a:blipFill>
            <a:blip xmlns:r="http://schemas.openxmlformats.org/officeDocument/2006/relationships" r:embed="rId2"/>
            <a:tile tx="0" ty="0" sx="100000" sy="100000" flip="none" algn="tl"/>
          </a:blipFill>
          <a:ln w="3175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19" name="Cube 18">
            <a:extLst>
              <a:ext uri="{FF2B5EF4-FFF2-40B4-BE49-F238E27FC236}">
                <a16:creationId xmlns:a16="http://schemas.microsoft.com/office/drawing/2014/main" id="{66B0907B-A4F7-4A65-B764-C4D73DC38B98}"/>
              </a:ext>
            </a:extLst>
          </xdr:cNvPr>
          <xdr:cNvSpPr/>
        </xdr:nvSpPr>
        <xdr:spPr>
          <a:xfrm>
            <a:off x="596081" y="3467100"/>
            <a:ext cx="559947" cy="331620"/>
          </a:xfrm>
          <a:prstGeom prst="cube">
            <a:avLst/>
          </a:prstGeom>
          <a:blipFill>
            <a:blip xmlns:r="http://schemas.openxmlformats.org/officeDocument/2006/relationships" r:embed="rId2"/>
            <a:tile tx="0" ty="0" sx="100000" sy="100000" flip="none" algn="tl"/>
          </a:blipFill>
          <a:ln w="3175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20" name="Cube 19">
            <a:extLst>
              <a:ext uri="{FF2B5EF4-FFF2-40B4-BE49-F238E27FC236}">
                <a16:creationId xmlns:a16="http://schemas.microsoft.com/office/drawing/2014/main" id="{9215CD64-4D29-4252-8A51-BFEFB265D9C9}"/>
              </a:ext>
            </a:extLst>
          </xdr:cNvPr>
          <xdr:cNvSpPr/>
        </xdr:nvSpPr>
        <xdr:spPr>
          <a:xfrm>
            <a:off x="1073683" y="3467100"/>
            <a:ext cx="551713" cy="331620"/>
          </a:xfrm>
          <a:prstGeom prst="cube">
            <a:avLst/>
          </a:prstGeom>
          <a:blipFill>
            <a:blip xmlns:r="http://schemas.openxmlformats.org/officeDocument/2006/relationships" r:embed="rId2"/>
            <a:tile tx="0" ty="0" sx="100000" sy="100000" flip="none" algn="tl"/>
          </a:blipFill>
          <a:ln w="3175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21" name="Cube 20">
            <a:extLst>
              <a:ext uri="{FF2B5EF4-FFF2-40B4-BE49-F238E27FC236}">
                <a16:creationId xmlns:a16="http://schemas.microsoft.com/office/drawing/2014/main" id="{6FA9C4A7-C584-48A5-8A60-C945E049C889}"/>
              </a:ext>
            </a:extLst>
          </xdr:cNvPr>
          <xdr:cNvSpPr/>
        </xdr:nvSpPr>
        <xdr:spPr>
          <a:xfrm>
            <a:off x="1534815" y="3467100"/>
            <a:ext cx="559947" cy="331620"/>
          </a:xfrm>
          <a:prstGeom prst="cube">
            <a:avLst/>
          </a:prstGeom>
          <a:blipFill>
            <a:blip xmlns:r="http://schemas.openxmlformats.org/officeDocument/2006/relationships" r:embed="rId2"/>
            <a:tile tx="0" ty="0" sx="100000" sy="100000" flip="none" algn="tl"/>
          </a:blipFill>
          <a:ln w="3175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22" name="Cube 21">
            <a:extLst>
              <a:ext uri="{FF2B5EF4-FFF2-40B4-BE49-F238E27FC236}">
                <a16:creationId xmlns:a16="http://schemas.microsoft.com/office/drawing/2014/main" id="{F3B4963D-B3C8-42BA-AE8B-E9F359280D9A}"/>
              </a:ext>
            </a:extLst>
          </xdr:cNvPr>
          <xdr:cNvSpPr/>
        </xdr:nvSpPr>
        <xdr:spPr>
          <a:xfrm>
            <a:off x="1995948" y="3467100"/>
            <a:ext cx="551713" cy="331620"/>
          </a:xfrm>
          <a:prstGeom prst="cube">
            <a:avLst/>
          </a:prstGeom>
          <a:blipFill>
            <a:blip xmlns:r="http://schemas.openxmlformats.org/officeDocument/2006/relationships" r:embed="rId2"/>
            <a:tile tx="0" ty="0" sx="100000" sy="100000" flip="none" algn="tl"/>
          </a:blipFill>
          <a:ln w="3175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cxnSp macro="">
        <xdr:nvCxnSpPr>
          <xdr:cNvPr id="29" name="Straight Arrow Connector 28">
            <a:extLst>
              <a:ext uri="{FF2B5EF4-FFF2-40B4-BE49-F238E27FC236}">
                <a16:creationId xmlns:a16="http://schemas.microsoft.com/office/drawing/2014/main" id="{C385500E-2C94-4ABB-A469-823D8468EB03}"/>
              </a:ext>
            </a:extLst>
          </xdr:cNvPr>
          <xdr:cNvCxnSpPr/>
        </xdr:nvCxnSpPr>
        <xdr:spPr>
          <a:xfrm>
            <a:off x="266700" y="4414587"/>
            <a:ext cx="2363306" cy="0"/>
          </a:xfrm>
          <a:prstGeom prst="straightConnector1">
            <a:avLst/>
          </a:prstGeom>
          <a:ln>
            <a:solidFill>
              <a:sysClr val="windowText" lastClr="000000"/>
            </a:solidFill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5" name="TextBox 34">
            <a:extLst>
              <a:ext uri="{FF2B5EF4-FFF2-40B4-BE49-F238E27FC236}">
                <a16:creationId xmlns:a16="http://schemas.microsoft.com/office/drawing/2014/main" id="{7D7E4E62-EAA8-47C6-93B2-FBC28F1EA87E}"/>
              </a:ext>
            </a:extLst>
          </xdr:cNvPr>
          <xdr:cNvSpPr txBox="1"/>
        </xdr:nvSpPr>
        <xdr:spPr>
          <a:xfrm>
            <a:off x="925461" y="4414587"/>
            <a:ext cx="1342226" cy="25266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/>
              <a:t>L = LENGTH</a:t>
            </a:r>
          </a:p>
        </xdr:txBody>
      </xdr:sp>
    </xdr:grpSp>
    <xdr:clientData/>
  </xdr:twoCellAnchor>
  <xdr:twoCellAnchor>
    <xdr:from>
      <xdr:col>0</xdr:col>
      <xdr:colOff>99060</xdr:colOff>
      <xdr:row>25</xdr:row>
      <xdr:rowOff>99060</xdr:rowOff>
    </xdr:from>
    <xdr:to>
      <xdr:col>3</xdr:col>
      <xdr:colOff>640080</xdr:colOff>
      <xdr:row>34</xdr:row>
      <xdr:rowOff>182880</xdr:rowOff>
    </xdr:to>
    <xdr:grpSp>
      <xdr:nvGrpSpPr>
        <xdr:cNvPr id="22075" name="Group 38">
          <a:extLst>
            <a:ext uri="{FF2B5EF4-FFF2-40B4-BE49-F238E27FC236}">
              <a16:creationId xmlns:a16="http://schemas.microsoft.com/office/drawing/2014/main" id="{85E15236-0D87-41A7-AF29-B21BCCE3FF8C}"/>
            </a:ext>
          </a:extLst>
        </xdr:cNvPr>
        <xdr:cNvGrpSpPr>
          <a:grpSpLocks/>
        </xdr:cNvGrpSpPr>
      </xdr:nvGrpSpPr>
      <xdr:grpSpPr bwMode="auto">
        <a:xfrm>
          <a:off x="99060" y="4701540"/>
          <a:ext cx="2461260" cy="1729740"/>
          <a:chOff x="171450" y="4657725"/>
          <a:chExt cx="2514600" cy="1913434"/>
        </a:xfrm>
      </xdr:grpSpPr>
      <xdr:sp macro="" textlink="">
        <xdr:nvSpPr>
          <xdr:cNvPr id="31" name="Frame 30">
            <a:extLst>
              <a:ext uri="{FF2B5EF4-FFF2-40B4-BE49-F238E27FC236}">
                <a16:creationId xmlns:a16="http://schemas.microsoft.com/office/drawing/2014/main" id="{DF0C3537-9B79-4B56-90A6-834EAB5DAB72}"/>
              </a:ext>
            </a:extLst>
          </xdr:cNvPr>
          <xdr:cNvSpPr/>
        </xdr:nvSpPr>
        <xdr:spPr>
          <a:xfrm>
            <a:off x="269741" y="4758876"/>
            <a:ext cx="2318019" cy="1424539"/>
          </a:xfrm>
          <a:prstGeom prst="frame">
            <a:avLst>
              <a:gd name="adj1" fmla="val 16804"/>
            </a:avLst>
          </a:prstGeom>
          <a:blipFill>
            <a:blip xmlns:r="http://schemas.openxmlformats.org/officeDocument/2006/relationships" r:embed="rId1"/>
            <a:tile tx="0" ty="0" sx="100000" sy="100000" flip="none" algn="tl"/>
          </a:blipFill>
          <a:ln w="3175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30" name="Frame 29">
            <a:extLst>
              <a:ext uri="{FF2B5EF4-FFF2-40B4-BE49-F238E27FC236}">
                <a16:creationId xmlns:a16="http://schemas.microsoft.com/office/drawing/2014/main" id="{77696329-3E29-4264-B7CC-B6866E170BA8}"/>
              </a:ext>
            </a:extLst>
          </xdr:cNvPr>
          <xdr:cNvSpPr/>
        </xdr:nvSpPr>
        <xdr:spPr>
          <a:xfrm>
            <a:off x="343458" y="4834739"/>
            <a:ext cx="2170583" cy="1264384"/>
          </a:xfrm>
          <a:prstGeom prst="frame">
            <a:avLst>
              <a:gd name="adj1" fmla="val 7776"/>
            </a:avLst>
          </a:prstGeom>
          <a:blipFill>
            <a:blip xmlns:r="http://schemas.openxmlformats.org/officeDocument/2006/relationships" r:embed="rId2"/>
            <a:tile tx="0" ty="0" sx="100000" sy="100000" flip="none" algn="tl"/>
          </a:blipFill>
          <a:ln w="3175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32" name="Freeform 31">
            <a:extLst>
              <a:ext uri="{FF2B5EF4-FFF2-40B4-BE49-F238E27FC236}">
                <a16:creationId xmlns:a16="http://schemas.microsoft.com/office/drawing/2014/main" id="{3B06777E-B3E1-4828-8B08-70CCE61336FB}"/>
              </a:ext>
            </a:extLst>
          </xdr:cNvPr>
          <xdr:cNvSpPr/>
        </xdr:nvSpPr>
        <xdr:spPr>
          <a:xfrm>
            <a:off x="187832" y="4657725"/>
            <a:ext cx="2498218" cy="1601553"/>
          </a:xfrm>
          <a:custGeom>
            <a:avLst/>
            <a:gdLst>
              <a:gd name="connsiteX0" fmla="*/ 85725 w 2505075"/>
              <a:gd name="connsiteY0" fmla="*/ 0 h 1571625"/>
              <a:gd name="connsiteX1" fmla="*/ 2505075 w 2505075"/>
              <a:gd name="connsiteY1" fmla="*/ 0 h 1571625"/>
              <a:gd name="connsiteX2" fmla="*/ 2505075 w 2505075"/>
              <a:gd name="connsiteY2" fmla="*/ 1571625 h 1571625"/>
              <a:gd name="connsiteX3" fmla="*/ 0 w 2505075"/>
              <a:gd name="connsiteY3" fmla="*/ 1571625 h 157162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2505075" h="1571625">
                <a:moveTo>
                  <a:pt x="85725" y="0"/>
                </a:moveTo>
                <a:lnTo>
                  <a:pt x="2505075" y="0"/>
                </a:lnTo>
                <a:lnTo>
                  <a:pt x="2505075" y="1571625"/>
                </a:lnTo>
                <a:lnTo>
                  <a:pt x="0" y="1571625"/>
                </a:lnTo>
              </a:path>
            </a:pathLst>
          </a:cu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cxnSp macro="">
        <xdr:nvCxnSpPr>
          <xdr:cNvPr id="34" name="Straight Arrow Connector 33">
            <a:extLst>
              <a:ext uri="{FF2B5EF4-FFF2-40B4-BE49-F238E27FC236}">
                <a16:creationId xmlns:a16="http://schemas.microsoft.com/office/drawing/2014/main" id="{B1C5312F-134E-46DB-A790-AA3439D7BB0F}"/>
              </a:ext>
            </a:extLst>
          </xdr:cNvPr>
          <xdr:cNvCxnSpPr/>
        </xdr:nvCxnSpPr>
        <xdr:spPr>
          <a:xfrm flipV="1">
            <a:off x="171450" y="5020182"/>
            <a:ext cx="0" cy="1247525"/>
          </a:xfrm>
          <a:prstGeom prst="straightConnector1">
            <a:avLst/>
          </a:prstGeom>
          <a:ln>
            <a:solidFill>
              <a:sysClr val="windowText" lastClr="00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6" name="TextBox 35">
            <a:extLst>
              <a:ext uri="{FF2B5EF4-FFF2-40B4-BE49-F238E27FC236}">
                <a16:creationId xmlns:a16="http://schemas.microsoft.com/office/drawing/2014/main" id="{0856F56E-5FBA-4AD7-92E7-2AB2E46E008B}"/>
              </a:ext>
            </a:extLst>
          </xdr:cNvPr>
          <xdr:cNvSpPr txBox="1"/>
        </xdr:nvSpPr>
        <xdr:spPr>
          <a:xfrm>
            <a:off x="638330" y="6309853"/>
            <a:ext cx="2006765" cy="2613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/>
              <a:t>L</a:t>
            </a:r>
            <a:r>
              <a:rPr lang="en-US" sz="800"/>
              <a:t>T = TOTAL</a:t>
            </a:r>
            <a:r>
              <a:rPr lang="en-US" sz="800" baseline="0"/>
              <a:t> LENGTH/PERIMETER</a:t>
            </a:r>
            <a:endParaRPr lang="en-US" sz="800"/>
          </a:p>
        </xdr:txBody>
      </xdr:sp>
    </xdr:grpSp>
    <xdr:clientData/>
  </xdr:twoCellAnchor>
  <xdr:twoCellAnchor>
    <xdr:from>
      <xdr:col>5</xdr:col>
      <xdr:colOff>259080</xdr:colOff>
      <xdr:row>17</xdr:row>
      <xdr:rowOff>182880</xdr:rowOff>
    </xdr:from>
    <xdr:to>
      <xdr:col>8</xdr:col>
      <xdr:colOff>91440</xdr:colOff>
      <xdr:row>26</xdr:row>
      <xdr:rowOff>22860</xdr:rowOff>
    </xdr:to>
    <xdr:grpSp>
      <xdr:nvGrpSpPr>
        <xdr:cNvPr id="22076" name="Group 40">
          <a:extLst>
            <a:ext uri="{FF2B5EF4-FFF2-40B4-BE49-F238E27FC236}">
              <a16:creationId xmlns:a16="http://schemas.microsoft.com/office/drawing/2014/main" id="{4E728621-6F20-42BB-9034-F5937796D4E7}"/>
            </a:ext>
          </a:extLst>
        </xdr:cNvPr>
        <xdr:cNvGrpSpPr>
          <a:grpSpLocks/>
        </xdr:cNvGrpSpPr>
      </xdr:nvGrpSpPr>
      <xdr:grpSpPr bwMode="auto">
        <a:xfrm>
          <a:off x="3459480" y="3322320"/>
          <a:ext cx="1752600" cy="1485900"/>
          <a:chOff x="3686175" y="2857500"/>
          <a:chExt cx="2105025" cy="1885950"/>
        </a:xfrm>
      </xdr:grpSpPr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382CF88D-456C-49FD-A8E7-7564EF765C3D}"/>
              </a:ext>
            </a:extLst>
          </xdr:cNvPr>
          <xdr:cNvSpPr/>
        </xdr:nvSpPr>
        <xdr:spPr>
          <a:xfrm>
            <a:off x="3686175" y="3756953"/>
            <a:ext cx="1496692" cy="522263"/>
          </a:xfrm>
          <a:prstGeom prst="rect">
            <a:avLst/>
          </a:prstGeom>
          <a:blipFill>
            <a:blip xmlns:r="http://schemas.openxmlformats.org/officeDocument/2006/relationships" r:embed="rId1"/>
            <a:tile tx="0" ty="0" sx="100000" sy="100000" flip="none" algn="tl"/>
          </a:blipFill>
          <a:ln w="3175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1FCEFC3E-B46E-4526-8872-3ACC30ED3D8A}"/>
              </a:ext>
            </a:extLst>
          </xdr:cNvPr>
          <xdr:cNvSpPr/>
        </xdr:nvSpPr>
        <xdr:spPr>
          <a:xfrm>
            <a:off x="4149667" y="2857500"/>
            <a:ext cx="502116" cy="889782"/>
          </a:xfrm>
          <a:prstGeom prst="rect">
            <a:avLst/>
          </a:prstGeom>
          <a:blipFill>
            <a:blip xmlns:r="http://schemas.openxmlformats.org/officeDocument/2006/relationships" r:embed="rId2"/>
            <a:tile tx="0" ty="0" sx="100000" sy="100000" flip="none" algn="tl"/>
          </a:blipFill>
          <a:ln w="3175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cxnSp macro="">
        <xdr:nvCxnSpPr>
          <xdr:cNvPr id="25" name="Straight Arrow Connector 24">
            <a:extLst>
              <a:ext uri="{FF2B5EF4-FFF2-40B4-BE49-F238E27FC236}">
                <a16:creationId xmlns:a16="http://schemas.microsoft.com/office/drawing/2014/main" id="{BEFE7FA1-C6D7-407C-AF0D-CA79547A43B0}"/>
              </a:ext>
            </a:extLst>
          </xdr:cNvPr>
          <xdr:cNvCxnSpPr/>
        </xdr:nvCxnSpPr>
        <xdr:spPr>
          <a:xfrm>
            <a:off x="5433925" y="3756953"/>
            <a:ext cx="0" cy="541606"/>
          </a:xfrm>
          <a:prstGeom prst="straightConnector1">
            <a:avLst/>
          </a:prstGeom>
          <a:ln>
            <a:solidFill>
              <a:sysClr val="windowText" lastClr="000000"/>
            </a:solidFill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" name="Straight Arrow Connector 26">
            <a:extLst>
              <a:ext uri="{FF2B5EF4-FFF2-40B4-BE49-F238E27FC236}">
                <a16:creationId xmlns:a16="http://schemas.microsoft.com/office/drawing/2014/main" id="{E3C7221C-A0C5-4448-A65E-C0EEAF92F976}"/>
              </a:ext>
            </a:extLst>
          </xdr:cNvPr>
          <xdr:cNvCxnSpPr/>
        </xdr:nvCxnSpPr>
        <xdr:spPr>
          <a:xfrm>
            <a:off x="3705487" y="4395275"/>
            <a:ext cx="1477380" cy="0"/>
          </a:xfrm>
          <a:prstGeom prst="straightConnector1">
            <a:avLst/>
          </a:prstGeom>
          <a:ln>
            <a:solidFill>
              <a:sysClr val="windowText" lastClr="000000"/>
            </a:solidFill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7" name="TextBox 36">
            <a:extLst>
              <a:ext uri="{FF2B5EF4-FFF2-40B4-BE49-F238E27FC236}">
                <a16:creationId xmlns:a16="http://schemas.microsoft.com/office/drawing/2014/main" id="{87D7B48E-B9A2-43DF-BF3E-9969FCE4AE22}"/>
              </a:ext>
            </a:extLst>
          </xdr:cNvPr>
          <xdr:cNvSpPr txBox="1"/>
        </xdr:nvSpPr>
        <xdr:spPr>
          <a:xfrm>
            <a:off x="4149667" y="4491990"/>
            <a:ext cx="337963" cy="2514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/>
              <a:t>W</a:t>
            </a:r>
          </a:p>
        </xdr:txBody>
      </xdr:sp>
      <xdr:sp macro="" textlink="">
        <xdr:nvSpPr>
          <xdr:cNvPr id="38" name="TextBox 37">
            <a:extLst>
              <a:ext uri="{FF2B5EF4-FFF2-40B4-BE49-F238E27FC236}">
                <a16:creationId xmlns:a16="http://schemas.microsoft.com/office/drawing/2014/main" id="{7FEF9DFA-07F9-4A94-83EC-3BCF9B44DC65}"/>
              </a:ext>
            </a:extLst>
          </xdr:cNvPr>
          <xdr:cNvSpPr txBox="1"/>
        </xdr:nvSpPr>
        <xdr:spPr>
          <a:xfrm>
            <a:off x="5433925" y="3873012"/>
            <a:ext cx="357275" cy="2514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/>
              <a:t>T</a:t>
            </a:r>
          </a:p>
        </xdr:txBody>
      </xdr:sp>
    </xdr:grpSp>
    <xdr:clientData/>
  </xdr:twoCellAnchor>
  <xdr:twoCellAnchor>
    <xdr:from>
      <xdr:col>2</xdr:col>
      <xdr:colOff>259080</xdr:colOff>
      <xdr:row>28</xdr:row>
      <xdr:rowOff>144780</xdr:rowOff>
    </xdr:from>
    <xdr:to>
      <xdr:col>2</xdr:col>
      <xdr:colOff>533400</xdr:colOff>
      <xdr:row>30</xdr:row>
      <xdr:rowOff>182880</xdr:rowOff>
    </xdr:to>
    <xdr:grpSp>
      <xdr:nvGrpSpPr>
        <xdr:cNvPr id="22077" name="Group 46">
          <a:extLst>
            <a:ext uri="{FF2B5EF4-FFF2-40B4-BE49-F238E27FC236}">
              <a16:creationId xmlns:a16="http://schemas.microsoft.com/office/drawing/2014/main" id="{8C2BD6F0-1D3D-4EA4-B631-9AE49BF7A632}"/>
            </a:ext>
          </a:extLst>
        </xdr:cNvPr>
        <xdr:cNvGrpSpPr>
          <a:grpSpLocks/>
        </xdr:cNvGrpSpPr>
      </xdr:nvGrpSpPr>
      <xdr:grpSpPr bwMode="auto">
        <a:xfrm>
          <a:off x="1539240" y="5295900"/>
          <a:ext cx="274320" cy="403860"/>
          <a:chOff x="1571625" y="5333999"/>
          <a:chExt cx="276224" cy="428625"/>
        </a:xfrm>
      </xdr:grpSpPr>
      <xdr:grpSp>
        <xdr:nvGrpSpPr>
          <xdr:cNvPr id="22176" name="Group 45">
            <a:extLst>
              <a:ext uri="{FF2B5EF4-FFF2-40B4-BE49-F238E27FC236}">
                <a16:creationId xmlns:a16="http://schemas.microsoft.com/office/drawing/2014/main" id="{4EAEBE2F-F224-48D3-9C51-04F49BE8710E}"/>
              </a:ext>
            </a:extLst>
          </xdr:cNvPr>
          <xdr:cNvGrpSpPr>
            <a:grpSpLocks/>
          </xdr:cNvGrpSpPr>
        </xdr:nvGrpSpPr>
        <xdr:grpSpPr bwMode="auto">
          <a:xfrm>
            <a:off x="1571625" y="5333999"/>
            <a:ext cx="276224" cy="428625"/>
            <a:chOff x="2905125" y="6857999"/>
            <a:chExt cx="276224" cy="428625"/>
          </a:xfrm>
        </xdr:grpSpPr>
        <xdr:sp macro="" textlink="">
          <xdr:nvSpPr>
            <xdr:cNvPr id="44" name="Oval 43">
              <a:extLst>
                <a:ext uri="{FF2B5EF4-FFF2-40B4-BE49-F238E27FC236}">
                  <a16:creationId xmlns:a16="http://schemas.microsoft.com/office/drawing/2014/main" id="{648C953D-D891-4F39-8E08-418EBD0EBCA7}"/>
                </a:ext>
              </a:extLst>
            </xdr:cNvPr>
            <xdr:cNvSpPr/>
          </xdr:nvSpPr>
          <xdr:spPr>
            <a:xfrm>
              <a:off x="2905125" y="6938872"/>
              <a:ext cx="191822" cy="64698"/>
            </a:xfrm>
            <a:prstGeom prst="ellipse">
              <a:avLst/>
            </a:prstGeom>
            <a:solidFill>
              <a:schemeClr val="bg2">
                <a:lumMod val="75000"/>
              </a:schemeClr>
            </a:solidFill>
            <a:ln w="3175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en-US"/>
            </a:p>
          </xdr:txBody>
        </xdr:sp>
        <xdr:sp macro="" textlink="">
          <xdr:nvSpPr>
            <xdr:cNvPr id="45" name="Oval 44">
              <a:extLst>
                <a:ext uri="{FF2B5EF4-FFF2-40B4-BE49-F238E27FC236}">
                  <a16:creationId xmlns:a16="http://schemas.microsoft.com/office/drawing/2014/main" id="{36B00226-1D6D-4FB4-B4E3-5873EB5AA1C0}"/>
                </a:ext>
              </a:extLst>
            </xdr:cNvPr>
            <xdr:cNvSpPr/>
          </xdr:nvSpPr>
          <xdr:spPr>
            <a:xfrm>
              <a:off x="2912798" y="7157228"/>
              <a:ext cx="191822" cy="72785"/>
            </a:xfrm>
            <a:prstGeom prst="ellipse">
              <a:avLst/>
            </a:prstGeom>
            <a:solidFill>
              <a:schemeClr val="bg2">
                <a:lumMod val="75000"/>
              </a:schemeClr>
            </a:solidFill>
            <a:ln w="3175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en-US"/>
            </a:p>
          </xdr:txBody>
        </xdr:sp>
        <xdr:sp macro="" textlink="">
          <xdr:nvSpPr>
            <xdr:cNvPr id="43" name="Oval 42">
              <a:extLst>
                <a:ext uri="{FF2B5EF4-FFF2-40B4-BE49-F238E27FC236}">
                  <a16:creationId xmlns:a16="http://schemas.microsoft.com/office/drawing/2014/main" id="{0E281284-E939-453E-B0B9-41E5982EC29A}"/>
                </a:ext>
              </a:extLst>
            </xdr:cNvPr>
            <xdr:cNvSpPr/>
          </xdr:nvSpPr>
          <xdr:spPr>
            <a:xfrm>
              <a:off x="2981854" y="6857999"/>
              <a:ext cx="199495" cy="428625"/>
            </a:xfrm>
            <a:prstGeom prst="ellipse">
              <a:avLst/>
            </a:prstGeom>
            <a:ln w="3175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en-US"/>
            </a:p>
          </xdr:txBody>
        </xdr:sp>
      </xdr:grpSp>
      <xdr:sp macro="" textlink="">
        <xdr:nvSpPr>
          <xdr:cNvPr id="42" name="Oval 41">
            <a:extLst>
              <a:ext uri="{FF2B5EF4-FFF2-40B4-BE49-F238E27FC236}">
                <a16:creationId xmlns:a16="http://schemas.microsoft.com/office/drawing/2014/main" id="{4A9A9CAC-17F3-4982-B8A0-5D80F761376E}"/>
              </a:ext>
            </a:extLst>
          </xdr:cNvPr>
          <xdr:cNvSpPr/>
        </xdr:nvSpPr>
        <xdr:spPr>
          <a:xfrm>
            <a:off x="1633008" y="5479570"/>
            <a:ext cx="191822" cy="145571"/>
          </a:xfrm>
          <a:prstGeom prst="ellipse">
            <a:avLst/>
          </a:prstGeom>
          <a:solidFill>
            <a:schemeClr val="tx1"/>
          </a:solidFill>
          <a:ln w="63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</xdr:grpSp>
    <xdr:clientData/>
  </xdr:twoCellAnchor>
  <xdr:twoCellAnchor>
    <xdr:from>
      <xdr:col>0</xdr:col>
      <xdr:colOff>106680</xdr:colOff>
      <xdr:row>38</xdr:row>
      <xdr:rowOff>175260</xdr:rowOff>
    </xdr:from>
    <xdr:to>
      <xdr:col>3</xdr:col>
      <xdr:colOff>533400</xdr:colOff>
      <xdr:row>46</xdr:row>
      <xdr:rowOff>121920</xdr:rowOff>
    </xdr:to>
    <xdr:grpSp>
      <xdr:nvGrpSpPr>
        <xdr:cNvPr id="22078" name="Group 65">
          <a:extLst>
            <a:ext uri="{FF2B5EF4-FFF2-40B4-BE49-F238E27FC236}">
              <a16:creationId xmlns:a16="http://schemas.microsoft.com/office/drawing/2014/main" id="{F3F11791-319F-46BC-854E-68C0A7B0719E}"/>
            </a:ext>
          </a:extLst>
        </xdr:cNvPr>
        <xdr:cNvGrpSpPr>
          <a:grpSpLocks/>
        </xdr:cNvGrpSpPr>
      </xdr:nvGrpSpPr>
      <xdr:grpSpPr bwMode="auto">
        <a:xfrm>
          <a:off x="106680" y="7170420"/>
          <a:ext cx="2346960" cy="1409700"/>
          <a:chOff x="104775" y="7086600"/>
          <a:chExt cx="3381375" cy="1466850"/>
        </a:xfrm>
      </xdr:grpSpPr>
      <xdr:sp macro="" textlink="">
        <xdr:nvSpPr>
          <xdr:cNvPr id="48" name="Cube 47">
            <a:extLst>
              <a:ext uri="{FF2B5EF4-FFF2-40B4-BE49-F238E27FC236}">
                <a16:creationId xmlns:a16="http://schemas.microsoft.com/office/drawing/2014/main" id="{0EC7C235-B6DF-4F62-B030-E3170AAB6592}"/>
              </a:ext>
            </a:extLst>
          </xdr:cNvPr>
          <xdr:cNvSpPr/>
        </xdr:nvSpPr>
        <xdr:spPr>
          <a:xfrm>
            <a:off x="196164" y="7126245"/>
            <a:ext cx="2764503" cy="864252"/>
          </a:xfrm>
          <a:prstGeom prst="cube">
            <a:avLst>
              <a:gd name="adj" fmla="val 79944"/>
            </a:avLst>
          </a:prstGeom>
          <a:blipFill>
            <a:blip xmlns:r="http://schemas.openxmlformats.org/officeDocument/2006/relationships" r:embed="rId1"/>
            <a:tile tx="0" ty="0" sx="100000" sy="100000" flip="none" algn="tl"/>
          </a:blipFill>
          <a:ln w="3175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cxnSp macro="">
        <xdr:nvCxnSpPr>
          <xdr:cNvPr id="50" name="Straight Arrow Connector 49">
            <a:extLst>
              <a:ext uri="{FF2B5EF4-FFF2-40B4-BE49-F238E27FC236}">
                <a16:creationId xmlns:a16="http://schemas.microsoft.com/office/drawing/2014/main" id="{D3CCFEC0-1EF6-417B-A988-72A2FF4684DC}"/>
              </a:ext>
            </a:extLst>
          </xdr:cNvPr>
          <xdr:cNvCxnSpPr/>
        </xdr:nvCxnSpPr>
        <xdr:spPr>
          <a:xfrm>
            <a:off x="3074902" y="7086600"/>
            <a:ext cx="0" cy="237868"/>
          </a:xfrm>
          <a:prstGeom prst="straightConnector1">
            <a:avLst/>
          </a:prstGeom>
          <a:ln>
            <a:solidFill>
              <a:sysClr val="windowText" lastClr="000000"/>
            </a:solidFill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2" name="Straight Arrow Connector 51">
            <a:extLst>
              <a:ext uri="{FF2B5EF4-FFF2-40B4-BE49-F238E27FC236}">
                <a16:creationId xmlns:a16="http://schemas.microsoft.com/office/drawing/2014/main" id="{1328A6EB-5907-4803-80E8-B99B55BC3772}"/>
              </a:ext>
            </a:extLst>
          </xdr:cNvPr>
          <xdr:cNvCxnSpPr/>
        </xdr:nvCxnSpPr>
        <xdr:spPr>
          <a:xfrm flipV="1">
            <a:off x="104775" y="7102458"/>
            <a:ext cx="868191" cy="650171"/>
          </a:xfrm>
          <a:prstGeom prst="straightConnector1">
            <a:avLst/>
          </a:prstGeom>
          <a:ln>
            <a:solidFill>
              <a:sysClr val="windowText" lastClr="000000"/>
            </a:solidFill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4" name="Straight Arrow Connector 53">
            <a:extLst>
              <a:ext uri="{FF2B5EF4-FFF2-40B4-BE49-F238E27FC236}">
                <a16:creationId xmlns:a16="http://schemas.microsoft.com/office/drawing/2014/main" id="{70C8C29E-058F-45E6-9FAD-EE5752784F63}"/>
              </a:ext>
            </a:extLst>
          </xdr:cNvPr>
          <xdr:cNvCxnSpPr/>
        </xdr:nvCxnSpPr>
        <xdr:spPr>
          <a:xfrm flipV="1">
            <a:off x="196164" y="8093573"/>
            <a:ext cx="2136207" cy="15858"/>
          </a:xfrm>
          <a:prstGeom prst="straightConnector1">
            <a:avLst/>
          </a:prstGeom>
          <a:ln>
            <a:solidFill>
              <a:sysClr val="windowText" lastClr="000000"/>
            </a:solidFill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2" name="TextBox 61">
            <a:extLst>
              <a:ext uri="{FF2B5EF4-FFF2-40B4-BE49-F238E27FC236}">
                <a16:creationId xmlns:a16="http://schemas.microsoft.com/office/drawing/2014/main" id="{0AAFB299-AF6D-4D70-9E79-4E6084DF3128}"/>
              </a:ext>
            </a:extLst>
          </xdr:cNvPr>
          <xdr:cNvSpPr txBox="1"/>
        </xdr:nvSpPr>
        <xdr:spPr>
          <a:xfrm>
            <a:off x="3166290" y="7110387"/>
            <a:ext cx="319860" cy="19029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/>
              <a:t>T</a:t>
            </a:r>
          </a:p>
        </xdr:txBody>
      </xdr:sp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BE3B4456-733E-4DF7-AAF1-1735DE4D990F}"/>
              </a:ext>
            </a:extLst>
          </xdr:cNvPr>
          <xdr:cNvSpPr txBox="1"/>
        </xdr:nvSpPr>
        <xdr:spPr>
          <a:xfrm>
            <a:off x="104775" y="7173818"/>
            <a:ext cx="319860" cy="18236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/>
              <a:t>W</a:t>
            </a:r>
          </a:p>
        </xdr:txBody>
      </xdr:sp>
      <xdr:sp macro="" textlink="">
        <xdr:nvSpPr>
          <xdr:cNvPr id="64" name="TextBox 63">
            <a:extLst>
              <a:ext uri="{FF2B5EF4-FFF2-40B4-BE49-F238E27FC236}">
                <a16:creationId xmlns:a16="http://schemas.microsoft.com/office/drawing/2014/main" id="{C37CBC1D-C0FD-40E7-A7AB-DF68434E4DF2}"/>
              </a:ext>
            </a:extLst>
          </xdr:cNvPr>
          <xdr:cNvSpPr txBox="1"/>
        </xdr:nvSpPr>
        <xdr:spPr>
          <a:xfrm>
            <a:off x="915848" y="8188720"/>
            <a:ext cx="331283" cy="3647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/>
              <a:t>L</a:t>
            </a:r>
          </a:p>
        </xdr:txBody>
      </xdr:sp>
    </xdr:grpSp>
    <xdr:clientData/>
  </xdr:twoCellAnchor>
  <xdr:twoCellAnchor>
    <xdr:from>
      <xdr:col>0</xdr:col>
      <xdr:colOff>0</xdr:colOff>
      <xdr:row>62</xdr:row>
      <xdr:rowOff>53340</xdr:rowOff>
    </xdr:from>
    <xdr:to>
      <xdr:col>3</xdr:col>
      <xdr:colOff>624840</xdr:colOff>
      <xdr:row>75</xdr:row>
      <xdr:rowOff>60960</xdr:rowOff>
    </xdr:to>
    <xdr:grpSp>
      <xdr:nvGrpSpPr>
        <xdr:cNvPr id="22079" name="Group 86">
          <a:extLst>
            <a:ext uri="{FF2B5EF4-FFF2-40B4-BE49-F238E27FC236}">
              <a16:creationId xmlns:a16="http://schemas.microsoft.com/office/drawing/2014/main" id="{98BA7098-CBD2-40CC-9D3B-2C400778C118}"/>
            </a:ext>
          </a:extLst>
        </xdr:cNvPr>
        <xdr:cNvGrpSpPr>
          <a:grpSpLocks/>
        </xdr:cNvGrpSpPr>
      </xdr:nvGrpSpPr>
      <xdr:grpSpPr bwMode="auto">
        <a:xfrm>
          <a:off x="0" y="11468100"/>
          <a:ext cx="2545080" cy="2385060"/>
          <a:chOff x="133350" y="9258300"/>
          <a:chExt cx="2609850" cy="2486025"/>
        </a:xfrm>
      </xdr:grpSpPr>
      <xdr:sp macro="" textlink="">
        <xdr:nvSpPr>
          <xdr:cNvPr id="72" name="Cube 71">
            <a:extLst>
              <a:ext uri="{FF2B5EF4-FFF2-40B4-BE49-F238E27FC236}">
                <a16:creationId xmlns:a16="http://schemas.microsoft.com/office/drawing/2014/main" id="{5AE249DA-E458-49A1-8103-3AB60A61F445}"/>
              </a:ext>
            </a:extLst>
          </xdr:cNvPr>
          <xdr:cNvSpPr/>
        </xdr:nvSpPr>
        <xdr:spPr>
          <a:xfrm>
            <a:off x="304621" y="11450450"/>
            <a:ext cx="627995" cy="293875"/>
          </a:xfrm>
          <a:prstGeom prst="cube">
            <a:avLst>
              <a:gd name="adj" fmla="val 57258"/>
            </a:avLst>
          </a:prstGeom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71" name="Cube 70">
            <a:extLst>
              <a:ext uri="{FF2B5EF4-FFF2-40B4-BE49-F238E27FC236}">
                <a16:creationId xmlns:a16="http://schemas.microsoft.com/office/drawing/2014/main" id="{CD396D16-4435-4EDB-B250-4A0EF39AAA39}"/>
              </a:ext>
            </a:extLst>
          </xdr:cNvPr>
          <xdr:cNvSpPr/>
        </xdr:nvSpPr>
        <xdr:spPr>
          <a:xfrm>
            <a:off x="524828" y="10846814"/>
            <a:ext cx="228362" cy="698946"/>
          </a:xfrm>
          <a:prstGeom prst="cube">
            <a:avLst/>
          </a:prstGeom>
          <a:blipFill>
            <a:blip xmlns:r="http://schemas.openxmlformats.org/officeDocument/2006/relationships" r:embed="rId1"/>
            <a:tile tx="0" ty="0" sx="100000" sy="100000" flip="none" algn="tl"/>
          </a:blipFill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70" name="Flowchart: Data 69">
            <a:extLst>
              <a:ext uri="{FF2B5EF4-FFF2-40B4-BE49-F238E27FC236}">
                <a16:creationId xmlns:a16="http://schemas.microsoft.com/office/drawing/2014/main" id="{E3396828-666E-446A-AE94-CE88AB072CE9}"/>
              </a:ext>
            </a:extLst>
          </xdr:cNvPr>
          <xdr:cNvSpPr/>
        </xdr:nvSpPr>
        <xdr:spPr>
          <a:xfrm>
            <a:off x="133350" y="10807102"/>
            <a:ext cx="1035784" cy="309760"/>
          </a:xfrm>
          <a:prstGeom prst="flowChartInputOutput">
            <a:avLst/>
          </a:prstGeom>
          <a:blipFill>
            <a:blip xmlns:r="http://schemas.openxmlformats.org/officeDocument/2006/relationships" r:embed="rId3"/>
            <a:tile tx="0" ty="0" sx="100000" sy="100000" flip="none" algn="tl"/>
          </a:blipFill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68" name="Cube 67">
            <a:extLst>
              <a:ext uri="{FF2B5EF4-FFF2-40B4-BE49-F238E27FC236}">
                <a16:creationId xmlns:a16="http://schemas.microsoft.com/office/drawing/2014/main" id="{5C86ADDF-71F1-4642-B7BD-8361C138D0D9}"/>
              </a:ext>
            </a:extLst>
          </xdr:cNvPr>
          <xdr:cNvSpPr/>
        </xdr:nvSpPr>
        <xdr:spPr>
          <a:xfrm>
            <a:off x="524828" y="9369496"/>
            <a:ext cx="236518" cy="1636170"/>
          </a:xfrm>
          <a:prstGeom prst="cube">
            <a:avLst/>
          </a:prstGeom>
          <a:blipFill>
            <a:blip xmlns:r="http://schemas.openxmlformats.org/officeDocument/2006/relationships" r:embed="rId1"/>
            <a:tile tx="0" ty="0" sx="100000" sy="100000" flip="none" algn="tl"/>
          </a:blipFill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74" name="Cube 73">
            <a:extLst>
              <a:ext uri="{FF2B5EF4-FFF2-40B4-BE49-F238E27FC236}">
                <a16:creationId xmlns:a16="http://schemas.microsoft.com/office/drawing/2014/main" id="{39AB3027-BB8D-48DE-A0A5-E08EF1ED6499}"/>
              </a:ext>
            </a:extLst>
          </xdr:cNvPr>
          <xdr:cNvSpPr/>
        </xdr:nvSpPr>
        <xdr:spPr>
          <a:xfrm>
            <a:off x="1454587" y="11450450"/>
            <a:ext cx="636151" cy="293875"/>
          </a:xfrm>
          <a:prstGeom prst="cube">
            <a:avLst>
              <a:gd name="adj" fmla="val 57258"/>
            </a:avLst>
          </a:prstGeom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75" name="Cube 74">
            <a:extLst>
              <a:ext uri="{FF2B5EF4-FFF2-40B4-BE49-F238E27FC236}">
                <a16:creationId xmlns:a16="http://schemas.microsoft.com/office/drawing/2014/main" id="{CE55AD25-EBAD-4628-8817-2AF939FC369A}"/>
              </a:ext>
            </a:extLst>
          </xdr:cNvPr>
          <xdr:cNvSpPr/>
        </xdr:nvSpPr>
        <xdr:spPr>
          <a:xfrm>
            <a:off x="1682948" y="10846814"/>
            <a:ext cx="220206" cy="698946"/>
          </a:xfrm>
          <a:prstGeom prst="cube">
            <a:avLst/>
          </a:prstGeom>
          <a:blipFill>
            <a:blip xmlns:r="http://schemas.openxmlformats.org/officeDocument/2006/relationships" r:embed="rId1"/>
            <a:tile tx="0" ty="0" sx="100000" sy="100000" flip="none" algn="tl"/>
          </a:blipFill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76" name="Flowchart: Data 75">
            <a:extLst>
              <a:ext uri="{FF2B5EF4-FFF2-40B4-BE49-F238E27FC236}">
                <a16:creationId xmlns:a16="http://schemas.microsoft.com/office/drawing/2014/main" id="{4DFA6883-08E7-4FED-9474-D01EC18F9F9D}"/>
              </a:ext>
            </a:extLst>
          </xdr:cNvPr>
          <xdr:cNvSpPr/>
        </xdr:nvSpPr>
        <xdr:spPr>
          <a:xfrm>
            <a:off x="1283315" y="10807102"/>
            <a:ext cx="1035784" cy="309760"/>
          </a:xfrm>
          <a:prstGeom prst="flowChartInputOutput">
            <a:avLst/>
          </a:prstGeom>
          <a:blipFill>
            <a:blip xmlns:r="http://schemas.openxmlformats.org/officeDocument/2006/relationships" r:embed="rId3"/>
            <a:tile tx="0" ty="0" sx="100000" sy="100000" flip="none" algn="tl"/>
          </a:blipFill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77" name="Cube 76">
            <a:extLst>
              <a:ext uri="{FF2B5EF4-FFF2-40B4-BE49-F238E27FC236}">
                <a16:creationId xmlns:a16="http://schemas.microsoft.com/office/drawing/2014/main" id="{DE31034D-3133-4554-8650-E81C34B3DF1B}"/>
              </a:ext>
            </a:extLst>
          </xdr:cNvPr>
          <xdr:cNvSpPr/>
        </xdr:nvSpPr>
        <xdr:spPr>
          <a:xfrm>
            <a:off x="1682948" y="9369496"/>
            <a:ext cx="228362" cy="1636170"/>
          </a:xfrm>
          <a:prstGeom prst="cube">
            <a:avLst/>
          </a:prstGeom>
          <a:blipFill>
            <a:blip xmlns:r="http://schemas.openxmlformats.org/officeDocument/2006/relationships" r:embed="rId1"/>
            <a:tile tx="0" ty="0" sx="100000" sy="100000" flip="none" algn="tl"/>
          </a:blipFill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73" name="Cube 72">
            <a:extLst>
              <a:ext uri="{FF2B5EF4-FFF2-40B4-BE49-F238E27FC236}">
                <a16:creationId xmlns:a16="http://schemas.microsoft.com/office/drawing/2014/main" id="{7766C39D-0E91-4B35-AE22-7C7FBCD0ABFD}"/>
              </a:ext>
            </a:extLst>
          </xdr:cNvPr>
          <xdr:cNvSpPr/>
        </xdr:nvSpPr>
        <xdr:spPr>
          <a:xfrm>
            <a:off x="524828" y="9258300"/>
            <a:ext cx="1777960" cy="206507"/>
          </a:xfrm>
          <a:prstGeom prst="cube">
            <a:avLst/>
          </a:prstGeom>
          <a:ln w="3175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cxnSp macro="">
        <xdr:nvCxnSpPr>
          <xdr:cNvPr id="79" name="Straight Arrow Connector 78">
            <a:extLst>
              <a:ext uri="{FF2B5EF4-FFF2-40B4-BE49-F238E27FC236}">
                <a16:creationId xmlns:a16="http://schemas.microsoft.com/office/drawing/2014/main" id="{46436F7C-1F9E-46CC-87D1-47B21623AEC2}"/>
              </a:ext>
            </a:extLst>
          </xdr:cNvPr>
          <xdr:cNvCxnSpPr/>
        </xdr:nvCxnSpPr>
        <xdr:spPr>
          <a:xfrm flipV="1">
            <a:off x="2490371" y="9433037"/>
            <a:ext cx="0" cy="2009471"/>
          </a:xfrm>
          <a:prstGeom prst="straightConnector1">
            <a:avLst/>
          </a:prstGeom>
          <a:ln>
            <a:solidFill>
              <a:sysClr val="windowText" lastClr="000000"/>
            </a:solidFill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1" name="Straight Connector 80">
            <a:extLst>
              <a:ext uri="{FF2B5EF4-FFF2-40B4-BE49-F238E27FC236}">
                <a16:creationId xmlns:a16="http://schemas.microsoft.com/office/drawing/2014/main" id="{A689A68C-D480-40E8-9241-E78BFB8D4B49}"/>
              </a:ext>
            </a:extLst>
          </xdr:cNvPr>
          <xdr:cNvCxnSpPr/>
        </xdr:nvCxnSpPr>
        <xdr:spPr>
          <a:xfrm>
            <a:off x="2278320" y="9425094"/>
            <a:ext cx="464880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4" name="Straight Connector 83">
            <a:extLst>
              <a:ext uri="{FF2B5EF4-FFF2-40B4-BE49-F238E27FC236}">
                <a16:creationId xmlns:a16="http://schemas.microsoft.com/office/drawing/2014/main" id="{571317C7-8C71-4851-87B3-96C71E222D5C}"/>
              </a:ext>
            </a:extLst>
          </xdr:cNvPr>
          <xdr:cNvCxnSpPr/>
        </xdr:nvCxnSpPr>
        <xdr:spPr>
          <a:xfrm>
            <a:off x="2082582" y="11442507"/>
            <a:ext cx="464880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6" name="TextBox 85">
            <a:extLst>
              <a:ext uri="{FF2B5EF4-FFF2-40B4-BE49-F238E27FC236}">
                <a16:creationId xmlns:a16="http://schemas.microsoft.com/office/drawing/2014/main" id="{26531DE8-8D69-402A-8C81-7E864D3B4C69}"/>
              </a:ext>
            </a:extLst>
          </xdr:cNvPr>
          <xdr:cNvSpPr txBox="1"/>
        </xdr:nvSpPr>
        <xdr:spPr>
          <a:xfrm>
            <a:off x="2139672" y="10131983"/>
            <a:ext cx="244673" cy="34153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/>
              <a:t>H</a:t>
            </a:r>
          </a:p>
        </xdr:txBody>
      </xdr:sp>
    </xdr:grpSp>
    <xdr:clientData/>
  </xdr:twoCellAnchor>
  <xdr:twoCellAnchor>
    <xdr:from>
      <xdr:col>4</xdr:col>
      <xdr:colOff>205740</xdr:colOff>
      <xdr:row>61</xdr:row>
      <xdr:rowOff>38100</xdr:rowOff>
    </xdr:from>
    <xdr:to>
      <xdr:col>5</xdr:col>
      <xdr:colOff>601980</xdr:colOff>
      <xdr:row>66</xdr:row>
      <xdr:rowOff>7620</xdr:rowOff>
    </xdr:to>
    <xdr:grpSp>
      <xdr:nvGrpSpPr>
        <xdr:cNvPr id="22080" name="Group 110">
          <a:extLst>
            <a:ext uri="{FF2B5EF4-FFF2-40B4-BE49-F238E27FC236}">
              <a16:creationId xmlns:a16="http://schemas.microsoft.com/office/drawing/2014/main" id="{099D23FE-8D42-4F6B-A056-1093C830F295}"/>
            </a:ext>
          </a:extLst>
        </xdr:cNvPr>
        <xdr:cNvGrpSpPr>
          <a:grpSpLocks/>
        </xdr:cNvGrpSpPr>
      </xdr:nvGrpSpPr>
      <xdr:grpSpPr bwMode="auto">
        <a:xfrm>
          <a:off x="2766060" y="11269980"/>
          <a:ext cx="1036320" cy="883920"/>
          <a:chOff x="2828925" y="9058275"/>
          <a:chExt cx="1057275" cy="923926"/>
        </a:xfrm>
      </xdr:grpSpPr>
      <xdr:sp macro="" textlink="">
        <xdr:nvSpPr>
          <xdr:cNvPr id="88" name="Rectangle 87">
            <a:extLst>
              <a:ext uri="{FF2B5EF4-FFF2-40B4-BE49-F238E27FC236}">
                <a16:creationId xmlns:a16="http://schemas.microsoft.com/office/drawing/2014/main" id="{107CAE89-78BB-489D-82EF-A06AB3786DAB}"/>
              </a:ext>
            </a:extLst>
          </xdr:cNvPr>
          <xdr:cNvSpPr/>
        </xdr:nvSpPr>
        <xdr:spPr>
          <a:xfrm>
            <a:off x="2828925" y="9058275"/>
            <a:ext cx="640773" cy="621261"/>
          </a:xfrm>
          <a:prstGeom prst="rect">
            <a:avLst/>
          </a:prstGeom>
          <a:blipFill>
            <a:blip xmlns:r="http://schemas.openxmlformats.org/officeDocument/2006/relationships" r:embed="rId1"/>
            <a:tile tx="0" ty="0" sx="100000" sy="100000" flip="none" algn="tl"/>
          </a:blipFill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89" name="TextBox 88">
            <a:extLst>
              <a:ext uri="{FF2B5EF4-FFF2-40B4-BE49-F238E27FC236}">
                <a16:creationId xmlns:a16="http://schemas.microsoft.com/office/drawing/2014/main" id="{2EBEEFB5-840E-4D8E-A343-B3DC94051EF3}"/>
              </a:ext>
            </a:extLst>
          </xdr:cNvPr>
          <xdr:cNvSpPr txBox="1"/>
        </xdr:nvSpPr>
        <xdr:spPr>
          <a:xfrm>
            <a:off x="3469698" y="9225537"/>
            <a:ext cx="416502" cy="28673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/>
              <a:t>W1</a:t>
            </a:r>
          </a:p>
        </xdr:txBody>
      </xdr:sp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46EB9B5E-6704-473F-B38D-194536BD83EE}"/>
              </a:ext>
            </a:extLst>
          </xdr:cNvPr>
          <xdr:cNvSpPr txBox="1"/>
        </xdr:nvSpPr>
        <xdr:spPr>
          <a:xfrm>
            <a:off x="2973099" y="9687500"/>
            <a:ext cx="424512" cy="29470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/>
              <a:t>W2</a:t>
            </a:r>
          </a:p>
        </xdr:txBody>
      </xdr:sp>
      <xdr:sp macro="" textlink="">
        <xdr:nvSpPr>
          <xdr:cNvPr id="106" name="Rounded Rectangle 105">
            <a:extLst>
              <a:ext uri="{FF2B5EF4-FFF2-40B4-BE49-F238E27FC236}">
                <a16:creationId xmlns:a16="http://schemas.microsoft.com/office/drawing/2014/main" id="{D874F550-DBDA-4CB1-8B2E-19278BED9504}"/>
              </a:ext>
            </a:extLst>
          </xdr:cNvPr>
          <xdr:cNvSpPr/>
        </xdr:nvSpPr>
        <xdr:spPr>
          <a:xfrm>
            <a:off x="2933051" y="9145889"/>
            <a:ext cx="424512" cy="414174"/>
          </a:xfrm>
          <a:prstGeom prst="round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107" name="Oval 106">
            <a:extLst>
              <a:ext uri="{FF2B5EF4-FFF2-40B4-BE49-F238E27FC236}">
                <a16:creationId xmlns:a16="http://schemas.microsoft.com/office/drawing/2014/main" id="{727BCFD3-B51F-4C20-AD04-7C8CFB59EAD5}"/>
              </a:ext>
            </a:extLst>
          </xdr:cNvPr>
          <xdr:cNvSpPr/>
        </xdr:nvSpPr>
        <xdr:spPr>
          <a:xfrm>
            <a:off x="2965089" y="9161818"/>
            <a:ext cx="80097" cy="71684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108" name="Oval 107">
            <a:extLst>
              <a:ext uri="{FF2B5EF4-FFF2-40B4-BE49-F238E27FC236}">
                <a16:creationId xmlns:a16="http://schemas.microsoft.com/office/drawing/2014/main" id="{1F06E3E2-8F68-4434-A58C-0E2ABB3B4C88}"/>
              </a:ext>
            </a:extLst>
          </xdr:cNvPr>
          <xdr:cNvSpPr/>
        </xdr:nvSpPr>
        <xdr:spPr>
          <a:xfrm>
            <a:off x="3261447" y="9169783"/>
            <a:ext cx="80097" cy="79649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109" name="Oval 108">
            <a:extLst>
              <a:ext uri="{FF2B5EF4-FFF2-40B4-BE49-F238E27FC236}">
                <a16:creationId xmlns:a16="http://schemas.microsoft.com/office/drawing/2014/main" id="{45C0C80F-A455-43D8-A65F-D7DCA6FDC73B}"/>
              </a:ext>
            </a:extLst>
          </xdr:cNvPr>
          <xdr:cNvSpPr/>
        </xdr:nvSpPr>
        <xdr:spPr>
          <a:xfrm>
            <a:off x="2965089" y="9464484"/>
            <a:ext cx="80097" cy="71684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110" name="Oval 109">
            <a:extLst>
              <a:ext uri="{FF2B5EF4-FFF2-40B4-BE49-F238E27FC236}">
                <a16:creationId xmlns:a16="http://schemas.microsoft.com/office/drawing/2014/main" id="{DD3C88C6-E93B-4310-A698-91438E28C3DB}"/>
              </a:ext>
            </a:extLst>
          </xdr:cNvPr>
          <xdr:cNvSpPr/>
        </xdr:nvSpPr>
        <xdr:spPr>
          <a:xfrm>
            <a:off x="3261447" y="9464484"/>
            <a:ext cx="80097" cy="79649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</xdr:grpSp>
    <xdr:clientData/>
  </xdr:twoCellAnchor>
  <xdr:twoCellAnchor>
    <xdr:from>
      <xdr:col>0</xdr:col>
      <xdr:colOff>0</xdr:colOff>
      <xdr:row>79</xdr:row>
      <xdr:rowOff>53340</xdr:rowOff>
    </xdr:from>
    <xdr:to>
      <xdr:col>3</xdr:col>
      <xdr:colOff>624840</xdr:colOff>
      <xdr:row>92</xdr:row>
      <xdr:rowOff>60960</xdr:rowOff>
    </xdr:to>
    <xdr:grpSp>
      <xdr:nvGrpSpPr>
        <xdr:cNvPr id="22081" name="Group 140">
          <a:extLst>
            <a:ext uri="{FF2B5EF4-FFF2-40B4-BE49-F238E27FC236}">
              <a16:creationId xmlns:a16="http://schemas.microsoft.com/office/drawing/2014/main" id="{95C54681-5292-4132-A031-C9C6FECCB9A6}"/>
            </a:ext>
          </a:extLst>
        </xdr:cNvPr>
        <xdr:cNvGrpSpPr>
          <a:grpSpLocks/>
        </xdr:cNvGrpSpPr>
      </xdr:nvGrpSpPr>
      <xdr:grpSpPr bwMode="auto">
        <a:xfrm>
          <a:off x="0" y="14592300"/>
          <a:ext cx="2545080" cy="2385060"/>
          <a:chOff x="0" y="12525375"/>
          <a:chExt cx="2590800" cy="2476500"/>
        </a:xfrm>
      </xdr:grpSpPr>
      <xdr:sp macro="" textlink="">
        <xdr:nvSpPr>
          <xdr:cNvPr id="113" name="Cube 112">
            <a:extLst>
              <a:ext uri="{FF2B5EF4-FFF2-40B4-BE49-F238E27FC236}">
                <a16:creationId xmlns:a16="http://schemas.microsoft.com/office/drawing/2014/main" id="{0163D228-A0EF-4300-8C73-DF748E5E0FD2}"/>
              </a:ext>
            </a:extLst>
          </xdr:cNvPr>
          <xdr:cNvSpPr/>
        </xdr:nvSpPr>
        <xdr:spPr>
          <a:xfrm>
            <a:off x="202406" y="14709126"/>
            <a:ext cx="623411" cy="292749"/>
          </a:xfrm>
          <a:prstGeom prst="cube">
            <a:avLst>
              <a:gd name="adj" fmla="val 57258"/>
            </a:avLst>
          </a:prstGeom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136" name="Can 135">
            <a:extLst>
              <a:ext uri="{FF2B5EF4-FFF2-40B4-BE49-F238E27FC236}">
                <a16:creationId xmlns:a16="http://schemas.microsoft.com/office/drawing/2014/main" id="{81218FF7-E64F-46AD-8CBD-5583B8DB8DAA}"/>
              </a:ext>
            </a:extLst>
          </xdr:cNvPr>
          <xdr:cNvSpPr/>
        </xdr:nvSpPr>
        <xdr:spPr>
          <a:xfrm>
            <a:off x="404813" y="14131540"/>
            <a:ext cx="234791" cy="656708"/>
          </a:xfrm>
          <a:prstGeom prst="can">
            <a:avLst/>
          </a:prstGeom>
          <a:blipFill>
            <a:blip xmlns:r="http://schemas.openxmlformats.org/officeDocument/2006/relationships" r:embed="rId1"/>
            <a:tile tx="0" ty="0" sx="100000" sy="100000" flip="none" algn="tl"/>
          </a:blipFill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115" name="Flowchart: Data 114">
            <a:extLst>
              <a:ext uri="{FF2B5EF4-FFF2-40B4-BE49-F238E27FC236}">
                <a16:creationId xmlns:a16="http://schemas.microsoft.com/office/drawing/2014/main" id="{70A327EC-A115-4964-A221-3C178241BA1D}"/>
              </a:ext>
            </a:extLst>
          </xdr:cNvPr>
          <xdr:cNvSpPr/>
        </xdr:nvSpPr>
        <xdr:spPr>
          <a:xfrm>
            <a:off x="0" y="14076155"/>
            <a:ext cx="1036320" cy="308573"/>
          </a:xfrm>
          <a:prstGeom prst="flowChartInputOutput">
            <a:avLst/>
          </a:prstGeom>
          <a:blipFill>
            <a:blip xmlns:r="http://schemas.openxmlformats.org/officeDocument/2006/relationships" r:embed="rId3"/>
            <a:tile tx="0" ty="0" sx="100000" sy="100000" flip="none" algn="tl"/>
          </a:blipFill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cxnSp macro="">
        <xdr:nvCxnSpPr>
          <xdr:cNvPr id="122" name="Straight Arrow Connector 121">
            <a:extLst>
              <a:ext uri="{FF2B5EF4-FFF2-40B4-BE49-F238E27FC236}">
                <a16:creationId xmlns:a16="http://schemas.microsoft.com/office/drawing/2014/main" id="{415572D3-9A70-4C1F-B49C-98E9D0EAF518}"/>
              </a:ext>
            </a:extLst>
          </xdr:cNvPr>
          <xdr:cNvCxnSpPr/>
        </xdr:nvCxnSpPr>
        <xdr:spPr>
          <a:xfrm flipV="1">
            <a:off x="2331720" y="12699442"/>
            <a:ext cx="0" cy="2009684"/>
          </a:xfrm>
          <a:prstGeom prst="straightConnector1">
            <a:avLst/>
          </a:prstGeom>
          <a:ln>
            <a:solidFill>
              <a:sysClr val="windowText" lastClr="000000"/>
            </a:solidFill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3" name="Straight Connector 122">
            <a:extLst>
              <a:ext uri="{FF2B5EF4-FFF2-40B4-BE49-F238E27FC236}">
                <a16:creationId xmlns:a16="http://schemas.microsoft.com/office/drawing/2014/main" id="{3E04A069-B9A0-4E43-B9B2-A5B17E6AFA18}"/>
              </a:ext>
            </a:extLst>
          </xdr:cNvPr>
          <xdr:cNvCxnSpPr/>
        </xdr:nvCxnSpPr>
        <xdr:spPr>
          <a:xfrm>
            <a:off x="2129314" y="12691530"/>
            <a:ext cx="461486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4" name="Straight Connector 123">
            <a:extLst>
              <a:ext uri="{FF2B5EF4-FFF2-40B4-BE49-F238E27FC236}">
                <a16:creationId xmlns:a16="http://schemas.microsoft.com/office/drawing/2014/main" id="{DAF788D2-52EB-4A75-BE27-887230999A03}"/>
              </a:ext>
            </a:extLst>
          </xdr:cNvPr>
          <xdr:cNvCxnSpPr/>
        </xdr:nvCxnSpPr>
        <xdr:spPr>
          <a:xfrm>
            <a:off x="1935004" y="14709126"/>
            <a:ext cx="461486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5" name="TextBox 124">
            <a:extLst>
              <a:ext uri="{FF2B5EF4-FFF2-40B4-BE49-F238E27FC236}">
                <a16:creationId xmlns:a16="http://schemas.microsoft.com/office/drawing/2014/main" id="{3675512A-BD9E-43BF-9689-7C95317673D9}"/>
              </a:ext>
            </a:extLst>
          </xdr:cNvPr>
          <xdr:cNvSpPr txBox="1"/>
        </xdr:nvSpPr>
        <xdr:spPr>
          <a:xfrm>
            <a:off x="1999774" y="13395710"/>
            <a:ext cx="242888" cy="34813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/>
              <a:t>H</a:t>
            </a:r>
          </a:p>
        </xdr:txBody>
      </xdr:sp>
      <xdr:sp macro="" textlink="">
        <xdr:nvSpPr>
          <xdr:cNvPr id="135" name="Can 134">
            <a:extLst>
              <a:ext uri="{FF2B5EF4-FFF2-40B4-BE49-F238E27FC236}">
                <a16:creationId xmlns:a16="http://schemas.microsoft.com/office/drawing/2014/main" id="{0E390C21-33B2-431A-982B-34698B7FBD01}"/>
              </a:ext>
            </a:extLst>
          </xdr:cNvPr>
          <xdr:cNvSpPr/>
        </xdr:nvSpPr>
        <xdr:spPr>
          <a:xfrm>
            <a:off x="404813" y="12667794"/>
            <a:ext cx="234791" cy="1598252"/>
          </a:xfrm>
          <a:prstGeom prst="can">
            <a:avLst/>
          </a:prstGeom>
          <a:blipFill>
            <a:blip xmlns:r="http://schemas.openxmlformats.org/officeDocument/2006/relationships" r:embed="rId1"/>
            <a:tile tx="0" ty="0" sx="100000" sy="100000" flip="none" algn="tl"/>
          </a:blipFill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137" name="Cube 136">
            <a:extLst>
              <a:ext uri="{FF2B5EF4-FFF2-40B4-BE49-F238E27FC236}">
                <a16:creationId xmlns:a16="http://schemas.microsoft.com/office/drawing/2014/main" id="{6AB0FB16-7746-4FAC-9194-1668BF1EBF8A}"/>
              </a:ext>
            </a:extLst>
          </xdr:cNvPr>
          <xdr:cNvSpPr/>
        </xdr:nvSpPr>
        <xdr:spPr>
          <a:xfrm>
            <a:off x="1295400" y="14677477"/>
            <a:ext cx="623411" cy="300661"/>
          </a:xfrm>
          <a:prstGeom prst="cube">
            <a:avLst>
              <a:gd name="adj" fmla="val 57258"/>
            </a:avLst>
          </a:prstGeom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138" name="Can 137">
            <a:extLst>
              <a:ext uri="{FF2B5EF4-FFF2-40B4-BE49-F238E27FC236}">
                <a16:creationId xmlns:a16="http://schemas.microsoft.com/office/drawing/2014/main" id="{BE1AD08A-B53C-4F03-80CB-E7E82FA2A01D}"/>
              </a:ext>
            </a:extLst>
          </xdr:cNvPr>
          <xdr:cNvSpPr/>
        </xdr:nvSpPr>
        <xdr:spPr>
          <a:xfrm>
            <a:off x="1513999" y="14107803"/>
            <a:ext cx="218599" cy="656708"/>
          </a:xfrm>
          <a:prstGeom prst="can">
            <a:avLst/>
          </a:prstGeom>
          <a:blipFill>
            <a:blip xmlns:r="http://schemas.openxmlformats.org/officeDocument/2006/relationships" r:embed="rId1"/>
            <a:tile tx="0" ty="0" sx="100000" sy="100000" flip="none" algn="tl"/>
          </a:blipFill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139" name="Flowchart: Data 138">
            <a:extLst>
              <a:ext uri="{FF2B5EF4-FFF2-40B4-BE49-F238E27FC236}">
                <a16:creationId xmlns:a16="http://schemas.microsoft.com/office/drawing/2014/main" id="{21C4B060-0F9D-44B8-938B-5AF5EA80CEF0}"/>
              </a:ext>
            </a:extLst>
          </xdr:cNvPr>
          <xdr:cNvSpPr/>
        </xdr:nvSpPr>
        <xdr:spPr>
          <a:xfrm>
            <a:off x="1092994" y="14052418"/>
            <a:ext cx="1036320" cy="300661"/>
          </a:xfrm>
          <a:prstGeom prst="flowChartInputOutput">
            <a:avLst/>
          </a:prstGeom>
          <a:blipFill>
            <a:blip xmlns:r="http://schemas.openxmlformats.org/officeDocument/2006/relationships" r:embed="rId3"/>
            <a:tile tx="0" ty="0" sx="100000" sy="100000" flip="none" algn="tl"/>
          </a:blipFill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140" name="Can 139">
            <a:extLst>
              <a:ext uri="{FF2B5EF4-FFF2-40B4-BE49-F238E27FC236}">
                <a16:creationId xmlns:a16="http://schemas.microsoft.com/office/drawing/2014/main" id="{DDDDBE3A-07C3-4B57-B9E8-3B9A425AD82E}"/>
              </a:ext>
            </a:extLst>
          </xdr:cNvPr>
          <xdr:cNvSpPr/>
        </xdr:nvSpPr>
        <xdr:spPr>
          <a:xfrm>
            <a:off x="1513999" y="12636145"/>
            <a:ext cx="218599" cy="1606165"/>
          </a:xfrm>
          <a:prstGeom prst="can">
            <a:avLst/>
          </a:prstGeom>
          <a:blipFill>
            <a:blip xmlns:r="http://schemas.openxmlformats.org/officeDocument/2006/relationships" r:embed="rId1"/>
            <a:tile tx="0" ty="0" sx="100000" sy="100000" flip="none" algn="tl"/>
          </a:blipFill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121" name="Cube 120">
            <a:extLst>
              <a:ext uri="{FF2B5EF4-FFF2-40B4-BE49-F238E27FC236}">
                <a16:creationId xmlns:a16="http://schemas.microsoft.com/office/drawing/2014/main" id="{276082CA-5BB3-487F-BBE2-AB2F6492F23A}"/>
              </a:ext>
            </a:extLst>
          </xdr:cNvPr>
          <xdr:cNvSpPr/>
        </xdr:nvSpPr>
        <xdr:spPr>
          <a:xfrm>
            <a:off x="388620" y="12525375"/>
            <a:ext cx="1764983" cy="213628"/>
          </a:xfrm>
          <a:prstGeom prst="cube">
            <a:avLst/>
          </a:prstGeom>
          <a:ln w="3175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</xdr:grpSp>
    <xdr:clientData/>
  </xdr:twoCellAnchor>
  <xdr:twoCellAnchor>
    <xdr:from>
      <xdr:col>4</xdr:col>
      <xdr:colOff>205740</xdr:colOff>
      <xdr:row>78</xdr:row>
      <xdr:rowOff>7620</xdr:rowOff>
    </xdr:from>
    <xdr:to>
      <xdr:col>6</xdr:col>
      <xdr:colOff>30480</xdr:colOff>
      <xdr:row>81</xdr:row>
      <xdr:rowOff>121920</xdr:rowOff>
    </xdr:to>
    <xdr:grpSp>
      <xdr:nvGrpSpPr>
        <xdr:cNvPr id="22082" name="Group 149">
          <a:extLst>
            <a:ext uri="{FF2B5EF4-FFF2-40B4-BE49-F238E27FC236}">
              <a16:creationId xmlns:a16="http://schemas.microsoft.com/office/drawing/2014/main" id="{2EB10CBD-1621-48FC-8DF1-4F698FBEC08A}"/>
            </a:ext>
          </a:extLst>
        </xdr:cNvPr>
        <xdr:cNvGrpSpPr>
          <a:grpSpLocks/>
        </xdr:cNvGrpSpPr>
      </xdr:nvGrpSpPr>
      <xdr:grpSpPr bwMode="auto">
        <a:xfrm>
          <a:off x="2766060" y="14363700"/>
          <a:ext cx="1104900" cy="662940"/>
          <a:chOff x="2828925" y="12287250"/>
          <a:chExt cx="1143000" cy="685800"/>
        </a:xfrm>
      </xdr:grpSpPr>
      <xdr:sp macro="" textlink="">
        <xdr:nvSpPr>
          <xdr:cNvPr id="146" name="Oval 145">
            <a:extLst>
              <a:ext uri="{FF2B5EF4-FFF2-40B4-BE49-F238E27FC236}">
                <a16:creationId xmlns:a16="http://schemas.microsoft.com/office/drawing/2014/main" id="{BE03202C-7911-4699-9797-FF2E5661D11D}"/>
              </a:ext>
            </a:extLst>
          </xdr:cNvPr>
          <xdr:cNvSpPr/>
        </xdr:nvSpPr>
        <xdr:spPr>
          <a:xfrm>
            <a:off x="2828925" y="12287250"/>
            <a:ext cx="650759" cy="662152"/>
          </a:xfrm>
          <a:prstGeom prst="ellipse">
            <a:avLst/>
          </a:prstGeom>
          <a:blipFill>
            <a:blip xmlns:r="http://schemas.openxmlformats.org/officeDocument/2006/relationships" r:embed="rId1"/>
            <a:tile tx="0" ty="0" sx="100000" sy="100000" flip="none" algn="tl"/>
          </a:blipFill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128" name="TextBox 127">
            <a:extLst>
              <a:ext uri="{FF2B5EF4-FFF2-40B4-BE49-F238E27FC236}">
                <a16:creationId xmlns:a16="http://schemas.microsoft.com/office/drawing/2014/main" id="{5B8CF371-D39D-43E8-9859-AAD063286910}"/>
              </a:ext>
            </a:extLst>
          </xdr:cNvPr>
          <xdr:cNvSpPr txBox="1"/>
        </xdr:nvSpPr>
        <xdr:spPr>
          <a:xfrm>
            <a:off x="3554772" y="12492202"/>
            <a:ext cx="417153" cy="29166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/>
              <a:t>D1</a:t>
            </a:r>
          </a:p>
        </xdr:txBody>
      </xdr:sp>
      <xdr:sp macro="" textlink="">
        <xdr:nvSpPr>
          <xdr:cNvPr id="142" name="Oval 141">
            <a:extLst>
              <a:ext uri="{FF2B5EF4-FFF2-40B4-BE49-F238E27FC236}">
                <a16:creationId xmlns:a16="http://schemas.microsoft.com/office/drawing/2014/main" id="{5F974FA2-007B-4569-825F-168C4FFEF41B}"/>
              </a:ext>
            </a:extLst>
          </xdr:cNvPr>
          <xdr:cNvSpPr/>
        </xdr:nvSpPr>
        <xdr:spPr>
          <a:xfrm>
            <a:off x="2887326" y="12366078"/>
            <a:ext cx="525613" cy="504497"/>
          </a:xfrm>
          <a:prstGeom prst="ellipse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131" name="Oval 130">
            <a:extLst>
              <a:ext uri="{FF2B5EF4-FFF2-40B4-BE49-F238E27FC236}">
                <a16:creationId xmlns:a16="http://schemas.microsoft.com/office/drawing/2014/main" id="{8C799993-7475-4A95-8A86-8B00E32B2385}"/>
              </a:ext>
            </a:extLst>
          </xdr:cNvPr>
          <xdr:cNvSpPr/>
        </xdr:nvSpPr>
        <xdr:spPr>
          <a:xfrm>
            <a:off x="2945728" y="12476436"/>
            <a:ext cx="66745" cy="7882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132" name="Oval 131">
            <a:extLst>
              <a:ext uri="{FF2B5EF4-FFF2-40B4-BE49-F238E27FC236}">
                <a16:creationId xmlns:a16="http://schemas.microsoft.com/office/drawing/2014/main" id="{1488EB47-522C-49DD-A68F-11C77DA79B8C}"/>
              </a:ext>
            </a:extLst>
          </xdr:cNvPr>
          <xdr:cNvSpPr/>
        </xdr:nvSpPr>
        <xdr:spPr>
          <a:xfrm>
            <a:off x="3296137" y="12492202"/>
            <a:ext cx="75088" cy="70945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133" name="Oval 132">
            <a:extLst>
              <a:ext uri="{FF2B5EF4-FFF2-40B4-BE49-F238E27FC236}">
                <a16:creationId xmlns:a16="http://schemas.microsoft.com/office/drawing/2014/main" id="{A856BE30-CD5E-4707-85C8-A78A00BEFF6C}"/>
              </a:ext>
            </a:extLst>
          </xdr:cNvPr>
          <xdr:cNvSpPr/>
        </xdr:nvSpPr>
        <xdr:spPr>
          <a:xfrm>
            <a:off x="2945728" y="12681388"/>
            <a:ext cx="66745" cy="70945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134" name="Oval 133">
            <a:extLst>
              <a:ext uri="{FF2B5EF4-FFF2-40B4-BE49-F238E27FC236}">
                <a16:creationId xmlns:a16="http://schemas.microsoft.com/office/drawing/2014/main" id="{25EAEBDA-E149-48A4-8459-60843C8FB8FD}"/>
              </a:ext>
            </a:extLst>
          </xdr:cNvPr>
          <xdr:cNvSpPr/>
        </xdr:nvSpPr>
        <xdr:spPr>
          <a:xfrm>
            <a:off x="3262764" y="12697153"/>
            <a:ext cx="83431" cy="70945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143" name="Oval 142">
            <a:extLst>
              <a:ext uri="{FF2B5EF4-FFF2-40B4-BE49-F238E27FC236}">
                <a16:creationId xmlns:a16="http://schemas.microsoft.com/office/drawing/2014/main" id="{7E5A6BC8-68E3-4CC6-8334-03784F71F7F6}"/>
              </a:ext>
            </a:extLst>
          </xdr:cNvPr>
          <xdr:cNvSpPr/>
        </xdr:nvSpPr>
        <xdr:spPr>
          <a:xfrm>
            <a:off x="3120932" y="12768098"/>
            <a:ext cx="83431" cy="7882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145" name="Oval 144">
            <a:extLst>
              <a:ext uri="{FF2B5EF4-FFF2-40B4-BE49-F238E27FC236}">
                <a16:creationId xmlns:a16="http://schemas.microsoft.com/office/drawing/2014/main" id="{10669CD7-5D88-4120-B40C-0EBFF6FECFEC}"/>
              </a:ext>
            </a:extLst>
          </xdr:cNvPr>
          <xdr:cNvSpPr/>
        </xdr:nvSpPr>
        <xdr:spPr>
          <a:xfrm>
            <a:off x="3120932" y="12405491"/>
            <a:ext cx="83431" cy="70945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cxnSp macro="">
        <xdr:nvCxnSpPr>
          <xdr:cNvPr id="149" name="Straight Arrow Connector 148">
            <a:extLst>
              <a:ext uri="{FF2B5EF4-FFF2-40B4-BE49-F238E27FC236}">
                <a16:creationId xmlns:a16="http://schemas.microsoft.com/office/drawing/2014/main" id="{098BAEE5-65A7-40C1-8D99-972BF34EB20B}"/>
              </a:ext>
            </a:extLst>
          </xdr:cNvPr>
          <xdr:cNvCxnSpPr/>
        </xdr:nvCxnSpPr>
        <xdr:spPr>
          <a:xfrm>
            <a:off x="3546429" y="12287250"/>
            <a:ext cx="0" cy="685800"/>
          </a:xfrm>
          <a:prstGeom prst="straightConnector1">
            <a:avLst/>
          </a:prstGeom>
          <a:ln>
            <a:solidFill>
              <a:sysClr val="windowText" lastClr="000000"/>
            </a:solidFill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175260</xdr:colOff>
      <xdr:row>98</xdr:row>
      <xdr:rowOff>99060</xdr:rowOff>
    </xdr:from>
    <xdr:to>
      <xdr:col>3</xdr:col>
      <xdr:colOff>335280</xdr:colOff>
      <xdr:row>103</xdr:row>
      <xdr:rowOff>7620</xdr:rowOff>
    </xdr:to>
    <xdr:grpSp>
      <xdr:nvGrpSpPr>
        <xdr:cNvPr id="22083" name="Group 164">
          <a:extLst>
            <a:ext uri="{FF2B5EF4-FFF2-40B4-BE49-F238E27FC236}">
              <a16:creationId xmlns:a16="http://schemas.microsoft.com/office/drawing/2014/main" id="{F99F97DE-7E3D-4BCB-A179-A6DFC17B435B}"/>
            </a:ext>
          </a:extLst>
        </xdr:cNvPr>
        <xdr:cNvGrpSpPr>
          <a:grpSpLocks/>
        </xdr:cNvGrpSpPr>
      </xdr:nvGrpSpPr>
      <xdr:grpSpPr bwMode="auto">
        <a:xfrm>
          <a:off x="175260" y="18135600"/>
          <a:ext cx="2080260" cy="822960"/>
          <a:chOff x="171450" y="15630525"/>
          <a:chExt cx="2133600" cy="857250"/>
        </a:xfrm>
      </xdr:grpSpPr>
      <xdr:sp macro="" textlink="">
        <xdr:nvSpPr>
          <xdr:cNvPr id="151" name="Cube 150">
            <a:extLst>
              <a:ext uri="{FF2B5EF4-FFF2-40B4-BE49-F238E27FC236}">
                <a16:creationId xmlns:a16="http://schemas.microsoft.com/office/drawing/2014/main" id="{A69DBB69-EFE9-41CE-82F3-4881CCA5D15F}"/>
              </a:ext>
            </a:extLst>
          </xdr:cNvPr>
          <xdr:cNvSpPr/>
        </xdr:nvSpPr>
        <xdr:spPr>
          <a:xfrm>
            <a:off x="187799" y="15630525"/>
            <a:ext cx="2117251" cy="293688"/>
          </a:xfrm>
          <a:prstGeom prst="cube">
            <a:avLst>
              <a:gd name="adj" fmla="val 25000"/>
            </a:avLst>
          </a:prstGeom>
          <a:blipFill>
            <a:blip xmlns:r="http://schemas.openxmlformats.org/officeDocument/2006/relationships" r:embed="rId1"/>
            <a:tile tx="0" ty="0" sx="100000" sy="100000" flip="none" algn="tl"/>
          </a:blipFill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cxnSp macro="">
        <xdr:nvCxnSpPr>
          <xdr:cNvPr id="153" name="Straight Arrow Connector 152">
            <a:extLst>
              <a:ext uri="{FF2B5EF4-FFF2-40B4-BE49-F238E27FC236}">
                <a16:creationId xmlns:a16="http://schemas.microsoft.com/office/drawing/2014/main" id="{F7D605CC-66FA-4366-84CF-8E68AEE34B67}"/>
              </a:ext>
            </a:extLst>
          </xdr:cNvPr>
          <xdr:cNvCxnSpPr/>
        </xdr:nvCxnSpPr>
        <xdr:spPr>
          <a:xfrm>
            <a:off x="171450" y="16098838"/>
            <a:ext cx="2076377" cy="0"/>
          </a:xfrm>
          <a:prstGeom prst="straightConnector1">
            <a:avLst/>
          </a:prstGeom>
          <a:ln>
            <a:solidFill>
              <a:sysClr val="windowText" lastClr="000000"/>
            </a:solidFill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55" name="TextBox 154">
            <a:extLst>
              <a:ext uri="{FF2B5EF4-FFF2-40B4-BE49-F238E27FC236}">
                <a16:creationId xmlns:a16="http://schemas.microsoft.com/office/drawing/2014/main" id="{9A0D946A-1C6E-4099-A0EC-1925EFA2B3A8}"/>
              </a:ext>
            </a:extLst>
          </xdr:cNvPr>
          <xdr:cNvSpPr txBox="1"/>
        </xdr:nvSpPr>
        <xdr:spPr>
          <a:xfrm>
            <a:off x="1103367" y="16146463"/>
            <a:ext cx="515007" cy="34131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/>
              <a:t>L</a:t>
            </a:r>
            <a:r>
              <a:rPr lang="en-US" sz="800"/>
              <a:t>T</a:t>
            </a:r>
          </a:p>
        </xdr:txBody>
      </xdr:sp>
    </xdr:grpSp>
    <xdr:clientData/>
  </xdr:twoCellAnchor>
  <xdr:twoCellAnchor>
    <xdr:from>
      <xdr:col>2</xdr:col>
      <xdr:colOff>114300</xdr:colOff>
      <xdr:row>102</xdr:row>
      <xdr:rowOff>91440</xdr:rowOff>
    </xdr:from>
    <xdr:to>
      <xdr:col>3</xdr:col>
      <xdr:colOff>381000</xdr:colOff>
      <xdr:row>109</xdr:row>
      <xdr:rowOff>60960</xdr:rowOff>
    </xdr:to>
    <xdr:grpSp>
      <xdr:nvGrpSpPr>
        <xdr:cNvPr id="22084" name="Group 163">
          <a:extLst>
            <a:ext uri="{FF2B5EF4-FFF2-40B4-BE49-F238E27FC236}">
              <a16:creationId xmlns:a16="http://schemas.microsoft.com/office/drawing/2014/main" id="{F60453D1-DB9C-4B50-9DC7-FFC2B3D248BF}"/>
            </a:ext>
          </a:extLst>
        </xdr:cNvPr>
        <xdr:cNvGrpSpPr>
          <a:grpSpLocks/>
        </xdr:cNvGrpSpPr>
      </xdr:nvGrpSpPr>
      <xdr:grpSpPr bwMode="auto">
        <a:xfrm>
          <a:off x="1394460" y="18859500"/>
          <a:ext cx="906780" cy="1257300"/>
          <a:chOff x="238125" y="16335375"/>
          <a:chExt cx="922117" cy="1333500"/>
        </a:xfrm>
      </xdr:grpSpPr>
      <xdr:sp macro="" textlink="">
        <xdr:nvSpPr>
          <xdr:cNvPr id="154" name="Rectangle 153">
            <a:extLst>
              <a:ext uri="{FF2B5EF4-FFF2-40B4-BE49-F238E27FC236}">
                <a16:creationId xmlns:a16="http://schemas.microsoft.com/office/drawing/2014/main" id="{CF7F8E2B-FA5A-4EE2-A8DE-CEDCA7379EA0}"/>
              </a:ext>
            </a:extLst>
          </xdr:cNvPr>
          <xdr:cNvSpPr/>
        </xdr:nvSpPr>
        <xdr:spPr>
          <a:xfrm>
            <a:off x="238125" y="16335375"/>
            <a:ext cx="673546" cy="1002145"/>
          </a:xfrm>
          <a:prstGeom prst="rect">
            <a:avLst/>
          </a:prstGeom>
          <a:blipFill>
            <a:blip xmlns:r="http://schemas.openxmlformats.org/officeDocument/2006/relationships" r:embed="rId1"/>
            <a:tile tx="0" ty="0" sx="100000" sy="100000" flip="none" algn="tl"/>
          </a:blipFill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156" name="TextBox 155">
            <a:extLst>
              <a:ext uri="{FF2B5EF4-FFF2-40B4-BE49-F238E27FC236}">
                <a16:creationId xmlns:a16="http://schemas.microsoft.com/office/drawing/2014/main" id="{349CC93A-CD75-4978-90F2-81E41E88F2FA}"/>
              </a:ext>
            </a:extLst>
          </xdr:cNvPr>
          <xdr:cNvSpPr txBox="1"/>
        </xdr:nvSpPr>
        <xdr:spPr>
          <a:xfrm>
            <a:off x="446604" y="17329439"/>
            <a:ext cx="240552" cy="33943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/>
              <a:t>W</a:t>
            </a:r>
          </a:p>
        </xdr:txBody>
      </xdr:sp>
      <xdr:sp macro="" textlink="">
        <xdr:nvSpPr>
          <xdr:cNvPr id="157" name="TextBox 156">
            <a:extLst>
              <a:ext uri="{FF2B5EF4-FFF2-40B4-BE49-F238E27FC236}">
                <a16:creationId xmlns:a16="http://schemas.microsoft.com/office/drawing/2014/main" id="{395B9BA0-A127-42A3-A2D8-522808A9F832}"/>
              </a:ext>
            </a:extLst>
          </xdr:cNvPr>
          <xdr:cNvSpPr txBox="1"/>
        </xdr:nvSpPr>
        <xdr:spPr>
          <a:xfrm>
            <a:off x="911671" y="16602075"/>
            <a:ext cx="248571" cy="355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/>
              <a:t>D</a:t>
            </a:r>
          </a:p>
        </xdr:txBody>
      </xdr:sp>
      <xdr:sp macro="" textlink="">
        <xdr:nvSpPr>
          <xdr:cNvPr id="158" name="Rounded Rectangle 157">
            <a:extLst>
              <a:ext uri="{FF2B5EF4-FFF2-40B4-BE49-F238E27FC236}">
                <a16:creationId xmlns:a16="http://schemas.microsoft.com/office/drawing/2014/main" id="{0AFA9652-6CB9-4B57-BA84-27D28B408CA8}"/>
              </a:ext>
            </a:extLst>
          </xdr:cNvPr>
          <xdr:cNvSpPr/>
        </xdr:nvSpPr>
        <xdr:spPr>
          <a:xfrm>
            <a:off x="334346" y="16448520"/>
            <a:ext cx="465068" cy="783936"/>
          </a:xfrm>
          <a:prstGeom prst="round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159" name="Oval 158">
            <a:extLst>
              <a:ext uri="{FF2B5EF4-FFF2-40B4-BE49-F238E27FC236}">
                <a16:creationId xmlns:a16="http://schemas.microsoft.com/office/drawing/2014/main" id="{3040A436-23AB-4B7C-91FE-D8672DBD2DC1}"/>
              </a:ext>
            </a:extLst>
          </xdr:cNvPr>
          <xdr:cNvSpPr/>
        </xdr:nvSpPr>
        <xdr:spPr>
          <a:xfrm>
            <a:off x="366420" y="16472766"/>
            <a:ext cx="80184" cy="8081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160" name="Oval 159">
            <a:extLst>
              <a:ext uri="{FF2B5EF4-FFF2-40B4-BE49-F238E27FC236}">
                <a16:creationId xmlns:a16="http://schemas.microsoft.com/office/drawing/2014/main" id="{5911EFE8-017F-4215-B81B-D503BA9E8B64}"/>
              </a:ext>
            </a:extLst>
          </xdr:cNvPr>
          <xdr:cNvSpPr/>
        </xdr:nvSpPr>
        <xdr:spPr>
          <a:xfrm>
            <a:off x="526788" y="16472766"/>
            <a:ext cx="72166" cy="8081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161" name="Oval 160">
            <a:extLst>
              <a:ext uri="{FF2B5EF4-FFF2-40B4-BE49-F238E27FC236}">
                <a16:creationId xmlns:a16="http://schemas.microsoft.com/office/drawing/2014/main" id="{77043BE3-971A-41B4-91C2-4A4A6153BF0F}"/>
              </a:ext>
            </a:extLst>
          </xdr:cNvPr>
          <xdr:cNvSpPr/>
        </xdr:nvSpPr>
        <xdr:spPr>
          <a:xfrm>
            <a:off x="679137" y="16480848"/>
            <a:ext cx="64147" cy="8081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162" name="Oval 161">
            <a:extLst>
              <a:ext uri="{FF2B5EF4-FFF2-40B4-BE49-F238E27FC236}">
                <a16:creationId xmlns:a16="http://schemas.microsoft.com/office/drawing/2014/main" id="{7CEE1DE3-4760-4D90-B946-9D7F2AB37986}"/>
              </a:ext>
            </a:extLst>
          </xdr:cNvPr>
          <xdr:cNvSpPr/>
        </xdr:nvSpPr>
        <xdr:spPr>
          <a:xfrm>
            <a:off x="703193" y="17135475"/>
            <a:ext cx="64147" cy="72736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163" name="Oval 162">
            <a:extLst>
              <a:ext uri="{FF2B5EF4-FFF2-40B4-BE49-F238E27FC236}">
                <a16:creationId xmlns:a16="http://schemas.microsoft.com/office/drawing/2014/main" id="{F10CCADA-15BB-44FA-8066-1FD9C005716E}"/>
              </a:ext>
            </a:extLst>
          </xdr:cNvPr>
          <xdr:cNvSpPr/>
        </xdr:nvSpPr>
        <xdr:spPr>
          <a:xfrm>
            <a:off x="366420" y="17135475"/>
            <a:ext cx="80184" cy="72736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</xdr:grpSp>
    <xdr:clientData/>
  </xdr:twoCellAnchor>
  <xdr:twoCellAnchor>
    <xdr:from>
      <xdr:col>0</xdr:col>
      <xdr:colOff>167640</xdr:colOff>
      <xdr:row>51</xdr:row>
      <xdr:rowOff>76200</xdr:rowOff>
    </xdr:from>
    <xdr:to>
      <xdr:col>3</xdr:col>
      <xdr:colOff>533400</xdr:colOff>
      <xdr:row>59</xdr:row>
      <xdr:rowOff>7620</xdr:rowOff>
    </xdr:to>
    <xdr:grpSp>
      <xdr:nvGrpSpPr>
        <xdr:cNvPr id="22085" name="Group 173">
          <a:extLst>
            <a:ext uri="{FF2B5EF4-FFF2-40B4-BE49-F238E27FC236}">
              <a16:creationId xmlns:a16="http://schemas.microsoft.com/office/drawing/2014/main" id="{A190CA37-D4F9-4D9B-AF27-8D2663B8B4FE}"/>
            </a:ext>
          </a:extLst>
        </xdr:cNvPr>
        <xdr:cNvGrpSpPr>
          <a:grpSpLocks/>
        </xdr:cNvGrpSpPr>
      </xdr:nvGrpSpPr>
      <xdr:grpSpPr bwMode="auto">
        <a:xfrm>
          <a:off x="167640" y="9464040"/>
          <a:ext cx="2286000" cy="1402080"/>
          <a:chOff x="190500" y="7086600"/>
          <a:chExt cx="3295650" cy="1466850"/>
        </a:xfrm>
      </xdr:grpSpPr>
      <xdr:sp macro="" textlink="">
        <xdr:nvSpPr>
          <xdr:cNvPr id="175" name="Cube 174">
            <a:extLst>
              <a:ext uri="{FF2B5EF4-FFF2-40B4-BE49-F238E27FC236}">
                <a16:creationId xmlns:a16="http://schemas.microsoft.com/office/drawing/2014/main" id="{843D251F-2094-4BF1-B055-6546B118B835}"/>
              </a:ext>
            </a:extLst>
          </xdr:cNvPr>
          <xdr:cNvSpPr/>
        </xdr:nvSpPr>
        <xdr:spPr>
          <a:xfrm>
            <a:off x="190500" y="7126460"/>
            <a:ext cx="2769261" cy="868949"/>
          </a:xfrm>
          <a:prstGeom prst="cube">
            <a:avLst>
              <a:gd name="adj" fmla="val 79944"/>
            </a:avLst>
          </a:prstGeom>
          <a:blipFill>
            <a:blip xmlns:r="http://schemas.openxmlformats.org/officeDocument/2006/relationships" r:embed="rId1"/>
            <a:tile tx="0" ty="0" sx="100000" sy="100000" flip="none" algn="tl"/>
          </a:blipFill>
          <a:ln w="3175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cxnSp macro="">
        <xdr:nvCxnSpPr>
          <xdr:cNvPr id="176" name="Straight Arrow Connector 175">
            <a:extLst>
              <a:ext uri="{FF2B5EF4-FFF2-40B4-BE49-F238E27FC236}">
                <a16:creationId xmlns:a16="http://schemas.microsoft.com/office/drawing/2014/main" id="{CE71294C-942A-438E-919E-CE8A81DD5C2C}"/>
              </a:ext>
            </a:extLst>
          </xdr:cNvPr>
          <xdr:cNvCxnSpPr/>
        </xdr:nvCxnSpPr>
        <xdr:spPr>
          <a:xfrm>
            <a:off x="3074194" y="7086600"/>
            <a:ext cx="0" cy="239160"/>
          </a:xfrm>
          <a:prstGeom prst="straightConnector1">
            <a:avLst/>
          </a:prstGeom>
          <a:ln>
            <a:solidFill>
              <a:sysClr val="windowText" lastClr="000000"/>
            </a:solidFill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79" name="TextBox 178">
            <a:extLst>
              <a:ext uri="{FF2B5EF4-FFF2-40B4-BE49-F238E27FC236}">
                <a16:creationId xmlns:a16="http://schemas.microsoft.com/office/drawing/2014/main" id="{23F767B5-353E-42F3-89D8-A47EDA15AB49}"/>
              </a:ext>
            </a:extLst>
          </xdr:cNvPr>
          <xdr:cNvSpPr txBox="1"/>
        </xdr:nvSpPr>
        <xdr:spPr>
          <a:xfrm>
            <a:off x="3165740" y="7110516"/>
            <a:ext cx="320410" cy="19132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/>
              <a:t>T</a:t>
            </a:r>
          </a:p>
        </xdr:txBody>
      </xdr:sp>
      <xdr:sp macro="" textlink="">
        <xdr:nvSpPr>
          <xdr:cNvPr id="180" name="TextBox 179">
            <a:extLst>
              <a:ext uri="{FF2B5EF4-FFF2-40B4-BE49-F238E27FC236}">
                <a16:creationId xmlns:a16="http://schemas.microsoft.com/office/drawing/2014/main" id="{D1EF3C23-3185-41CB-99FB-91FAE61BD1F7}"/>
              </a:ext>
            </a:extLst>
          </xdr:cNvPr>
          <xdr:cNvSpPr txBox="1"/>
        </xdr:nvSpPr>
        <xdr:spPr>
          <a:xfrm>
            <a:off x="796991" y="8051213"/>
            <a:ext cx="881129" cy="21524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/>
              <a:t>Area</a:t>
            </a:r>
          </a:p>
        </xdr:txBody>
      </xdr:sp>
      <xdr:sp macro="" textlink="">
        <xdr:nvSpPr>
          <xdr:cNvPr id="181" name="TextBox 180">
            <a:extLst>
              <a:ext uri="{FF2B5EF4-FFF2-40B4-BE49-F238E27FC236}">
                <a16:creationId xmlns:a16="http://schemas.microsoft.com/office/drawing/2014/main" id="{791F8768-A8BE-4C60-972A-4EA680BDD963}"/>
              </a:ext>
            </a:extLst>
          </xdr:cNvPr>
          <xdr:cNvSpPr txBox="1"/>
        </xdr:nvSpPr>
        <xdr:spPr>
          <a:xfrm>
            <a:off x="911423" y="8035269"/>
            <a:ext cx="686594" cy="51818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endParaRPr lang="en-US"/>
          </a:p>
        </xdr:txBody>
      </xdr:sp>
    </xdr:grpSp>
    <xdr:clientData/>
  </xdr:twoCellAnchor>
  <xdr:twoCellAnchor>
    <xdr:from>
      <xdr:col>0</xdr:col>
      <xdr:colOff>0</xdr:colOff>
      <xdr:row>112</xdr:row>
      <xdr:rowOff>38100</xdr:rowOff>
    </xdr:from>
    <xdr:to>
      <xdr:col>4</xdr:col>
      <xdr:colOff>175260</xdr:colOff>
      <xdr:row>123</xdr:row>
      <xdr:rowOff>83820</xdr:rowOff>
    </xdr:to>
    <xdr:grpSp>
      <xdr:nvGrpSpPr>
        <xdr:cNvPr id="22086" name="Group 216">
          <a:extLst>
            <a:ext uri="{FF2B5EF4-FFF2-40B4-BE49-F238E27FC236}">
              <a16:creationId xmlns:a16="http://schemas.microsoft.com/office/drawing/2014/main" id="{A629DDCE-A6F7-42DB-BD9D-A7B14F438599}"/>
            </a:ext>
          </a:extLst>
        </xdr:cNvPr>
        <xdr:cNvGrpSpPr>
          <a:grpSpLocks/>
        </xdr:cNvGrpSpPr>
      </xdr:nvGrpSpPr>
      <xdr:grpSpPr bwMode="auto">
        <a:xfrm>
          <a:off x="0" y="20650200"/>
          <a:ext cx="2735580" cy="2057400"/>
          <a:chOff x="209872" y="20553343"/>
          <a:chExt cx="3342953" cy="2640032"/>
        </a:xfrm>
      </xdr:grpSpPr>
      <xdr:grpSp>
        <xdr:nvGrpSpPr>
          <xdr:cNvPr id="22088" name="Group 194">
            <a:extLst>
              <a:ext uri="{FF2B5EF4-FFF2-40B4-BE49-F238E27FC236}">
                <a16:creationId xmlns:a16="http://schemas.microsoft.com/office/drawing/2014/main" id="{716CF96A-CDC1-4991-8A8F-05E3D78DBF51}"/>
              </a:ext>
            </a:extLst>
          </xdr:cNvPr>
          <xdr:cNvGrpSpPr>
            <a:grpSpLocks/>
          </xdr:cNvGrpSpPr>
        </xdr:nvGrpSpPr>
        <xdr:grpSpPr bwMode="auto">
          <a:xfrm>
            <a:off x="419099" y="20640676"/>
            <a:ext cx="3133726" cy="2095499"/>
            <a:chOff x="657224" y="20383501"/>
            <a:chExt cx="3133726" cy="2095499"/>
          </a:xfrm>
        </xdr:grpSpPr>
        <xdr:sp macro="" textlink="">
          <xdr:nvSpPr>
            <xdr:cNvPr id="190" name="Cube 189">
              <a:extLst>
                <a:ext uri="{FF2B5EF4-FFF2-40B4-BE49-F238E27FC236}">
                  <a16:creationId xmlns:a16="http://schemas.microsoft.com/office/drawing/2014/main" id="{0A703BE2-7EE7-485D-B5AF-B730B44BE1FA}"/>
                </a:ext>
              </a:extLst>
            </xdr:cNvPr>
            <xdr:cNvSpPr/>
          </xdr:nvSpPr>
          <xdr:spPr>
            <a:xfrm>
              <a:off x="662414" y="20374392"/>
              <a:ext cx="1169546" cy="938678"/>
            </a:xfrm>
            <a:prstGeom prst="cube">
              <a:avLst>
                <a:gd name="adj" fmla="val 55526"/>
              </a:avLst>
            </a:prstGeom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en-US"/>
            </a:p>
          </xdr:txBody>
        </xdr:sp>
        <xdr:sp macro="" textlink="">
          <xdr:nvSpPr>
            <xdr:cNvPr id="191" name="Cube 190">
              <a:extLst>
                <a:ext uri="{FF2B5EF4-FFF2-40B4-BE49-F238E27FC236}">
                  <a16:creationId xmlns:a16="http://schemas.microsoft.com/office/drawing/2014/main" id="{28FE7BCB-4505-4882-94F0-23960BA8E95A}"/>
                </a:ext>
              </a:extLst>
            </xdr:cNvPr>
            <xdr:cNvSpPr/>
          </xdr:nvSpPr>
          <xdr:spPr>
            <a:xfrm>
              <a:off x="1315411" y="20794841"/>
              <a:ext cx="1169546" cy="928900"/>
            </a:xfrm>
            <a:prstGeom prst="cube">
              <a:avLst>
                <a:gd name="adj" fmla="val 55526"/>
              </a:avLst>
            </a:prstGeom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en-US"/>
            </a:p>
          </xdr:txBody>
        </xdr:sp>
        <xdr:sp macro="" textlink="">
          <xdr:nvSpPr>
            <xdr:cNvPr id="183" name="Right Triangle 182">
              <a:extLst>
                <a:ext uri="{FF2B5EF4-FFF2-40B4-BE49-F238E27FC236}">
                  <a16:creationId xmlns:a16="http://schemas.microsoft.com/office/drawing/2014/main" id="{7503F70F-C177-4E07-B033-0C9566A50D14}"/>
                </a:ext>
              </a:extLst>
            </xdr:cNvPr>
            <xdr:cNvSpPr/>
          </xdr:nvSpPr>
          <xdr:spPr>
            <a:xfrm rot="10800000">
              <a:off x="652668" y="20921954"/>
              <a:ext cx="662743" cy="371560"/>
            </a:xfrm>
            <a:prstGeom prst="rtTriangle">
              <a:avLst/>
            </a:prstGeom>
            <a:blipFill>
              <a:blip xmlns:r="http://schemas.openxmlformats.org/officeDocument/2006/relationships" r:embed="rId1"/>
              <a:tile tx="0" ty="0" sx="100000" sy="100000" flip="none" algn="tl"/>
            </a:blip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en-US"/>
            </a:p>
          </xdr:txBody>
        </xdr:sp>
        <xdr:sp macro="" textlink="">
          <xdr:nvSpPr>
            <xdr:cNvPr id="186" name="Right Triangle 185">
              <a:extLst>
                <a:ext uri="{FF2B5EF4-FFF2-40B4-BE49-F238E27FC236}">
                  <a16:creationId xmlns:a16="http://schemas.microsoft.com/office/drawing/2014/main" id="{00AAA2F5-2135-4889-A35F-E9BB871089CC}"/>
                </a:ext>
              </a:extLst>
            </xdr:cNvPr>
            <xdr:cNvSpPr/>
          </xdr:nvSpPr>
          <xdr:spPr>
            <a:xfrm rot="10800000">
              <a:off x="1315411" y="21283736"/>
              <a:ext cx="662743" cy="391116"/>
            </a:xfrm>
            <a:prstGeom prst="rtTriangle">
              <a:avLst/>
            </a:prstGeom>
            <a:blipFill>
              <a:blip xmlns:r="http://schemas.openxmlformats.org/officeDocument/2006/relationships" r:embed="rId1"/>
              <a:tile tx="0" ty="0" sx="100000" sy="100000" flip="none" algn="tl"/>
            </a:blip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en-US"/>
            </a:p>
          </xdr:txBody>
        </xdr:sp>
        <xdr:sp macro="" textlink="">
          <xdr:nvSpPr>
            <xdr:cNvPr id="192" name="Cube 191">
              <a:extLst>
                <a:ext uri="{FF2B5EF4-FFF2-40B4-BE49-F238E27FC236}">
                  <a16:creationId xmlns:a16="http://schemas.microsoft.com/office/drawing/2014/main" id="{C7B53FBA-5B48-4836-9E23-2D654173B634}"/>
                </a:ext>
              </a:extLst>
            </xdr:cNvPr>
            <xdr:cNvSpPr/>
          </xdr:nvSpPr>
          <xdr:spPr>
            <a:xfrm>
              <a:off x="1958661" y="21166401"/>
              <a:ext cx="1169546" cy="928900"/>
            </a:xfrm>
            <a:prstGeom prst="cube">
              <a:avLst>
                <a:gd name="adj" fmla="val 55526"/>
              </a:avLst>
            </a:prstGeom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en-US"/>
            </a:p>
          </xdr:txBody>
        </xdr:sp>
        <xdr:sp macro="" textlink="">
          <xdr:nvSpPr>
            <xdr:cNvPr id="187" name="Right Triangle 186">
              <a:extLst>
                <a:ext uri="{FF2B5EF4-FFF2-40B4-BE49-F238E27FC236}">
                  <a16:creationId xmlns:a16="http://schemas.microsoft.com/office/drawing/2014/main" id="{9281F7B2-4293-4D28-B6B4-2E3534A35EAC}"/>
                </a:ext>
              </a:extLst>
            </xdr:cNvPr>
            <xdr:cNvSpPr/>
          </xdr:nvSpPr>
          <xdr:spPr>
            <a:xfrm rot="10800000">
              <a:off x="1958661" y="21674852"/>
              <a:ext cx="662743" cy="371560"/>
            </a:xfrm>
            <a:prstGeom prst="rtTriangle">
              <a:avLst/>
            </a:prstGeom>
            <a:blipFill>
              <a:blip xmlns:r="http://schemas.openxmlformats.org/officeDocument/2006/relationships" r:embed="rId1"/>
              <a:tile tx="0" ty="0" sx="100000" sy="100000" flip="none" algn="tl"/>
            </a:blip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en-US"/>
            </a:p>
          </xdr:txBody>
        </xdr:sp>
        <xdr:sp macro="" textlink="">
          <xdr:nvSpPr>
            <xdr:cNvPr id="193" name="Cube 192">
              <a:extLst>
                <a:ext uri="{FF2B5EF4-FFF2-40B4-BE49-F238E27FC236}">
                  <a16:creationId xmlns:a16="http://schemas.microsoft.com/office/drawing/2014/main" id="{1DB41015-E7FF-4934-A7C9-304DFE256B78}"/>
                </a:ext>
              </a:extLst>
            </xdr:cNvPr>
            <xdr:cNvSpPr/>
          </xdr:nvSpPr>
          <xdr:spPr>
            <a:xfrm>
              <a:off x="2621404" y="21537961"/>
              <a:ext cx="1169546" cy="938678"/>
            </a:xfrm>
            <a:prstGeom prst="cube">
              <a:avLst>
                <a:gd name="adj" fmla="val 55526"/>
              </a:avLst>
            </a:prstGeom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en-US"/>
            </a:p>
          </xdr:txBody>
        </xdr:sp>
        <xdr:sp macro="" textlink="">
          <xdr:nvSpPr>
            <xdr:cNvPr id="188" name="Right Triangle 187">
              <a:extLst>
                <a:ext uri="{FF2B5EF4-FFF2-40B4-BE49-F238E27FC236}">
                  <a16:creationId xmlns:a16="http://schemas.microsoft.com/office/drawing/2014/main" id="{082D6C0D-C83E-46C2-BDF7-0949EC9304A1}"/>
                </a:ext>
              </a:extLst>
            </xdr:cNvPr>
            <xdr:cNvSpPr/>
          </xdr:nvSpPr>
          <xdr:spPr>
            <a:xfrm rot="10800000">
              <a:off x="2631150" y="22046412"/>
              <a:ext cx="662743" cy="381338"/>
            </a:xfrm>
            <a:prstGeom prst="rtTriangle">
              <a:avLst/>
            </a:prstGeom>
            <a:blipFill>
              <a:blip xmlns:r="http://schemas.openxmlformats.org/officeDocument/2006/relationships" r:embed="rId1"/>
              <a:tile tx="0" ty="0" sx="100000" sy="100000" flip="none" algn="tl"/>
            </a:blip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en-US"/>
            </a:p>
          </xdr:txBody>
        </xdr:sp>
        <xdr:sp macro="" textlink="">
          <xdr:nvSpPr>
            <xdr:cNvPr id="194" name="Diagonal Stripe 193">
              <a:extLst>
                <a:ext uri="{FF2B5EF4-FFF2-40B4-BE49-F238E27FC236}">
                  <a16:creationId xmlns:a16="http://schemas.microsoft.com/office/drawing/2014/main" id="{772114E8-86C3-4529-A395-DF07030B0A03}"/>
                </a:ext>
              </a:extLst>
            </xdr:cNvPr>
            <xdr:cNvSpPr/>
          </xdr:nvSpPr>
          <xdr:spPr>
            <a:xfrm rot="16200000">
              <a:off x="1244685" y="20359176"/>
              <a:ext cx="1544907" cy="2670463"/>
            </a:xfrm>
            <a:prstGeom prst="diagStripe">
              <a:avLst>
                <a:gd name="adj" fmla="val 72826"/>
              </a:avLst>
            </a:prstGeom>
            <a:blipFill>
              <a:blip xmlns:r="http://schemas.openxmlformats.org/officeDocument/2006/relationships" r:embed="rId1"/>
              <a:tile tx="0" ty="0" sx="100000" sy="100000" flip="none" algn="tl"/>
            </a:blip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en-US"/>
            </a:p>
          </xdr:txBody>
        </xdr:sp>
      </xdr:grpSp>
      <xdr:cxnSp macro="">
        <xdr:nvCxnSpPr>
          <xdr:cNvPr id="197" name="Straight Connector 196">
            <a:extLst>
              <a:ext uri="{FF2B5EF4-FFF2-40B4-BE49-F238E27FC236}">
                <a16:creationId xmlns:a16="http://schemas.microsoft.com/office/drawing/2014/main" id="{CF4C52CF-DB7D-4846-BF6B-BB85ED975398}"/>
              </a:ext>
            </a:extLst>
          </xdr:cNvPr>
          <xdr:cNvCxnSpPr/>
        </xdr:nvCxnSpPr>
        <xdr:spPr>
          <a:xfrm>
            <a:off x="3016783" y="22694702"/>
            <a:ext cx="438580" cy="23467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9" name="Straight Connector 198">
            <a:extLst>
              <a:ext uri="{FF2B5EF4-FFF2-40B4-BE49-F238E27FC236}">
                <a16:creationId xmlns:a16="http://schemas.microsoft.com/office/drawing/2014/main" id="{59D35EFC-BE7D-4C26-A17A-9A2B2D9AA293}"/>
              </a:ext>
            </a:extLst>
          </xdr:cNvPr>
          <xdr:cNvCxnSpPr/>
        </xdr:nvCxnSpPr>
        <xdr:spPr>
          <a:xfrm>
            <a:off x="2402771" y="22733814"/>
            <a:ext cx="799190" cy="459561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1" name="Straight Arrow Connector 200">
            <a:extLst>
              <a:ext uri="{FF2B5EF4-FFF2-40B4-BE49-F238E27FC236}">
                <a16:creationId xmlns:a16="http://schemas.microsoft.com/office/drawing/2014/main" id="{5C7C24F1-B6DB-468A-89C2-A78284A60D36}"/>
              </a:ext>
            </a:extLst>
          </xdr:cNvPr>
          <xdr:cNvCxnSpPr/>
        </xdr:nvCxnSpPr>
        <xdr:spPr>
          <a:xfrm flipV="1">
            <a:off x="3065514" y="22851149"/>
            <a:ext cx="233909" cy="273781"/>
          </a:xfrm>
          <a:prstGeom prst="straightConnector1">
            <a:avLst/>
          </a:prstGeom>
          <a:ln>
            <a:solidFill>
              <a:sysClr val="windowText" lastClr="000000"/>
            </a:solidFill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8" name="Straight Arrow Connector 207">
            <a:extLst>
              <a:ext uri="{FF2B5EF4-FFF2-40B4-BE49-F238E27FC236}">
                <a16:creationId xmlns:a16="http://schemas.microsoft.com/office/drawing/2014/main" id="{CD34A78E-276B-4072-AD54-1DEFFD13CB07}"/>
              </a:ext>
            </a:extLst>
          </xdr:cNvPr>
          <xdr:cNvCxnSpPr/>
        </xdr:nvCxnSpPr>
        <xdr:spPr>
          <a:xfrm flipH="1">
            <a:off x="278096" y="20612010"/>
            <a:ext cx="516550" cy="567118"/>
          </a:xfrm>
          <a:prstGeom prst="straightConnector1">
            <a:avLst/>
          </a:prstGeom>
          <a:ln>
            <a:solidFill>
              <a:sysClr val="windowText" lastClr="000000"/>
            </a:solidFill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0" name="Straight Arrow Connector 209">
            <a:extLst>
              <a:ext uri="{FF2B5EF4-FFF2-40B4-BE49-F238E27FC236}">
                <a16:creationId xmlns:a16="http://schemas.microsoft.com/office/drawing/2014/main" id="{645C6D52-8C0C-46D3-A748-0B9E90E42E5B}"/>
              </a:ext>
            </a:extLst>
          </xdr:cNvPr>
          <xdr:cNvCxnSpPr>
            <a:stCxn id="190" idx="5"/>
          </xdr:cNvCxnSpPr>
        </xdr:nvCxnSpPr>
        <xdr:spPr>
          <a:xfrm>
            <a:off x="1603581" y="20846680"/>
            <a:ext cx="672489" cy="0"/>
          </a:xfrm>
          <a:prstGeom prst="straightConnector1">
            <a:avLst/>
          </a:prstGeom>
          <a:ln>
            <a:solidFill>
              <a:sysClr val="windowText" lastClr="000000"/>
            </a:solidFill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2" name="Straight Arrow Connector 211">
            <a:extLst>
              <a:ext uri="{FF2B5EF4-FFF2-40B4-BE49-F238E27FC236}">
                <a16:creationId xmlns:a16="http://schemas.microsoft.com/office/drawing/2014/main" id="{ECC3F776-3B09-4046-ACDD-694A03721D06}"/>
              </a:ext>
            </a:extLst>
          </xdr:cNvPr>
          <xdr:cNvCxnSpPr>
            <a:stCxn id="192" idx="0"/>
          </xdr:cNvCxnSpPr>
        </xdr:nvCxnSpPr>
        <xdr:spPr>
          <a:xfrm flipV="1">
            <a:off x="2568457" y="21052016"/>
            <a:ext cx="9746" cy="371560"/>
          </a:xfrm>
          <a:prstGeom prst="straightConnector1">
            <a:avLst/>
          </a:prstGeom>
          <a:ln>
            <a:solidFill>
              <a:sysClr val="windowText" lastClr="000000"/>
            </a:solidFill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13" name="TextBox 212">
            <a:extLst>
              <a:ext uri="{FF2B5EF4-FFF2-40B4-BE49-F238E27FC236}">
                <a16:creationId xmlns:a16="http://schemas.microsoft.com/office/drawing/2014/main" id="{BFD97B1C-288F-4971-AC4E-18DB0749331B}"/>
              </a:ext>
            </a:extLst>
          </xdr:cNvPr>
          <xdr:cNvSpPr txBox="1"/>
        </xdr:nvSpPr>
        <xdr:spPr>
          <a:xfrm>
            <a:off x="209872" y="20670678"/>
            <a:ext cx="311879" cy="33244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n-US" sz="1100"/>
              <a:t>W</a:t>
            </a:r>
          </a:p>
        </xdr:txBody>
      </xdr:sp>
      <xdr:sp macro="" textlink="">
        <xdr:nvSpPr>
          <xdr:cNvPr id="214" name="TextBox 213">
            <a:extLst>
              <a:ext uri="{FF2B5EF4-FFF2-40B4-BE49-F238E27FC236}">
                <a16:creationId xmlns:a16="http://schemas.microsoft.com/office/drawing/2014/main" id="{13879593-D885-464D-BB6D-4E7E458C9EE1}"/>
              </a:ext>
            </a:extLst>
          </xdr:cNvPr>
          <xdr:cNvSpPr txBox="1"/>
        </xdr:nvSpPr>
        <xdr:spPr>
          <a:xfrm>
            <a:off x="2578203" y="21091127"/>
            <a:ext cx="428834" cy="33244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/>
              <a:t>R</a:t>
            </a:r>
            <a:r>
              <a:rPr lang="en-US" sz="800"/>
              <a:t>H</a:t>
            </a:r>
          </a:p>
        </xdr:txBody>
      </xdr:sp>
      <xdr:sp macro="" textlink="">
        <xdr:nvSpPr>
          <xdr:cNvPr id="215" name="TextBox 214">
            <a:extLst>
              <a:ext uri="{FF2B5EF4-FFF2-40B4-BE49-F238E27FC236}">
                <a16:creationId xmlns:a16="http://schemas.microsoft.com/office/drawing/2014/main" id="{4D8934B5-5B55-4AA6-A978-362AE77BC980}"/>
              </a:ext>
            </a:extLst>
          </xdr:cNvPr>
          <xdr:cNvSpPr txBox="1"/>
        </xdr:nvSpPr>
        <xdr:spPr>
          <a:xfrm>
            <a:off x="1798506" y="20553343"/>
            <a:ext cx="399595" cy="3422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/>
              <a:t>T</a:t>
            </a:r>
            <a:r>
              <a:rPr lang="en-US" sz="800"/>
              <a:t>R</a:t>
            </a:r>
          </a:p>
        </xdr:txBody>
      </xdr:sp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ECFE345E-69E3-40E8-8BC0-B3170FDCBE2B}"/>
              </a:ext>
            </a:extLst>
          </xdr:cNvPr>
          <xdr:cNvSpPr txBox="1"/>
        </xdr:nvSpPr>
        <xdr:spPr>
          <a:xfrm>
            <a:off x="2812112" y="22743592"/>
            <a:ext cx="419087" cy="33244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/>
              <a:t>T</a:t>
            </a:r>
            <a:r>
              <a:rPr lang="en-US" sz="800"/>
              <a:t>S</a:t>
            </a:r>
          </a:p>
        </xdr:txBody>
      </xdr:sp>
    </xdr:grpSp>
    <xdr:clientData/>
  </xdr:twoCellAnchor>
  <xdr:twoCellAnchor editAs="oneCell">
    <xdr:from>
      <xdr:col>3</xdr:col>
      <xdr:colOff>0</xdr:colOff>
      <xdr:row>126</xdr:row>
      <xdr:rowOff>0</xdr:rowOff>
    </xdr:from>
    <xdr:to>
      <xdr:col>3</xdr:col>
      <xdr:colOff>304800</xdr:colOff>
      <xdr:row>127</xdr:row>
      <xdr:rowOff>106680</xdr:rowOff>
    </xdr:to>
    <xdr:sp macro="" textlink="">
      <xdr:nvSpPr>
        <xdr:cNvPr id="22087" name="AutoShape 2" descr="data:image/jpeg;base64,/9j/4AAQSkZJRgABAQAAAQABAAD/2wCEAAkGBwgHBgkIBwgKCgkLDRYPDQwMDRsUFRAWIB0iIiAdHx8kKDQsJCYxJx8fLT0tMTU3Ojo6Iys/RD84QzQ5OjcBCgoKDQwNGg8PGjclHyU3Nzc3Nzc3Nzc3Nzc3Nzc3Nzc3Nzc3Nzc3Nzc3Nzc3Nzc3Nzc3Nzc3Nzc3Nzc3Nzc3N//AABEIAMoAYAMBIgACEQEDEQH/xAAaAAADAQEBAQAAAAAAAAAAAAACAwQBBQAG/8QASRAAAQMCAgQICQgJAwUAAAAAAQACAwQREiExQVFhBRMUIjJxscEjMzRCcnOBkdEkUmKCkpOy8BVUg5Shs8PS4UNTYwZERVVk/8QAGQEBAQEAAwAAAAAAAAAAAAAAAQACAwUG/8QAHREBAQEAAwADAQAAAAAAAAAAAAERITFBAhJRYf/aAAwDAQACEQMRAD8A+lquEZ6WURSvkL8Id4OnLhY/WSjwxN/9R6qR39y6T/Kj6ARvLWtBc8NB1k7l5123DljhecjJtZ+6O/uQO4Xq781tZ+7O+K6zZ4AM5o/a4LeUU/8AuxfaCjx+OP8ApetPmVv7u74rDwnWHMxV33JC7HK6Uf68P2wjZJHIMUb2uG1pupbPxwxwjWaoq77tFy+tOmKt+wutLUQQuwyzMYTqc6yA1tL+sw/bClrnCtq/OhryeofBeNdU/q9f/D4K811L+sQ/bC9y2mJ8oi+2FaHOdW1ejktd7Q34K3g4S1EbpZeNja02wPtc2tsA2qpzrI4bcU8/SPaEpzXvd+n5W4nYRTx2bq0vVsrGSx4JAHNNrgqR0NuF5J8XShY22yxd8VWbENG8IvaDFwfQ4vJY75AmyPkFCTc0kP2U5p5wyy0oJL5AEjC659ykhjpqQTytFPEALi2FW4GxNa1jQ1thYDVpUuQqZrbT2qyfItt80d6DSxDFLITLGx9mi2Jt9qyaCmDS0U0O3oBHCec70fihqTbER826r0p2mZS0r52B0EYuCRZuSaykpeUsAgiFnfNCGncDLERmMJsVREQalu25TKayQ5X3leh8RJ6R7kMpy9qlPCEcMvJpA4OkccLrZaBkpnNHIflf1B3ppGg7+5Ty+V/UHamAkWII6iDsWWlHHRtdYvYDbPnDJCZ4sb/CxnInpBCycsJIhjJJucj8UfKXaTFFci2hWjEPHwsq5fCsJJOQO9dGY3aw68A70hxDiXiKEOOk4f8AK17pX2uWNAFgGhRrGzNjdzza4t2pdTURl1mvBbY3O5EwOaTfAb7W3RmV+Y5lvQCryomgmiY5hacmtI0KinkZJVMwuBs660SvAIGDqwBYJntsQGgjPoBMQpTckb1MYw5j5SASyU2OzmhGXXuTpuvUxvBUetP4AoEzH5YPVrJzIYrQvDHk5OIvZDMflY9WjPRas1qA5JXFl+XMH7ILRQ1uk8INt6oKwm0RO5Fi5g60jXO5PVOlMX6RAcP+MJ/Fy07WtfO6VxF8RAG3/C0wtdWNmFw4AgkHSLJtZk5no96Ckljnmc0R1LorDOzQboTQ1f8A7E/dhPjPP9hTbkuAH5yTAkFBUn/yJ+6CDkNSHtBr3EFwGUTVcx4cMljnWcw/Tb2p1Ak5pc0aitpfEVPrXfywlzO57zvW0hvT1OdvCn+WFIibysegO5N1BKnNqlnq/gmXyWfSqefAm+xY5w4nJDMb0ztzUBygKqIYDnf86F6sNuKP0e9YzNt0NabmEfR71eEuN3PCAVcc4kZTzNLmuLH4Tm0jSiiPhR1JHI4Y611UyMNlezC5w87NUSqnbxbAy5OFtiTr0JXCBk5K8wC8ulo36v4rZpeJhc8C5tkNuhBRTiqp45sJAc4D3FS/rGF4iYJb4w0Yr7bZp1FzqeoB1zf0wk1BPGu60yiygqPW/wBMJVJqvKI/VnuTbgNN9nelVJ+Ux+rPcie4CIk6LZ+9FUUve11OXNzGHShefAuCxpdZzSG8WGNtbWc79ynmmljkLHR3hkFmvaM2utfPcjwxXAfArKs82Lq70EJIp7jNeqjeOLq7yjwegY8MeHHYUbnXYHbkunznz2WRzGw96YWtzaLrOKY8RRjmta9psMtBup6ZkjJXudM57H5hjrWYdyppz4VvWEomoN6h/pHtTqOxgqbj/Vd/LappXXc47HHtT6E3gnv/ALx/AEwVFWTsZwhBDnjfA5wyyyLR3qmZnGwOZci40g56VzuEbnhmksDbk8gvq0tXTiGLC29rm11fKZih3mbi1C/xB6k51M12C1S5trhw4vT1ZLzqaMsc3lZFxbxf+EeLeU8J8AfasnPgoCdYPaU40YETmsrOdbK8Rt2JL4JG09PG6Rkz2A43MaWgm99BWcuHYGE+GainOXvWwQ2feR/FgDZcpj6aF/8A3jx+zTAWzSEcPSZ1jtRCmgaBesf90UE01DRFr5at9rF3izoC1JaNSSEDjdziE+i8TPs44/gC+erP+pKCFrpGl7w551Wy0613+D5GyUkz2aHSEjLbGE/W/GcrSasDjYrG+R/P8E2DN7LbVPWECWJt8yTl70TXv4sFjsJyIIWL206pFhdxaAllzdRPsCgPGE2fVy56BhC9xL7+VS6dgVoxfe/zl42OgOURieHkcrl+yE1uNgHhHuJuQXa0jFGZ1O96wuAOeL3qGqdLijwzyMyzw60EzHh9m1c9rbkacXGUX88qeqYJsJvIHDQkOhcJcJqprZC9giNOeNA5RKQSBmQrVj5nh+KsgdAaSkbVAyEuxtxAEaBu619NwSXcRUOcLEyaNhwBBIwEOBFxj706haGU87joMhN9nNC5PtswZzpNaAZI3WFwSAfaUcfQPtS6w9DcfivRmwtqXHe2jpRfi7ZZXuj87rsluJLGW1AIyeeesLKGcnkIpCGiG+9A4866ypN44rX0HuWkVUG8jBtKN8eAgXubJUnTj033pjvGHrCE9L0t+EI4/HNH0gudwlJVx11KIW4oH2bLlct39S6MeU0fX3pJEps93plNo+fRyBwuC91x7AkSZud6RVHB/krt8ju5MZqeq6DdxQsIRVfih1/BAzNF7MNklEZaDocLBNf0kL24mN5oJAyuF52n2BCG7NLqMTIGG5OHXuFijGd/YsqyOJjJ3336FJPfEWuGguVDtJI02HckODWmMN6OpOflj6h2KRTZoagu4qRr8DsDsJ0OBzCe13yhnpA9iVIWiQnIYnD2m6xkjv0gIywhgtzydJ2JTHHMn6RVHB+VN9d3aFIXZdZVfB+cFv8Akd+IJgqer8SPS7gls1jcsqZfAje4LIyb+9FSiV7QIWucBjNmgnSbaEMUvHAPDHMboAcLErZbGKPFqJRynR6KKRtIS6sXgb1O7ENRNxMZfgc+1ua3SgjqY6iCORhOTyCDpByySg2wmMbgc1Q7zidGXYlVB8OOtNOYIIvkMkIqrYyWVuNoOFwcNxByKbEMVU2/z+whKJc6TnMw55XTYPKWemVJLLe461dRc2nb6TvxKOTzPSVVMfkzN7n/AIlqCubVyCno3TPvhDg3IaybJ0ekKXhe8nBEoY0ucHtNh6SfCcgNyrJkq1TIC+NjQCbHO2pFMejkdGxWR1MrGNaMNgNGEI+VPcOkB9UKwahxi9s8xsQ1DWshBaACXEkjWbD4K4VE40OafqhBUvdOAJxe2jIBWHXPkddzSdqoBGLQdA7U6EmFxdCSHHSck7l9TrnfluCpBrn1D8MheGONraAjo7yzRvY12Ekm9lVyqe9xM7FtsvOrKmx8O/3ow65svmdapprmkjt85/4io5NEfWrKO/JowNbj+IpivTlQy46WUFHA+5U1P4mXqKOn6QVU7bHAtFzfJbh5uTdetIYThZmeiE8LTNEAADfnFDY6gPeik6PsQszbnn1oQrO/JWWdtCMgbFikDrLfcvHBbOxKNYVJz3DmNOxXUVjTQnaO8lQP8WrqHyWDq+Kjen//2Q==">
          <a:extLst>
            <a:ext uri="{FF2B5EF4-FFF2-40B4-BE49-F238E27FC236}">
              <a16:creationId xmlns:a16="http://schemas.microsoft.com/office/drawing/2014/main" id="{7C6ED305-EB41-4F97-A58F-3D95FE6071CC}"/>
            </a:ext>
          </a:extLst>
        </xdr:cNvPr>
        <xdr:cNvSpPr>
          <a:spLocks noChangeAspect="1" noChangeArrowheads="1"/>
        </xdr:cNvSpPr>
      </xdr:nvSpPr>
      <xdr:spPr bwMode="auto">
        <a:xfrm>
          <a:off x="1828800" y="23180040"/>
          <a:ext cx="30480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144780</xdr:colOff>
      <xdr:row>4</xdr:row>
      <xdr:rowOff>99060</xdr:rowOff>
    </xdr:from>
    <xdr:to>
      <xdr:col>3</xdr:col>
      <xdr:colOff>563880</xdr:colOff>
      <xdr:row>12</xdr:row>
      <xdr:rowOff>137160</xdr:rowOff>
    </xdr:to>
    <xdr:grpSp>
      <xdr:nvGrpSpPr>
        <xdr:cNvPr id="4035" name="Group 9">
          <a:extLst>
            <a:ext uri="{FF2B5EF4-FFF2-40B4-BE49-F238E27FC236}">
              <a16:creationId xmlns:a16="http://schemas.microsoft.com/office/drawing/2014/main" id="{8BD1CA15-BDF7-4B0F-9A48-6E8EF147F87B}"/>
            </a:ext>
          </a:extLst>
        </xdr:cNvPr>
        <xdr:cNvGrpSpPr>
          <a:grpSpLocks/>
        </xdr:cNvGrpSpPr>
      </xdr:nvGrpSpPr>
      <xdr:grpSpPr bwMode="auto">
        <a:xfrm>
          <a:off x="144780" y="838200"/>
          <a:ext cx="2339340" cy="1501140"/>
          <a:chOff x="38100" y="695325"/>
          <a:chExt cx="2390775" cy="1562101"/>
        </a:xfrm>
      </xdr:grpSpPr>
      <xdr:sp macro="" textlink="">
        <xdr:nvSpPr>
          <xdr:cNvPr id="7" name="Cube 6">
            <a:extLst>
              <a:ext uri="{FF2B5EF4-FFF2-40B4-BE49-F238E27FC236}">
                <a16:creationId xmlns:a16="http://schemas.microsoft.com/office/drawing/2014/main" id="{7D305F38-C2F3-49EB-A699-E90027E9AAA8}"/>
              </a:ext>
            </a:extLst>
          </xdr:cNvPr>
          <xdr:cNvSpPr/>
        </xdr:nvSpPr>
        <xdr:spPr>
          <a:xfrm>
            <a:off x="38100" y="695325"/>
            <a:ext cx="2390775" cy="1554172"/>
          </a:xfrm>
          <a:prstGeom prst="cube">
            <a:avLst>
              <a:gd name="adj" fmla="val 4401"/>
            </a:avLst>
          </a:prstGeom>
          <a:blipFill>
            <a:blip xmlns:r="http://schemas.openxmlformats.org/officeDocument/2006/relationships" r:embed="rId1"/>
            <a:tile tx="0" ty="0" sx="100000" sy="100000" flip="none" algn="tl"/>
          </a:blip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pic>
        <xdr:nvPicPr>
          <xdr:cNvPr id="4070" name="Picture 7" descr="C:\Users\RONALDJOHN\Desktop\index.jpg">
            <a:extLst>
              <a:ext uri="{FF2B5EF4-FFF2-40B4-BE49-F238E27FC236}">
                <a16:creationId xmlns:a16="http://schemas.microsoft.com/office/drawing/2014/main" id="{C8C69396-C60F-4191-B2B3-99A2CE92A1A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00023" y="1019176"/>
            <a:ext cx="657225" cy="123825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4071" name="Picture 8">
            <a:extLst>
              <a:ext uri="{FF2B5EF4-FFF2-40B4-BE49-F238E27FC236}">
                <a16:creationId xmlns:a16="http://schemas.microsoft.com/office/drawing/2014/main" id="{15B35581-76A5-479D-8938-CEBD1508559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04900" y="1066799"/>
            <a:ext cx="1009650" cy="6191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 editAs="oneCell">
    <xdr:from>
      <xdr:col>0</xdr:col>
      <xdr:colOff>129540</xdr:colOff>
      <xdr:row>13</xdr:row>
      <xdr:rowOff>45720</xdr:rowOff>
    </xdr:from>
    <xdr:to>
      <xdr:col>3</xdr:col>
      <xdr:colOff>403860</xdr:colOff>
      <xdr:row>20</xdr:row>
      <xdr:rowOff>167640</xdr:rowOff>
    </xdr:to>
    <xdr:pic>
      <xdr:nvPicPr>
        <xdr:cNvPr id="4036" name="Picture 12" descr="C:\Users\RONALDJOHN\Desktop\chbmortar.jpg">
          <a:extLst>
            <a:ext uri="{FF2B5EF4-FFF2-40B4-BE49-F238E27FC236}">
              <a16:creationId xmlns:a16="http://schemas.microsoft.com/office/drawing/2014/main" id="{7CE3222F-B7C7-4FB4-A291-0AFD521AE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540" y="2430780"/>
          <a:ext cx="2103120" cy="1402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129540</xdr:colOff>
      <xdr:row>21</xdr:row>
      <xdr:rowOff>38100</xdr:rowOff>
    </xdr:from>
    <xdr:to>
      <xdr:col>3</xdr:col>
      <xdr:colOff>403860</xdr:colOff>
      <xdr:row>28</xdr:row>
      <xdr:rowOff>121920</xdr:rowOff>
    </xdr:to>
    <xdr:pic>
      <xdr:nvPicPr>
        <xdr:cNvPr id="4037" name="Picture 13" descr="C:\Users\RONALDJOHN\Desktop\hjghjghj.jpg">
          <a:extLst>
            <a:ext uri="{FF2B5EF4-FFF2-40B4-BE49-F238E27FC236}">
              <a16:creationId xmlns:a16="http://schemas.microsoft.com/office/drawing/2014/main" id="{2D2B657E-D341-4F56-A6BE-E6585467C8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540" y="3886200"/>
          <a:ext cx="2103120" cy="1363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137160</xdr:colOff>
      <xdr:row>31</xdr:row>
      <xdr:rowOff>129540</xdr:rowOff>
    </xdr:from>
    <xdr:to>
      <xdr:col>3</xdr:col>
      <xdr:colOff>632460</xdr:colOff>
      <xdr:row>44</xdr:row>
      <xdr:rowOff>76200</xdr:rowOff>
    </xdr:to>
    <xdr:grpSp>
      <xdr:nvGrpSpPr>
        <xdr:cNvPr id="4038" name="Group 36">
          <a:extLst>
            <a:ext uri="{FF2B5EF4-FFF2-40B4-BE49-F238E27FC236}">
              <a16:creationId xmlns:a16="http://schemas.microsoft.com/office/drawing/2014/main" id="{436D7167-3BBC-489E-A166-F42F1CAB386B}"/>
            </a:ext>
          </a:extLst>
        </xdr:cNvPr>
        <xdr:cNvGrpSpPr>
          <a:grpSpLocks/>
        </xdr:cNvGrpSpPr>
      </xdr:nvGrpSpPr>
      <xdr:grpSpPr bwMode="auto">
        <a:xfrm>
          <a:off x="137160" y="5814060"/>
          <a:ext cx="2415540" cy="2331720"/>
          <a:chOff x="180975" y="6057900"/>
          <a:chExt cx="2686050" cy="2543175"/>
        </a:xfrm>
      </xdr:grpSpPr>
      <xdr:sp macro="" textlink="">
        <xdr:nvSpPr>
          <xdr:cNvPr id="6" name="Rounded Rectangle 5">
            <a:extLst>
              <a:ext uri="{FF2B5EF4-FFF2-40B4-BE49-F238E27FC236}">
                <a16:creationId xmlns:a16="http://schemas.microsoft.com/office/drawing/2014/main" id="{2F9BCCBD-C1E7-4B4C-A6F5-414B4241C6F9}"/>
              </a:ext>
            </a:extLst>
          </xdr:cNvPr>
          <xdr:cNvSpPr/>
        </xdr:nvSpPr>
        <xdr:spPr>
          <a:xfrm>
            <a:off x="1470635" y="6057900"/>
            <a:ext cx="355768" cy="216087"/>
          </a:xfrm>
          <a:prstGeom prst="roundRect">
            <a:avLst/>
          </a:prstGeom>
          <a:blipFill>
            <a:blip xmlns:r="http://schemas.openxmlformats.org/officeDocument/2006/relationships" r:embed="rId6"/>
            <a:tile tx="0" ty="0" sx="100000" sy="100000" flip="none" algn="tl"/>
          </a:blipFill>
          <a:ln w="3175"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15" name="Rounded Rectangle 14">
            <a:extLst>
              <a:ext uri="{FF2B5EF4-FFF2-40B4-BE49-F238E27FC236}">
                <a16:creationId xmlns:a16="http://schemas.microsoft.com/office/drawing/2014/main" id="{D80556C6-F8FD-4016-AD10-43A8FE083F3D}"/>
              </a:ext>
            </a:extLst>
          </xdr:cNvPr>
          <xdr:cNvSpPr/>
        </xdr:nvSpPr>
        <xdr:spPr>
          <a:xfrm>
            <a:off x="1372799" y="6298920"/>
            <a:ext cx="293509" cy="224398"/>
          </a:xfrm>
          <a:prstGeom prst="roundRect">
            <a:avLst/>
          </a:prstGeom>
          <a:blipFill>
            <a:blip xmlns:r="http://schemas.openxmlformats.org/officeDocument/2006/relationships" r:embed="rId6"/>
            <a:tile tx="0" ty="0" sx="100000" sy="100000" flip="none" algn="tl"/>
          </a:blipFill>
          <a:ln w="3175"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16" name="Rounded Rectangle 15">
            <a:extLst>
              <a:ext uri="{FF2B5EF4-FFF2-40B4-BE49-F238E27FC236}">
                <a16:creationId xmlns:a16="http://schemas.microsoft.com/office/drawing/2014/main" id="{43C6FC42-E7CF-4BCB-A1AE-C1209486E414}"/>
              </a:ext>
            </a:extLst>
          </xdr:cNvPr>
          <xdr:cNvSpPr/>
        </xdr:nvSpPr>
        <xdr:spPr>
          <a:xfrm>
            <a:off x="1692990" y="6290609"/>
            <a:ext cx="462499" cy="249331"/>
          </a:xfrm>
          <a:prstGeom prst="roundRect">
            <a:avLst/>
          </a:prstGeom>
          <a:blipFill>
            <a:blip xmlns:r="http://schemas.openxmlformats.org/officeDocument/2006/relationships" r:embed="rId7"/>
            <a:tile tx="0" ty="0" sx="100000" sy="100000" flip="none" algn="tl"/>
          </a:blipFill>
          <a:ln w="3175"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18" name="Rounded Rectangle 17">
            <a:extLst>
              <a:ext uri="{FF2B5EF4-FFF2-40B4-BE49-F238E27FC236}">
                <a16:creationId xmlns:a16="http://schemas.microsoft.com/office/drawing/2014/main" id="{28C00AD1-211B-475B-BF49-02538B835585}"/>
              </a:ext>
            </a:extLst>
          </xdr:cNvPr>
          <xdr:cNvSpPr/>
        </xdr:nvSpPr>
        <xdr:spPr>
          <a:xfrm>
            <a:off x="1826403" y="6066211"/>
            <a:ext cx="329086" cy="207776"/>
          </a:xfrm>
          <a:prstGeom prst="roundRect">
            <a:avLst/>
          </a:prstGeom>
          <a:blipFill>
            <a:blip xmlns:r="http://schemas.openxmlformats.org/officeDocument/2006/relationships" r:embed="rId6"/>
            <a:tile tx="0" ty="0" sx="100000" sy="100000" flip="none" algn="tl"/>
          </a:blipFill>
          <a:ln w="3175"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19" name="Rounded Rectangle 18">
            <a:extLst>
              <a:ext uri="{FF2B5EF4-FFF2-40B4-BE49-F238E27FC236}">
                <a16:creationId xmlns:a16="http://schemas.microsoft.com/office/drawing/2014/main" id="{BAD472BD-0565-4CB2-9BD4-55B8B14D6225}"/>
              </a:ext>
            </a:extLst>
          </xdr:cNvPr>
          <xdr:cNvSpPr/>
        </xdr:nvSpPr>
        <xdr:spPr>
          <a:xfrm>
            <a:off x="1266068" y="6548251"/>
            <a:ext cx="471393" cy="241020"/>
          </a:xfrm>
          <a:prstGeom prst="roundRect">
            <a:avLst/>
          </a:prstGeom>
          <a:blipFill>
            <a:blip xmlns:r="http://schemas.openxmlformats.org/officeDocument/2006/relationships" r:embed="rId7"/>
            <a:tile tx="0" ty="0" sx="100000" sy="100000" flip="none" algn="tl"/>
          </a:blipFill>
          <a:ln w="3175"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20" name="Rounded Rectangle 19">
            <a:extLst>
              <a:ext uri="{FF2B5EF4-FFF2-40B4-BE49-F238E27FC236}">
                <a16:creationId xmlns:a16="http://schemas.microsoft.com/office/drawing/2014/main" id="{88277691-FB9D-46B8-B196-74D68B74EBFF}"/>
              </a:ext>
            </a:extLst>
          </xdr:cNvPr>
          <xdr:cNvSpPr/>
        </xdr:nvSpPr>
        <xdr:spPr>
          <a:xfrm>
            <a:off x="1194914" y="6822515"/>
            <a:ext cx="293509" cy="224398"/>
          </a:xfrm>
          <a:prstGeom prst="roundRect">
            <a:avLst/>
          </a:prstGeom>
          <a:blipFill>
            <a:blip xmlns:r="http://schemas.openxmlformats.org/officeDocument/2006/relationships" r:embed="rId6"/>
            <a:tile tx="0" ty="0" sx="100000" sy="100000" flip="none" algn="tl"/>
          </a:blipFill>
          <a:ln w="3175"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36" name="Freeform 35">
            <a:extLst>
              <a:ext uri="{FF2B5EF4-FFF2-40B4-BE49-F238E27FC236}">
                <a16:creationId xmlns:a16="http://schemas.microsoft.com/office/drawing/2014/main" id="{C7C5C6CE-BB06-4CC1-9B6A-FDD4F280232C}"/>
              </a:ext>
            </a:extLst>
          </xdr:cNvPr>
          <xdr:cNvSpPr/>
        </xdr:nvSpPr>
        <xdr:spPr>
          <a:xfrm>
            <a:off x="180975" y="7412598"/>
            <a:ext cx="2686050" cy="1188477"/>
          </a:xfrm>
          <a:custGeom>
            <a:avLst/>
            <a:gdLst>
              <a:gd name="connsiteX0" fmla="*/ 19050 w 2686050"/>
              <a:gd name="connsiteY0" fmla="*/ 476250 h 1190625"/>
              <a:gd name="connsiteX1" fmla="*/ 485775 w 2686050"/>
              <a:gd name="connsiteY1" fmla="*/ 314325 h 1190625"/>
              <a:gd name="connsiteX2" fmla="*/ 819150 w 2686050"/>
              <a:gd name="connsiteY2" fmla="*/ 276225 h 1190625"/>
              <a:gd name="connsiteX3" fmla="*/ 2057400 w 2686050"/>
              <a:gd name="connsiteY3" fmla="*/ 76200 h 1190625"/>
              <a:gd name="connsiteX4" fmla="*/ 2466975 w 2686050"/>
              <a:gd name="connsiteY4" fmla="*/ 0 h 1190625"/>
              <a:gd name="connsiteX5" fmla="*/ 2686050 w 2686050"/>
              <a:gd name="connsiteY5" fmla="*/ 0 h 1190625"/>
              <a:gd name="connsiteX6" fmla="*/ 2686050 w 2686050"/>
              <a:gd name="connsiteY6" fmla="*/ 1190625 h 1190625"/>
              <a:gd name="connsiteX7" fmla="*/ 0 w 2686050"/>
              <a:gd name="connsiteY7" fmla="*/ 1190625 h 1190625"/>
              <a:gd name="connsiteX8" fmla="*/ 19050 w 2686050"/>
              <a:gd name="connsiteY8" fmla="*/ 476250 h 119062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2686050" h="1190625">
                <a:moveTo>
                  <a:pt x="19050" y="476250"/>
                </a:moveTo>
                <a:lnTo>
                  <a:pt x="485775" y="314325"/>
                </a:lnTo>
                <a:lnTo>
                  <a:pt x="819150" y="276225"/>
                </a:lnTo>
                <a:lnTo>
                  <a:pt x="2057400" y="76200"/>
                </a:lnTo>
                <a:lnTo>
                  <a:pt x="2466975" y="0"/>
                </a:lnTo>
                <a:lnTo>
                  <a:pt x="2686050" y="0"/>
                </a:lnTo>
                <a:lnTo>
                  <a:pt x="2686050" y="1190625"/>
                </a:lnTo>
                <a:lnTo>
                  <a:pt x="0" y="1190625"/>
                </a:lnTo>
                <a:lnTo>
                  <a:pt x="19050" y="476250"/>
                </a:lnTo>
                <a:close/>
              </a:path>
            </a:pathLst>
          </a:custGeom>
          <a:blipFill>
            <a:blip xmlns:r="http://schemas.openxmlformats.org/officeDocument/2006/relationships" r:embed="rId8"/>
            <a:tile tx="0" ty="0" sx="100000" sy="100000" flip="none" algn="tl"/>
          </a:blip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21" name="Rounded Rectangle 20">
            <a:extLst>
              <a:ext uri="{FF2B5EF4-FFF2-40B4-BE49-F238E27FC236}">
                <a16:creationId xmlns:a16="http://schemas.microsoft.com/office/drawing/2014/main" id="{4B50072F-11A3-430C-818E-0AD64B32A721}"/>
              </a:ext>
            </a:extLst>
          </xdr:cNvPr>
          <xdr:cNvSpPr/>
        </xdr:nvSpPr>
        <xdr:spPr>
          <a:xfrm>
            <a:off x="1114867" y="7080157"/>
            <a:ext cx="471393" cy="241020"/>
          </a:xfrm>
          <a:prstGeom prst="roundRect">
            <a:avLst/>
          </a:prstGeom>
          <a:blipFill>
            <a:blip xmlns:r="http://schemas.openxmlformats.org/officeDocument/2006/relationships" r:embed="rId6"/>
            <a:tile tx="0" ty="0" sx="100000" sy="100000" flip="none" algn="tl"/>
          </a:blipFill>
          <a:ln w="3175"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22" name="Rounded Rectangle 21">
            <a:extLst>
              <a:ext uri="{FF2B5EF4-FFF2-40B4-BE49-F238E27FC236}">
                <a16:creationId xmlns:a16="http://schemas.microsoft.com/office/drawing/2014/main" id="{4BC7632C-3DB7-44CC-98B6-D9A43D09DC0C}"/>
              </a:ext>
            </a:extLst>
          </xdr:cNvPr>
          <xdr:cNvSpPr/>
        </xdr:nvSpPr>
        <xdr:spPr>
          <a:xfrm>
            <a:off x="1034819" y="7329488"/>
            <a:ext cx="462499" cy="241020"/>
          </a:xfrm>
          <a:prstGeom prst="roundRect">
            <a:avLst/>
          </a:prstGeom>
          <a:blipFill>
            <a:blip xmlns:r="http://schemas.openxmlformats.org/officeDocument/2006/relationships" r:embed="rId7"/>
            <a:tile tx="0" ty="0" sx="100000" sy="100000" flip="none" algn="tl"/>
          </a:blipFill>
          <a:ln w="3175"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23" name="Rounded Rectangle 22">
            <a:extLst>
              <a:ext uri="{FF2B5EF4-FFF2-40B4-BE49-F238E27FC236}">
                <a16:creationId xmlns:a16="http://schemas.microsoft.com/office/drawing/2014/main" id="{68B1DB1D-C86E-456C-A296-6F036CCAC2E6}"/>
              </a:ext>
            </a:extLst>
          </xdr:cNvPr>
          <xdr:cNvSpPr/>
        </xdr:nvSpPr>
        <xdr:spPr>
          <a:xfrm>
            <a:off x="954771" y="7595440"/>
            <a:ext cx="373557" cy="257642"/>
          </a:xfrm>
          <a:prstGeom prst="roundRect">
            <a:avLst/>
          </a:prstGeom>
          <a:blipFill>
            <a:blip xmlns:r="http://schemas.openxmlformats.org/officeDocument/2006/relationships" r:embed="rId7"/>
            <a:tile tx="0" ty="0" sx="100000" sy="100000" flip="none" algn="tl"/>
          </a:blipFill>
          <a:ln w="3175"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24" name="Rounded Rectangle 23">
            <a:extLst>
              <a:ext uri="{FF2B5EF4-FFF2-40B4-BE49-F238E27FC236}">
                <a16:creationId xmlns:a16="http://schemas.microsoft.com/office/drawing/2014/main" id="{9B123C16-11E0-490B-AC0D-583B4ECAAD7A}"/>
              </a:ext>
            </a:extLst>
          </xdr:cNvPr>
          <xdr:cNvSpPr/>
        </xdr:nvSpPr>
        <xdr:spPr>
          <a:xfrm>
            <a:off x="883617" y="7869704"/>
            <a:ext cx="471393" cy="241020"/>
          </a:xfrm>
          <a:prstGeom prst="roundRect">
            <a:avLst/>
          </a:prstGeom>
          <a:blipFill>
            <a:blip xmlns:r="http://schemas.openxmlformats.org/officeDocument/2006/relationships" r:embed="rId6"/>
            <a:tile tx="0" ty="0" sx="100000" sy="100000" flip="none" algn="tl"/>
          </a:blipFill>
          <a:ln w="3175"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25" name="Rounded Rectangle 24">
            <a:extLst>
              <a:ext uri="{FF2B5EF4-FFF2-40B4-BE49-F238E27FC236}">
                <a16:creationId xmlns:a16="http://schemas.microsoft.com/office/drawing/2014/main" id="{2216815C-34C7-4620-865D-AF87A6031CA8}"/>
              </a:ext>
            </a:extLst>
          </xdr:cNvPr>
          <xdr:cNvSpPr/>
        </xdr:nvSpPr>
        <xdr:spPr>
          <a:xfrm>
            <a:off x="794675" y="8110724"/>
            <a:ext cx="471393" cy="241020"/>
          </a:xfrm>
          <a:prstGeom prst="roundRect">
            <a:avLst/>
          </a:prstGeom>
          <a:blipFill>
            <a:blip xmlns:r="http://schemas.openxmlformats.org/officeDocument/2006/relationships" r:embed="rId6"/>
            <a:tile tx="0" ty="0" sx="100000" sy="100000" flip="none" algn="tl"/>
          </a:blipFill>
          <a:ln w="3175"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26" name="Rounded Rectangle 25">
            <a:extLst>
              <a:ext uri="{FF2B5EF4-FFF2-40B4-BE49-F238E27FC236}">
                <a16:creationId xmlns:a16="http://schemas.microsoft.com/office/drawing/2014/main" id="{CF11E8A8-23BA-4347-BF66-FDD7C97C149B}"/>
              </a:ext>
            </a:extLst>
          </xdr:cNvPr>
          <xdr:cNvSpPr/>
        </xdr:nvSpPr>
        <xdr:spPr>
          <a:xfrm>
            <a:off x="1266068" y="8119035"/>
            <a:ext cx="489181" cy="249331"/>
          </a:xfrm>
          <a:prstGeom prst="roundRect">
            <a:avLst/>
          </a:prstGeom>
          <a:blipFill>
            <a:blip xmlns:r="http://schemas.openxmlformats.org/officeDocument/2006/relationships" r:embed="rId7"/>
            <a:tile tx="0" ty="0" sx="100000" sy="100000" flip="none" algn="tl"/>
          </a:blipFill>
          <a:ln w="3175"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27" name="Rounded Rectangle 26">
            <a:extLst>
              <a:ext uri="{FF2B5EF4-FFF2-40B4-BE49-F238E27FC236}">
                <a16:creationId xmlns:a16="http://schemas.microsoft.com/office/drawing/2014/main" id="{15E45222-6694-420E-9A78-89D3EA2DAB62}"/>
              </a:ext>
            </a:extLst>
          </xdr:cNvPr>
          <xdr:cNvSpPr/>
        </xdr:nvSpPr>
        <xdr:spPr>
          <a:xfrm>
            <a:off x="1497317" y="6822515"/>
            <a:ext cx="658171" cy="241020"/>
          </a:xfrm>
          <a:prstGeom prst="roundRect">
            <a:avLst/>
          </a:prstGeom>
          <a:blipFill>
            <a:blip xmlns:r="http://schemas.openxmlformats.org/officeDocument/2006/relationships" r:embed="rId6"/>
            <a:tile tx="0" ty="0" sx="100000" sy="100000" flip="none" algn="tl"/>
          </a:blipFill>
          <a:ln w="3175"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28" name="Rounded Rectangle 27">
            <a:extLst>
              <a:ext uri="{FF2B5EF4-FFF2-40B4-BE49-F238E27FC236}">
                <a16:creationId xmlns:a16="http://schemas.microsoft.com/office/drawing/2014/main" id="{84591945-A292-43A9-91BF-DE68241079D3}"/>
              </a:ext>
            </a:extLst>
          </xdr:cNvPr>
          <xdr:cNvSpPr/>
        </xdr:nvSpPr>
        <xdr:spPr>
          <a:xfrm>
            <a:off x="1755249" y="6548251"/>
            <a:ext cx="400239" cy="241020"/>
          </a:xfrm>
          <a:prstGeom prst="roundRect">
            <a:avLst/>
          </a:prstGeom>
          <a:blipFill>
            <a:blip xmlns:r="http://schemas.openxmlformats.org/officeDocument/2006/relationships" r:embed="rId6"/>
            <a:tile tx="0" ty="0" sx="100000" sy="100000" flip="none" algn="tl"/>
          </a:blipFill>
          <a:ln w="3175"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29" name="Rounded Rectangle 28">
            <a:extLst>
              <a:ext uri="{FF2B5EF4-FFF2-40B4-BE49-F238E27FC236}">
                <a16:creationId xmlns:a16="http://schemas.microsoft.com/office/drawing/2014/main" id="{0AA468D2-05AD-403C-8CF4-8533EF75CD94}"/>
              </a:ext>
            </a:extLst>
          </xdr:cNvPr>
          <xdr:cNvSpPr/>
        </xdr:nvSpPr>
        <xdr:spPr>
          <a:xfrm>
            <a:off x="1604048" y="7088468"/>
            <a:ext cx="560335" cy="241020"/>
          </a:xfrm>
          <a:prstGeom prst="roundRect">
            <a:avLst/>
          </a:prstGeom>
          <a:blipFill>
            <a:blip xmlns:r="http://schemas.openxmlformats.org/officeDocument/2006/relationships" r:embed="rId7"/>
            <a:tile tx="0" ty="0" sx="100000" sy="100000" flip="none" algn="tl"/>
          </a:blipFill>
          <a:ln w="3175"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30" name="Rounded Rectangle 29">
            <a:extLst>
              <a:ext uri="{FF2B5EF4-FFF2-40B4-BE49-F238E27FC236}">
                <a16:creationId xmlns:a16="http://schemas.microsoft.com/office/drawing/2014/main" id="{1326B54D-A69C-45DB-B095-E30CFB47DB50}"/>
              </a:ext>
            </a:extLst>
          </xdr:cNvPr>
          <xdr:cNvSpPr/>
        </xdr:nvSpPr>
        <xdr:spPr>
          <a:xfrm>
            <a:off x="1524000" y="7337799"/>
            <a:ext cx="631489" cy="241020"/>
          </a:xfrm>
          <a:prstGeom prst="roundRect">
            <a:avLst/>
          </a:prstGeom>
          <a:blipFill>
            <a:blip xmlns:r="http://schemas.openxmlformats.org/officeDocument/2006/relationships" r:embed="rId6"/>
            <a:tile tx="0" ty="0" sx="100000" sy="100000" flip="none" algn="tl"/>
          </a:blipFill>
          <a:ln w="3175"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31" name="Rounded Rectangle 30">
            <a:extLst>
              <a:ext uri="{FF2B5EF4-FFF2-40B4-BE49-F238E27FC236}">
                <a16:creationId xmlns:a16="http://schemas.microsoft.com/office/drawing/2014/main" id="{1334C3AC-07B2-4150-A6AD-F7EC2E4F147B}"/>
              </a:ext>
            </a:extLst>
          </xdr:cNvPr>
          <xdr:cNvSpPr/>
        </xdr:nvSpPr>
        <xdr:spPr>
          <a:xfrm>
            <a:off x="1319433" y="7595440"/>
            <a:ext cx="480287" cy="257642"/>
          </a:xfrm>
          <a:prstGeom prst="roundRect">
            <a:avLst/>
          </a:prstGeom>
          <a:blipFill>
            <a:blip xmlns:r="http://schemas.openxmlformats.org/officeDocument/2006/relationships" r:embed="rId6"/>
            <a:tile tx="0" ty="0" sx="100000" sy="100000" flip="none" algn="tl"/>
          </a:blipFill>
          <a:ln w="3175"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32" name="Rounded Rectangle 31">
            <a:extLst>
              <a:ext uri="{FF2B5EF4-FFF2-40B4-BE49-F238E27FC236}">
                <a16:creationId xmlns:a16="http://schemas.microsoft.com/office/drawing/2014/main" id="{71E5D668-B382-43A2-BF71-37F65040D0AF}"/>
              </a:ext>
            </a:extLst>
          </xdr:cNvPr>
          <xdr:cNvSpPr/>
        </xdr:nvSpPr>
        <xdr:spPr>
          <a:xfrm>
            <a:off x="1790826" y="7595440"/>
            <a:ext cx="346874" cy="257642"/>
          </a:xfrm>
          <a:prstGeom prst="roundRect">
            <a:avLst/>
          </a:prstGeom>
          <a:blipFill>
            <a:blip xmlns:r="http://schemas.openxmlformats.org/officeDocument/2006/relationships" r:embed="rId7"/>
            <a:tile tx="0" ty="0" sx="100000" sy="100000" flip="none" algn="tl"/>
          </a:blipFill>
          <a:ln w="3175"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33" name="Rounded Rectangle 32">
            <a:extLst>
              <a:ext uri="{FF2B5EF4-FFF2-40B4-BE49-F238E27FC236}">
                <a16:creationId xmlns:a16="http://schemas.microsoft.com/office/drawing/2014/main" id="{CC722C24-E49B-4323-88E9-E5DEB754663C}"/>
              </a:ext>
            </a:extLst>
          </xdr:cNvPr>
          <xdr:cNvSpPr/>
        </xdr:nvSpPr>
        <xdr:spPr>
          <a:xfrm>
            <a:off x="1372799" y="7869704"/>
            <a:ext cx="382451" cy="241020"/>
          </a:xfrm>
          <a:prstGeom prst="roundRect">
            <a:avLst/>
          </a:prstGeom>
          <a:blipFill>
            <a:blip xmlns:r="http://schemas.openxmlformats.org/officeDocument/2006/relationships" r:embed="rId7"/>
            <a:tile tx="0" ty="0" sx="100000" sy="100000" flip="none" algn="tl"/>
          </a:blipFill>
          <a:ln w="3175"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34" name="Rounded Rectangle 33">
            <a:extLst>
              <a:ext uri="{FF2B5EF4-FFF2-40B4-BE49-F238E27FC236}">
                <a16:creationId xmlns:a16="http://schemas.microsoft.com/office/drawing/2014/main" id="{2417D019-C12E-4AF8-93AB-5A8B66D537B4}"/>
              </a:ext>
            </a:extLst>
          </xdr:cNvPr>
          <xdr:cNvSpPr/>
        </xdr:nvSpPr>
        <xdr:spPr>
          <a:xfrm>
            <a:off x="1737461" y="7878015"/>
            <a:ext cx="400239" cy="232709"/>
          </a:xfrm>
          <a:prstGeom prst="roundRect">
            <a:avLst/>
          </a:prstGeom>
          <a:blipFill>
            <a:blip xmlns:r="http://schemas.openxmlformats.org/officeDocument/2006/relationships" r:embed="rId6"/>
            <a:tile tx="0" ty="0" sx="100000" sy="100000" flip="none" algn="tl"/>
          </a:blipFill>
          <a:ln w="3175"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35" name="Rounded Rectangle 34">
            <a:extLst>
              <a:ext uri="{FF2B5EF4-FFF2-40B4-BE49-F238E27FC236}">
                <a16:creationId xmlns:a16="http://schemas.microsoft.com/office/drawing/2014/main" id="{2269A7A2-B0CA-4D1A-B579-95D1F111C623}"/>
              </a:ext>
            </a:extLst>
          </xdr:cNvPr>
          <xdr:cNvSpPr/>
        </xdr:nvSpPr>
        <xdr:spPr>
          <a:xfrm>
            <a:off x="1764144" y="8143968"/>
            <a:ext cx="373557" cy="241020"/>
          </a:xfrm>
          <a:prstGeom prst="roundRect">
            <a:avLst/>
          </a:prstGeom>
          <a:blipFill>
            <a:blip xmlns:r="http://schemas.openxmlformats.org/officeDocument/2006/relationships" r:embed="rId6"/>
            <a:tile tx="0" ty="0" sx="100000" sy="100000" flip="none" algn="tl"/>
          </a:blipFill>
          <a:ln w="3175"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</xdr:grpSp>
    <xdr:clientData/>
  </xdr:twoCellAnchor>
  <xdr:twoCellAnchor>
    <xdr:from>
      <xdr:col>2</xdr:col>
      <xdr:colOff>19050</xdr:colOff>
      <xdr:row>31</xdr:row>
      <xdr:rowOff>3176</xdr:rowOff>
    </xdr:from>
    <xdr:to>
      <xdr:col>3</xdr:col>
      <xdr:colOff>0</xdr:colOff>
      <xdr:row>31</xdr:row>
      <xdr:rowOff>12700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DFB48D67-D583-4187-BDDF-F571B4BB4F01}"/>
            </a:ext>
          </a:extLst>
        </xdr:cNvPr>
        <xdr:cNvCxnSpPr/>
      </xdr:nvCxnSpPr>
      <xdr:spPr>
        <a:xfrm flipV="1">
          <a:off x="1333500" y="5915026"/>
          <a:ext cx="638175" cy="9524"/>
        </a:xfrm>
        <a:prstGeom prst="straightConnector1">
          <a:avLst/>
        </a:prstGeom>
        <a:ln>
          <a:solidFill>
            <a:sysClr val="windowText" lastClr="00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247650</xdr:colOff>
      <xdr:row>31</xdr:row>
      <xdr:rowOff>146050</xdr:rowOff>
    </xdr:from>
    <xdr:to>
      <xdr:col>3</xdr:col>
      <xdr:colOff>247650</xdr:colOff>
      <xdr:row>44</xdr:row>
      <xdr:rowOff>3175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6533B8EB-0BC2-4F3D-82D3-BA6B15DA5394}"/>
            </a:ext>
          </a:extLst>
        </xdr:cNvPr>
        <xdr:cNvCxnSpPr/>
      </xdr:nvCxnSpPr>
      <xdr:spPr>
        <a:xfrm flipV="1">
          <a:off x="2219325" y="6057900"/>
          <a:ext cx="0" cy="2333625"/>
        </a:xfrm>
        <a:prstGeom prst="straightConnector1">
          <a:avLst/>
        </a:prstGeom>
        <a:ln>
          <a:solidFill>
            <a:sysClr val="windowText" lastClr="00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47625</xdr:colOff>
      <xdr:row>45</xdr:row>
      <xdr:rowOff>22225</xdr:rowOff>
    </xdr:from>
    <xdr:to>
      <xdr:col>3</xdr:col>
      <xdr:colOff>0</xdr:colOff>
      <xdr:row>45</xdr:row>
      <xdr:rowOff>22225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50E17555-D372-4E15-B04C-70AE1B3CD6D3}"/>
            </a:ext>
          </a:extLst>
        </xdr:cNvPr>
        <xdr:cNvCxnSpPr/>
      </xdr:nvCxnSpPr>
      <xdr:spPr>
        <a:xfrm>
          <a:off x="704850" y="8610600"/>
          <a:ext cx="1238250" cy="0"/>
        </a:xfrm>
        <a:prstGeom prst="straightConnector1">
          <a:avLst/>
        </a:prstGeom>
        <a:ln>
          <a:solidFill>
            <a:sysClr val="windowText" lastClr="00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152400</xdr:colOff>
      <xdr:row>29</xdr:row>
      <xdr:rowOff>87630</xdr:rowOff>
    </xdr:from>
    <xdr:to>
      <xdr:col>3</xdr:col>
      <xdr:colOff>9525</xdr:colOff>
      <xdr:row>31</xdr:row>
      <xdr:rowOff>49530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5BE32C27-98D5-47D2-85EA-DFE2F8A4C66E}"/>
            </a:ext>
          </a:extLst>
        </xdr:cNvPr>
        <xdr:cNvSpPr txBox="1"/>
      </xdr:nvSpPr>
      <xdr:spPr>
        <a:xfrm>
          <a:off x="1466850" y="5619750"/>
          <a:ext cx="514350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/>
            <a:t>W</a:t>
          </a:r>
          <a:r>
            <a:rPr lang="en-US" sz="800"/>
            <a:t>1</a:t>
          </a:r>
        </a:p>
      </xdr:txBody>
    </xdr:sp>
    <xdr:clientData/>
  </xdr:twoCellAnchor>
  <xdr:twoCellAnchor>
    <xdr:from>
      <xdr:col>1</xdr:col>
      <xdr:colOff>495300</xdr:colOff>
      <xdr:row>43</xdr:row>
      <xdr:rowOff>174625</xdr:rowOff>
    </xdr:from>
    <xdr:to>
      <xdr:col>2</xdr:col>
      <xdr:colOff>352425</xdr:colOff>
      <xdr:row>45</xdr:row>
      <xdr:rowOff>60325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FF3CC34B-9EAE-4A89-A961-869B4499E5D6}"/>
            </a:ext>
          </a:extLst>
        </xdr:cNvPr>
        <xdr:cNvSpPr txBox="1"/>
      </xdr:nvSpPr>
      <xdr:spPr>
        <a:xfrm>
          <a:off x="1152525" y="8382000"/>
          <a:ext cx="5143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/>
            <a:t>W</a:t>
          </a:r>
          <a:r>
            <a:rPr lang="en-US" sz="800"/>
            <a:t>2</a:t>
          </a:r>
        </a:p>
      </xdr:txBody>
    </xdr:sp>
    <xdr:clientData/>
  </xdr:twoCellAnchor>
  <xdr:twoCellAnchor>
    <xdr:from>
      <xdr:col>3</xdr:col>
      <xdr:colOff>209550</xdr:colOff>
      <xdr:row>35</xdr:row>
      <xdr:rowOff>174625</xdr:rowOff>
    </xdr:from>
    <xdr:to>
      <xdr:col>3</xdr:col>
      <xdr:colOff>533400</xdr:colOff>
      <xdr:row>37</xdr:row>
      <xdr:rowOff>136525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427B0108-AA85-4D15-A0BF-E5134F0CEF44}"/>
            </a:ext>
          </a:extLst>
        </xdr:cNvPr>
        <xdr:cNvSpPr txBox="1"/>
      </xdr:nvSpPr>
      <xdr:spPr>
        <a:xfrm>
          <a:off x="2181225" y="6848475"/>
          <a:ext cx="323850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/>
            <a:t>H</a:t>
          </a:r>
          <a:endParaRPr lang="en-US" sz="800"/>
        </a:p>
      </xdr:txBody>
    </xdr:sp>
    <xdr:clientData/>
  </xdr:twoCellAnchor>
  <xdr:twoCellAnchor>
    <xdr:from>
      <xdr:col>3</xdr:col>
      <xdr:colOff>180975</xdr:colOff>
      <xdr:row>29</xdr:row>
      <xdr:rowOff>79375</xdr:rowOff>
    </xdr:from>
    <xdr:to>
      <xdr:col>4</xdr:col>
      <xdr:colOff>409575</xdr:colOff>
      <xdr:row>31</xdr:row>
      <xdr:rowOff>107950</xdr:rowOff>
    </xdr:to>
    <xdr:cxnSp macro="">
      <xdr:nvCxnSpPr>
        <xdr:cNvPr id="48" name="Straight Arrow Connector 47">
          <a:extLst>
            <a:ext uri="{FF2B5EF4-FFF2-40B4-BE49-F238E27FC236}">
              <a16:creationId xmlns:a16="http://schemas.microsoft.com/office/drawing/2014/main" id="{FB5C03D5-8080-433B-8E17-E8124EB3FDF1}"/>
            </a:ext>
          </a:extLst>
        </xdr:cNvPr>
        <xdr:cNvCxnSpPr/>
      </xdr:nvCxnSpPr>
      <xdr:spPr>
        <a:xfrm flipV="1">
          <a:off x="2152650" y="5629275"/>
          <a:ext cx="885825" cy="409575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428625</xdr:colOff>
      <xdr:row>29</xdr:row>
      <xdr:rowOff>3175</xdr:rowOff>
    </xdr:from>
    <xdr:to>
      <xdr:col>4</xdr:col>
      <xdr:colOff>95250</xdr:colOff>
      <xdr:row>30</xdr:row>
      <xdr:rowOff>165100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F800FD01-7E87-4200-A935-75908C0D60C9}"/>
            </a:ext>
          </a:extLst>
        </xdr:cNvPr>
        <xdr:cNvSpPr txBox="1"/>
      </xdr:nvSpPr>
      <xdr:spPr>
        <a:xfrm>
          <a:off x="2400300" y="5553075"/>
          <a:ext cx="323850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/>
            <a:t>L</a:t>
          </a:r>
          <a:endParaRPr lang="en-US" sz="8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388132</xdr:colOff>
      <xdr:row>191</xdr:row>
      <xdr:rowOff>155809</xdr:rowOff>
    </xdr:from>
    <xdr:to>
      <xdr:col>1</xdr:col>
      <xdr:colOff>552357</xdr:colOff>
      <xdr:row>193</xdr:row>
      <xdr:rowOff>88895</xdr:rowOff>
    </xdr:to>
    <xdr:sp macro="" textlink="">
      <xdr:nvSpPr>
        <xdr:cNvPr id="390" name="Cube 389">
          <a:extLst>
            <a:ext uri="{FF2B5EF4-FFF2-40B4-BE49-F238E27FC236}">
              <a16:creationId xmlns:a16="http://schemas.microsoft.com/office/drawing/2014/main" id="{6CAD8803-D16D-41A8-9B7F-71D35BC73370}"/>
            </a:ext>
          </a:extLst>
        </xdr:cNvPr>
        <xdr:cNvSpPr/>
      </xdr:nvSpPr>
      <xdr:spPr>
        <a:xfrm>
          <a:off x="1035832" y="36455130"/>
          <a:ext cx="164225" cy="315310"/>
        </a:xfrm>
        <a:prstGeom prst="cube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PH"/>
        </a:p>
      </xdr:txBody>
    </xdr:sp>
    <xdr:clientData/>
  </xdr:twoCellAnchor>
  <xdr:twoCellAnchor>
    <xdr:from>
      <xdr:col>3</xdr:col>
      <xdr:colOff>67003</xdr:colOff>
      <xdr:row>143</xdr:row>
      <xdr:rowOff>139481</xdr:rowOff>
    </xdr:from>
    <xdr:to>
      <xdr:col>3</xdr:col>
      <xdr:colOff>231228</xdr:colOff>
      <xdr:row>145</xdr:row>
      <xdr:rowOff>80230</xdr:rowOff>
    </xdr:to>
    <xdr:sp macro="" textlink="">
      <xdr:nvSpPr>
        <xdr:cNvPr id="253" name="Cube 252">
          <a:extLst>
            <a:ext uri="{FF2B5EF4-FFF2-40B4-BE49-F238E27FC236}">
              <a16:creationId xmlns:a16="http://schemas.microsoft.com/office/drawing/2014/main" id="{036A5BE1-97BA-45B7-9B79-ED8B227E6868}"/>
            </a:ext>
          </a:extLst>
        </xdr:cNvPr>
        <xdr:cNvSpPr/>
      </xdr:nvSpPr>
      <xdr:spPr>
        <a:xfrm>
          <a:off x="2017986" y="27453021"/>
          <a:ext cx="164225" cy="315310"/>
        </a:xfrm>
        <a:prstGeom prst="cube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PH"/>
        </a:p>
      </xdr:txBody>
    </xdr:sp>
    <xdr:clientData/>
  </xdr:twoCellAnchor>
  <xdr:twoCellAnchor>
    <xdr:from>
      <xdr:col>0</xdr:col>
      <xdr:colOff>105103</xdr:colOff>
      <xdr:row>143</xdr:row>
      <xdr:rowOff>147848</xdr:rowOff>
    </xdr:from>
    <xdr:to>
      <xdr:col>0</xdr:col>
      <xdr:colOff>269328</xdr:colOff>
      <xdr:row>145</xdr:row>
      <xdr:rowOff>82158</xdr:rowOff>
    </xdr:to>
    <xdr:sp macro="" textlink="">
      <xdr:nvSpPr>
        <xdr:cNvPr id="247" name="Cube 246">
          <a:extLst>
            <a:ext uri="{FF2B5EF4-FFF2-40B4-BE49-F238E27FC236}">
              <a16:creationId xmlns:a16="http://schemas.microsoft.com/office/drawing/2014/main" id="{5D7F8CB4-8B43-4D86-B05C-DD72E6A8E3DD}"/>
            </a:ext>
          </a:extLst>
        </xdr:cNvPr>
        <xdr:cNvSpPr/>
      </xdr:nvSpPr>
      <xdr:spPr>
        <a:xfrm>
          <a:off x="105103" y="27470895"/>
          <a:ext cx="164225" cy="315310"/>
        </a:xfrm>
        <a:prstGeom prst="cube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PH"/>
        </a:p>
      </xdr:txBody>
    </xdr:sp>
    <xdr:clientData/>
  </xdr:twoCellAnchor>
  <xdr:twoCellAnchor>
    <xdr:from>
      <xdr:col>4</xdr:col>
      <xdr:colOff>106680</xdr:colOff>
      <xdr:row>3</xdr:row>
      <xdr:rowOff>182880</xdr:rowOff>
    </xdr:from>
    <xdr:to>
      <xdr:col>8</xdr:col>
      <xdr:colOff>106680</xdr:colOff>
      <xdr:row>12</xdr:row>
      <xdr:rowOff>137160</xdr:rowOff>
    </xdr:to>
    <xdr:grpSp>
      <xdr:nvGrpSpPr>
        <xdr:cNvPr id="24174" name="Group 55">
          <a:extLst>
            <a:ext uri="{FF2B5EF4-FFF2-40B4-BE49-F238E27FC236}">
              <a16:creationId xmlns:a16="http://schemas.microsoft.com/office/drawing/2014/main" id="{E05D3B2C-C58E-41BD-9C7B-407057089730}"/>
            </a:ext>
          </a:extLst>
        </xdr:cNvPr>
        <xdr:cNvGrpSpPr>
          <a:grpSpLocks/>
        </xdr:cNvGrpSpPr>
      </xdr:nvGrpSpPr>
      <xdr:grpSpPr bwMode="auto">
        <a:xfrm>
          <a:off x="2667000" y="731520"/>
          <a:ext cx="2651760" cy="1897380"/>
          <a:chOff x="2200275" y="260747"/>
          <a:chExt cx="3590925" cy="2244328"/>
        </a:xfrm>
      </xdr:grpSpPr>
      <xdr:sp macro="" textlink="">
        <xdr:nvSpPr>
          <xdr:cNvPr id="2" name="Cube 1">
            <a:extLst>
              <a:ext uri="{FF2B5EF4-FFF2-40B4-BE49-F238E27FC236}">
                <a16:creationId xmlns:a16="http://schemas.microsoft.com/office/drawing/2014/main" id="{94E1F82D-F5F1-4AC0-9B69-C9004CB7C2E0}"/>
              </a:ext>
            </a:extLst>
          </xdr:cNvPr>
          <xdr:cNvSpPr/>
        </xdr:nvSpPr>
        <xdr:spPr>
          <a:xfrm>
            <a:off x="2330067" y="2189607"/>
            <a:ext cx="3147467" cy="315468"/>
          </a:xfrm>
          <a:prstGeom prst="cube">
            <a:avLst>
              <a:gd name="adj" fmla="val 49242"/>
            </a:avLst>
          </a:prstGeom>
          <a:blipFill>
            <a:blip xmlns:r="http://schemas.openxmlformats.org/officeDocument/2006/relationships" r:embed="rId1"/>
            <a:tile tx="0" ty="0" sx="100000" sy="100000" flip="none" algn="tl"/>
          </a:blipFill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3" name="Cube 2">
            <a:extLst>
              <a:ext uri="{FF2B5EF4-FFF2-40B4-BE49-F238E27FC236}">
                <a16:creationId xmlns:a16="http://schemas.microsoft.com/office/drawing/2014/main" id="{7BA2BF2E-6DCA-4C7D-A925-03F67EE30818}"/>
              </a:ext>
            </a:extLst>
          </xdr:cNvPr>
          <xdr:cNvSpPr/>
        </xdr:nvSpPr>
        <xdr:spPr>
          <a:xfrm>
            <a:off x="2405780" y="2018353"/>
            <a:ext cx="432642" cy="270401"/>
          </a:xfrm>
          <a:prstGeom prst="cube">
            <a:avLst/>
          </a:prstGeom>
          <a:blipFill>
            <a:blip xmlns:r="http://schemas.openxmlformats.org/officeDocument/2006/relationships" r:embed="rId2"/>
            <a:tile tx="0" ty="0" sx="100000" sy="100000" flip="none" algn="tl"/>
          </a:blipFill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4" name="Cube 3">
            <a:extLst>
              <a:ext uri="{FF2B5EF4-FFF2-40B4-BE49-F238E27FC236}">
                <a16:creationId xmlns:a16="http://schemas.microsoft.com/office/drawing/2014/main" id="{F93CF54A-7869-4FA2-AA6A-B46D1333A1E6}"/>
              </a:ext>
            </a:extLst>
          </xdr:cNvPr>
          <xdr:cNvSpPr/>
        </xdr:nvSpPr>
        <xdr:spPr>
          <a:xfrm>
            <a:off x="2773525" y="2018353"/>
            <a:ext cx="443458" cy="270401"/>
          </a:xfrm>
          <a:prstGeom prst="cube">
            <a:avLst/>
          </a:prstGeom>
          <a:blipFill>
            <a:blip xmlns:r="http://schemas.openxmlformats.org/officeDocument/2006/relationships" r:embed="rId2"/>
            <a:tile tx="0" ty="0" sx="100000" sy="100000" flip="none" algn="tl"/>
          </a:blipFill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5" name="Cube 4">
            <a:extLst>
              <a:ext uri="{FF2B5EF4-FFF2-40B4-BE49-F238E27FC236}">
                <a16:creationId xmlns:a16="http://schemas.microsoft.com/office/drawing/2014/main" id="{64A74F1E-D927-42A8-A487-CDAF42E73BD3}"/>
              </a:ext>
            </a:extLst>
          </xdr:cNvPr>
          <xdr:cNvSpPr/>
        </xdr:nvSpPr>
        <xdr:spPr>
          <a:xfrm>
            <a:off x="3141270" y="2018353"/>
            <a:ext cx="421826" cy="270401"/>
          </a:xfrm>
          <a:prstGeom prst="cube">
            <a:avLst/>
          </a:prstGeom>
          <a:blipFill>
            <a:blip xmlns:r="http://schemas.openxmlformats.org/officeDocument/2006/relationships" r:embed="rId2"/>
            <a:tile tx="0" ty="0" sx="100000" sy="100000" flip="none" algn="tl"/>
          </a:blipFill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6" name="Cube 5">
            <a:extLst>
              <a:ext uri="{FF2B5EF4-FFF2-40B4-BE49-F238E27FC236}">
                <a16:creationId xmlns:a16="http://schemas.microsoft.com/office/drawing/2014/main" id="{44F9D78C-81E6-45CA-87D9-5E456BCE28C0}"/>
              </a:ext>
            </a:extLst>
          </xdr:cNvPr>
          <xdr:cNvSpPr/>
        </xdr:nvSpPr>
        <xdr:spPr>
          <a:xfrm>
            <a:off x="3509016" y="2018353"/>
            <a:ext cx="421826" cy="270401"/>
          </a:xfrm>
          <a:prstGeom prst="cube">
            <a:avLst/>
          </a:prstGeom>
          <a:blipFill>
            <a:blip xmlns:r="http://schemas.openxmlformats.org/officeDocument/2006/relationships" r:embed="rId2"/>
            <a:tile tx="0" ty="0" sx="100000" sy="100000" flip="none" algn="tl"/>
          </a:blipFill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7" name="Cube 6">
            <a:extLst>
              <a:ext uri="{FF2B5EF4-FFF2-40B4-BE49-F238E27FC236}">
                <a16:creationId xmlns:a16="http://schemas.microsoft.com/office/drawing/2014/main" id="{58F3AC09-8152-4DA3-9E53-7711D0D7E2B5}"/>
              </a:ext>
            </a:extLst>
          </xdr:cNvPr>
          <xdr:cNvSpPr/>
        </xdr:nvSpPr>
        <xdr:spPr>
          <a:xfrm>
            <a:off x="3876761" y="2018353"/>
            <a:ext cx="421826" cy="270401"/>
          </a:xfrm>
          <a:prstGeom prst="cube">
            <a:avLst/>
          </a:prstGeom>
          <a:blipFill>
            <a:blip xmlns:r="http://schemas.openxmlformats.org/officeDocument/2006/relationships" r:embed="rId2"/>
            <a:tile tx="0" ty="0" sx="100000" sy="100000" flip="none" algn="tl"/>
          </a:blipFill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8" name="Cube 7">
            <a:extLst>
              <a:ext uri="{FF2B5EF4-FFF2-40B4-BE49-F238E27FC236}">
                <a16:creationId xmlns:a16="http://schemas.microsoft.com/office/drawing/2014/main" id="{A6D89E9A-637F-4EEB-96DC-A9F856CDA99A}"/>
              </a:ext>
            </a:extLst>
          </xdr:cNvPr>
          <xdr:cNvSpPr/>
        </xdr:nvSpPr>
        <xdr:spPr>
          <a:xfrm>
            <a:off x="4233690" y="2018353"/>
            <a:ext cx="432642" cy="270401"/>
          </a:xfrm>
          <a:prstGeom prst="cube">
            <a:avLst/>
          </a:prstGeom>
          <a:blipFill>
            <a:blip xmlns:r="http://schemas.openxmlformats.org/officeDocument/2006/relationships" r:embed="rId2"/>
            <a:tile tx="0" ty="0" sx="100000" sy="100000" flip="none" algn="tl"/>
          </a:blipFill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9" name="Cube 8">
            <a:extLst>
              <a:ext uri="{FF2B5EF4-FFF2-40B4-BE49-F238E27FC236}">
                <a16:creationId xmlns:a16="http://schemas.microsoft.com/office/drawing/2014/main" id="{44EE84D7-F214-4B80-941C-8D556C9FD162}"/>
              </a:ext>
            </a:extLst>
          </xdr:cNvPr>
          <xdr:cNvSpPr/>
        </xdr:nvSpPr>
        <xdr:spPr>
          <a:xfrm>
            <a:off x="4601436" y="2018353"/>
            <a:ext cx="432642" cy="270401"/>
          </a:xfrm>
          <a:prstGeom prst="cube">
            <a:avLst/>
          </a:prstGeom>
          <a:blipFill>
            <a:blip xmlns:r="http://schemas.openxmlformats.org/officeDocument/2006/relationships" r:embed="rId2"/>
            <a:tile tx="0" ty="0" sx="100000" sy="100000" flip="none" algn="tl"/>
          </a:blipFill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10" name="Cube 9">
            <a:extLst>
              <a:ext uri="{FF2B5EF4-FFF2-40B4-BE49-F238E27FC236}">
                <a16:creationId xmlns:a16="http://schemas.microsoft.com/office/drawing/2014/main" id="{ABFF52D5-C0AB-4EF4-AF44-E00FE02E2C2B}"/>
              </a:ext>
            </a:extLst>
          </xdr:cNvPr>
          <xdr:cNvSpPr/>
        </xdr:nvSpPr>
        <xdr:spPr>
          <a:xfrm>
            <a:off x="4969181" y="2018353"/>
            <a:ext cx="421826" cy="270401"/>
          </a:xfrm>
          <a:prstGeom prst="cube">
            <a:avLst/>
          </a:prstGeom>
          <a:blipFill>
            <a:blip xmlns:r="http://schemas.openxmlformats.org/officeDocument/2006/relationships" r:embed="rId2"/>
            <a:tile tx="0" ty="0" sx="100000" sy="100000" flip="none" algn="tl"/>
          </a:blipFill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12" name="Cube 11">
            <a:extLst>
              <a:ext uri="{FF2B5EF4-FFF2-40B4-BE49-F238E27FC236}">
                <a16:creationId xmlns:a16="http://schemas.microsoft.com/office/drawing/2014/main" id="{8C659DCD-99E0-4043-BCC0-32DBB7A3BF6B}"/>
              </a:ext>
            </a:extLst>
          </xdr:cNvPr>
          <xdr:cNvSpPr/>
        </xdr:nvSpPr>
        <xdr:spPr>
          <a:xfrm>
            <a:off x="2600468" y="1784006"/>
            <a:ext cx="432642" cy="279414"/>
          </a:xfrm>
          <a:prstGeom prst="cube">
            <a:avLst/>
          </a:prstGeom>
          <a:blipFill>
            <a:blip xmlns:r="http://schemas.openxmlformats.org/officeDocument/2006/relationships" r:embed="rId2"/>
            <a:tile tx="0" ty="0" sx="100000" sy="100000" flip="none" algn="tl"/>
          </a:blipFill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13" name="Cube 12">
            <a:extLst>
              <a:ext uri="{FF2B5EF4-FFF2-40B4-BE49-F238E27FC236}">
                <a16:creationId xmlns:a16="http://schemas.microsoft.com/office/drawing/2014/main" id="{0080DF5E-5B08-4C0D-B4DD-B028C46AA4E5}"/>
              </a:ext>
            </a:extLst>
          </xdr:cNvPr>
          <xdr:cNvSpPr/>
        </xdr:nvSpPr>
        <xdr:spPr>
          <a:xfrm>
            <a:off x="2979030" y="1784006"/>
            <a:ext cx="421826" cy="279414"/>
          </a:xfrm>
          <a:prstGeom prst="cube">
            <a:avLst/>
          </a:prstGeom>
          <a:blipFill>
            <a:blip xmlns:r="http://schemas.openxmlformats.org/officeDocument/2006/relationships" r:embed="rId2"/>
            <a:tile tx="0" ty="0" sx="100000" sy="100000" flip="none" algn="tl"/>
          </a:blipFill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14" name="Cube 13">
            <a:extLst>
              <a:ext uri="{FF2B5EF4-FFF2-40B4-BE49-F238E27FC236}">
                <a16:creationId xmlns:a16="http://schemas.microsoft.com/office/drawing/2014/main" id="{3DA19A4D-BBD4-4498-BC64-9C7258778494}"/>
              </a:ext>
            </a:extLst>
          </xdr:cNvPr>
          <xdr:cNvSpPr/>
        </xdr:nvSpPr>
        <xdr:spPr>
          <a:xfrm>
            <a:off x="3335959" y="1784006"/>
            <a:ext cx="432642" cy="279414"/>
          </a:xfrm>
          <a:prstGeom prst="cube">
            <a:avLst/>
          </a:prstGeom>
          <a:blipFill>
            <a:blip xmlns:r="http://schemas.openxmlformats.org/officeDocument/2006/relationships" r:embed="rId2"/>
            <a:tile tx="0" ty="0" sx="100000" sy="100000" flip="none" algn="tl"/>
          </a:blipFill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15" name="Cube 14">
            <a:extLst>
              <a:ext uri="{FF2B5EF4-FFF2-40B4-BE49-F238E27FC236}">
                <a16:creationId xmlns:a16="http://schemas.microsoft.com/office/drawing/2014/main" id="{DDACE758-CCA4-46FF-A6C2-CEAE22092C34}"/>
              </a:ext>
            </a:extLst>
          </xdr:cNvPr>
          <xdr:cNvSpPr/>
        </xdr:nvSpPr>
        <xdr:spPr>
          <a:xfrm>
            <a:off x="3703704" y="1784006"/>
            <a:ext cx="432642" cy="279414"/>
          </a:xfrm>
          <a:prstGeom prst="cube">
            <a:avLst/>
          </a:prstGeom>
          <a:blipFill>
            <a:blip xmlns:r="http://schemas.openxmlformats.org/officeDocument/2006/relationships" r:embed="rId2"/>
            <a:tile tx="0" ty="0" sx="100000" sy="100000" flip="none" algn="tl"/>
          </a:blipFill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16" name="Cube 15">
            <a:extLst>
              <a:ext uri="{FF2B5EF4-FFF2-40B4-BE49-F238E27FC236}">
                <a16:creationId xmlns:a16="http://schemas.microsoft.com/office/drawing/2014/main" id="{A1E2D695-8A8A-46E1-8996-373EE4BFF9BD}"/>
              </a:ext>
            </a:extLst>
          </xdr:cNvPr>
          <xdr:cNvSpPr/>
        </xdr:nvSpPr>
        <xdr:spPr>
          <a:xfrm>
            <a:off x="4071450" y="1784006"/>
            <a:ext cx="432642" cy="279414"/>
          </a:xfrm>
          <a:prstGeom prst="cube">
            <a:avLst/>
          </a:prstGeom>
          <a:blipFill>
            <a:blip xmlns:r="http://schemas.openxmlformats.org/officeDocument/2006/relationships" r:embed="rId2"/>
            <a:tile tx="0" ty="0" sx="100000" sy="100000" flip="none" algn="tl"/>
          </a:blipFill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17" name="Cube 16">
            <a:extLst>
              <a:ext uri="{FF2B5EF4-FFF2-40B4-BE49-F238E27FC236}">
                <a16:creationId xmlns:a16="http://schemas.microsoft.com/office/drawing/2014/main" id="{B4AA6E65-CD68-491A-80B7-11F9553AF3A9}"/>
              </a:ext>
            </a:extLst>
          </xdr:cNvPr>
          <xdr:cNvSpPr/>
        </xdr:nvSpPr>
        <xdr:spPr>
          <a:xfrm>
            <a:off x="4439195" y="1784006"/>
            <a:ext cx="432642" cy="279414"/>
          </a:xfrm>
          <a:prstGeom prst="cube">
            <a:avLst/>
          </a:prstGeom>
          <a:blipFill>
            <a:blip xmlns:r="http://schemas.openxmlformats.org/officeDocument/2006/relationships" r:embed="rId2"/>
            <a:tile tx="0" ty="0" sx="100000" sy="100000" flip="none" algn="tl"/>
          </a:blipFill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18" name="Cube 17">
            <a:extLst>
              <a:ext uri="{FF2B5EF4-FFF2-40B4-BE49-F238E27FC236}">
                <a16:creationId xmlns:a16="http://schemas.microsoft.com/office/drawing/2014/main" id="{291EA01A-0C6B-4769-8FCD-BB9A1FA55FA7}"/>
              </a:ext>
            </a:extLst>
          </xdr:cNvPr>
          <xdr:cNvSpPr/>
        </xdr:nvSpPr>
        <xdr:spPr>
          <a:xfrm>
            <a:off x="4796124" y="1784006"/>
            <a:ext cx="443458" cy="279414"/>
          </a:xfrm>
          <a:prstGeom prst="cube">
            <a:avLst/>
          </a:prstGeom>
          <a:blipFill>
            <a:blip xmlns:r="http://schemas.openxmlformats.org/officeDocument/2006/relationships" r:embed="rId2"/>
            <a:tile tx="0" ty="0" sx="100000" sy="100000" flip="none" algn="tl"/>
          </a:blipFill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26" name="Cube 25">
            <a:extLst>
              <a:ext uri="{FF2B5EF4-FFF2-40B4-BE49-F238E27FC236}">
                <a16:creationId xmlns:a16="http://schemas.microsoft.com/office/drawing/2014/main" id="{0B3AA292-F769-4FB3-80D0-F33BDA5AF3E1}"/>
              </a:ext>
            </a:extLst>
          </xdr:cNvPr>
          <xdr:cNvSpPr/>
        </xdr:nvSpPr>
        <xdr:spPr>
          <a:xfrm>
            <a:off x="2416596" y="1558672"/>
            <a:ext cx="421826" cy="270401"/>
          </a:xfrm>
          <a:prstGeom prst="cube">
            <a:avLst/>
          </a:prstGeom>
          <a:blipFill>
            <a:blip xmlns:r="http://schemas.openxmlformats.org/officeDocument/2006/relationships" r:embed="rId2"/>
            <a:tile tx="0" ty="0" sx="100000" sy="100000" flip="none" algn="tl"/>
          </a:blipFill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27" name="Cube 26">
            <a:extLst>
              <a:ext uri="{FF2B5EF4-FFF2-40B4-BE49-F238E27FC236}">
                <a16:creationId xmlns:a16="http://schemas.microsoft.com/office/drawing/2014/main" id="{DA95F14C-E30E-47D7-A23B-94FAEEDBB8EF}"/>
              </a:ext>
            </a:extLst>
          </xdr:cNvPr>
          <xdr:cNvSpPr/>
        </xdr:nvSpPr>
        <xdr:spPr>
          <a:xfrm>
            <a:off x="2784341" y="1558672"/>
            <a:ext cx="443458" cy="270401"/>
          </a:xfrm>
          <a:prstGeom prst="cube">
            <a:avLst/>
          </a:prstGeom>
          <a:blipFill>
            <a:blip xmlns:r="http://schemas.openxmlformats.org/officeDocument/2006/relationships" r:embed="rId2"/>
            <a:tile tx="0" ty="0" sx="100000" sy="100000" flip="none" algn="tl"/>
          </a:blipFill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28" name="Cube 27">
            <a:extLst>
              <a:ext uri="{FF2B5EF4-FFF2-40B4-BE49-F238E27FC236}">
                <a16:creationId xmlns:a16="http://schemas.microsoft.com/office/drawing/2014/main" id="{D84B85C5-963A-4614-A62F-E565C30DA5B6}"/>
              </a:ext>
            </a:extLst>
          </xdr:cNvPr>
          <xdr:cNvSpPr/>
        </xdr:nvSpPr>
        <xdr:spPr>
          <a:xfrm>
            <a:off x="3152086" y="1558672"/>
            <a:ext cx="432642" cy="270401"/>
          </a:xfrm>
          <a:prstGeom prst="cube">
            <a:avLst/>
          </a:prstGeom>
          <a:blipFill>
            <a:blip xmlns:r="http://schemas.openxmlformats.org/officeDocument/2006/relationships" r:embed="rId2"/>
            <a:tile tx="0" ty="0" sx="100000" sy="100000" flip="none" algn="tl"/>
          </a:blipFill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29" name="Cube 28">
            <a:extLst>
              <a:ext uri="{FF2B5EF4-FFF2-40B4-BE49-F238E27FC236}">
                <a16:creationId xmlns:a16="http://schemas.microsoft.com/office/drawing/2014/main" id="{CDB26DF5-D0DE-484A-B120-6689F183BD50}"/>
              </a:ext>
            </a:extLst>
          </xdr:cNvPr>
          <xdr:cNvSpPr/>
        </xdr:nvSpPr>
        <xdr:spPr>
          <a:xfrm>
            <a:off x="3509016" y="1558672"/>
            <a:ext cx="443458" cy="270401"/>
          </a:xfrm>
          <a:prstGeom prst="cube">
            <a:avLst/>
          </a:prstGeom>
          <a:blipFill>
            <a:blip xmlns:r="http://schemas.openxmlformats.org/officeDocument/2006/relationships" r:embed="rId2"/>
            <a:tile tx="0" ty="0" sx="100000" sy="100000" flip="none" algn="tl"/>
          </a:blipFill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30" name="Cube 29">
            <a:extLst>
              <a:ext uri="{FF2B5EF4-FFF2-40B4-BE49-F238E27FC236}">
                <a16:creationId xmlns:a16="http://schemas.microsoft.com/office/drawing/2014/main" id="{CA6ABE90-B587-4697-80B8-B61F2707EEE4}"/>
              </a:ext>
            </a:extLst>
          </xdr:cNvPr>
          <xdr:cNvSpPr/>
        </xdr:nvSpPr>
        <xdr:spPr>
          <a:xfrm>
            <a:off x="3876761" y="1558672"/>
            <a:ext cx="443458" cy="270401"/>
          </a:xfrm>
          <a:prstGeom prst="cube">
            <a:avLst/>
          </a:prstGeom>
          <a:blipFill>
            <a:blip xmlns:r="http://schemas.openxmlformats.org/officeDocument/2006/relationships" r:embed="rId2"/>
            <a:tile tx="0" ty="0" sx="100000" sy="100000" flip="none" algn="tl"/>
          </a:blipFill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31" name="Cube 30">
            <a:extLst>
              <a:ext uri="{FF2B5EF4-FFF2-40B4-BE49-F238E27FC236}">
                <a16:creationId xmlns:a16="http://schemas.microsoft.com/office/drawing/2014/main" id="{7C701DEF-8296-4D66-B731-AACE51538655}"/>
              </a:ext>
            </a:extLst>
          </xdr:cNvPr>
          <xdr:cNvSpPr/>
        </xdr:nvSpPr>
        <xdr:spPr>
          <a:xfrm>
            <a:off x="4244506" y="1558672"/>
            <a:ext cx="421826" cy="270401"/>
          </a:xfrm>
          <a:prstGeom prst="cube">
            <a:avLst/>
          </a:prstGeom>
          <a:blipFill>
            <a:blip xmlns:r="http://schemas.openxmlformats.org/officeDocument/2006/relationships" r:embed="rId2"/>
            <a:tile tx="0" ty="0" sx="100000" sy="100000" flip="none" algn="tl"/>
          </a:blipFill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32" name="Cube 31">
            <a:extLst>
              <a:ext uri="{FF2B5EF4-FFF2-40B4-BE49-F238E27FC236}">
                <a16:creationId xmlns:a16="http://schemas.microsoft.com/office/drawing/2014/main" id="{968DFE70-31B6-42DE-9103-C7DD4260FEF9}"/>
              </a:ext>
            </a:extLst>
          </xdr:cNvPr>
          <xdr:cNvSpPr/>
        </xdr:nvSpPr>
        <xdr:spPr>
          <a:xfrm>
            <a:off x="4601436" y="1558672"/>
            <a:ext cx="454274" cy="270401"/>
          </a:xfrm>
          <a:prstGeom prst="cube">
            <a:avLst/>
          </a:prstGeom>
          <a:blipFill>
            <a:blip xmlns:r="http://schemas.openxmlformats.org/officeDocument/2006/relationships" r:embed="rId2"/>
            <a:tile tx="0" ty="0" sx="100000" sy="100000" flip="none" algn="tl"/>
          </a:blipFill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33" name="Cube 32">
            <a:extLst>
              <a:ext uri="{FF2B5EF4-FFF2-40B4-BE49-F238E27FC236}">
                <a16:creationId xmlns:a16="http://schemas.microsoft.com/office/drawing/2014/main" id="{E098DABA-0E49-4DCA-AB7E-AC6D33330B9C}"/>
              </a:ext>
            </a:extLst>
          </xdr:cNvPr>
          <xdr:cNvSpPr/>
        </xdr:nvSpPr>
        <xdr:spPr>
          <a:xfrm>
            <a:off x="4979997" y="1558672"/>
            <a:ext cx="421826" cy="270401"/>
          </a:xfrm>
          <a:prstGeom prst="cube">
            <a:avLst/>
          </a:prstGeom>
          <a:blipFill>
            <a:blip xmlns:r="http://schemas.openxmlformats.org/officeDocument/2006/relationships" r:embed="rId2"/>
            <a:tile tx="0" ty="0" sx="100000" sy="100000" flip="none" algn="tl"/>
          </a:blipFill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cxnSp macro="">
        <xdr:nvCxnSpPr>
          <xdr:cNvPr id="58" name="Straight Connector 57">
            <a:extLst>
              <a:ext uri="{FF2B5EF4-FFF2-40B4-BE49-F238E27FC236}">
                <a16:creationId xmlns:a16="http://schemas.microsoft.com/office/drawing/2014/main" id="{139A4DF6-ADB2-4977-B8E9-B0332CD9A9F6}"/>
              </a:ext>
            </a:extLst>
          </xdr:cNvPr>
          <xdr:cNvCxnSpPr/>
        </xdr:nvCxnSpPr>
        <xdr:spPr>
          <a:xfrm>
            <a:off x="2200275" y="1567685"/>
            <a:ext cx="3590925" cy="9013"/>
          </a:xfrm>
          <a:prstGeom prst="line">
            <a:avLst/>
          </a:prstGeom>
          <a:ln w="28575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4" name="Cube 33">
            <a:extLst>
              <a:ext uri="{FF2B5EF4-FFF2-40B4-BE49-F238E27FC236}">
                <a16:creationId xmlns:a16="http://schemas.microsoft.com/office/drawing/2014/main" id="{217F5901-C6DA-4ABC-8266-2AA991939E4A}"/>
              </a:ext>
            </a:extLst>
          </xdr:cNvPr>
          <xdr:cNvSpPr/>
        </xdr:nvSpPr>
        <xdr:spPr>
          <a:xfrm>
            <a:off x="2600468" y="1324324"/>
            <a:ext cx="421826" cy="270401"/>
          </a:xfrm>
          <a:prstGeom prst="cube">
            <a:avLst/>
          </a:prstGeom>
          <a:blipFill>
            <a:blip xmlns:r="http://schemas.openxmlformats.org/officeDocument/2006/relationships" r:embed="rId2"/>
            <a:tile tx="0" ty="0" sx="100000" sy="100000" flip="none" algn="tl"/>
          </a:blipFill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35" name="Cube 34">
            <a:extLst>
              <a:ext uri="{FF2B5EF4-FFF2-40B4-BE49-F238E27FC236}">
                <a16:creationId xmlns:a16="http://schemas.microsoft.com/office/drawing/2014/main" id="{9F5565E2-CDC5-4F19-8C28-D774EB688917}"/>
              </a:ext>
            </a:extLst>
          </xdr:cNvPr>
          <xdr:cNvSpPr/>
        </xdr:nvSpPr>
        <xdr:spPr>
          <a:xfrm>
            <a:off x="2957398" y="1324324"/>
            <a:ext cx="432642" cy="270401"/>
          </a:xfrm>
          <a:prstGeom prst="cube">
            <a:avLst/>
          </a:prstGeom>
          <a:blipFill>
            <a:blip xmlns:r="http://schemas.openxmlformats.org/officeDocument/2006/relationships" r:embed="rId2"/>
            <a:tile tx="0" ty="0" sx="100000" sy="100000" flip="none" algn="tl"/>
          </a:blipFill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36" name="Cube 35">
            <a:extLst>
              <a:ext uri="{FF2B5EF4-FFF2-40B4-BE49-F238E27FC236}">
                <a16:creationId xmlns:a16="http://schemas.microsoft.com/office/drawing/2014/main" id="{8782862B-1FED-450C-B955-1707F4F57369}"/>
              </a:ext>
            </a:extLst>
          </xdr:cNvPr>
          <xdr:cNvSpPr/>
        </xdr:nvSpPr>
        <xdr:spPr>
          <a:xfrm>
            <a:off x="3325143" y="1324324"/>
            <a:ext cx="432642" cy="270401"/>
          </a:xfrm>
          <a:prstGeom prst="cube">
            <a:avLst/>
          </a:prstGeom>
          <a:blipFill>
            <a:blip xmlns:r="http://schemas.openxmlformats.org/officeDocument/2006/relationships" r:embed="rId2"/>
            <a:tile tx="0" ty="0" sx="100000" sy="100000" flip="none" algn="tl"/>
          </a:blipFill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37" name="Cube 36">
            <a:extLst>
              <a:ext uri="{FF2B5EF4-FFF2-40B4-BE49-F238E27FC236}">
                <a16:creationId xmlns:a16="http://schemas.microsoft.com/office/drawing/2014/main" id="{82F054EE-0E4C-4A4D-AAF6-FDA7CF90619C}"/>
              </a:ext>
            </a:extLst>
          </xdr:cNvPr>
          <xdr:cNvSpPr/>
        </xdr:nvSpPr>
        <xdr:spPr>
          <a:xfrm>
            <a:off x="3692888" y="1324324"/>
            <a:ext cx="421826" cy="270401"/>
          </a:xfrm>
          <a:prstGeom prst="cube">
            <a:avLst/>
          </a:prstGeom>
          <a:blipFill>
            <a:blip xmlns:r="http://schemas.openxmlformats.org/officeDocument/2006/relationships" r:embed="rId2"/>
            <a:tile tx="0" ty="0" sx="100000" sy="100000" flip="none" algn="tl"/>
          </a:blipFill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38" name="Cube 37">
            <a:extLst>
              <a:ext uri="{FF2B5EF4-FFF2-40B4-BE49-F238E27FC236}">
                <a16:creationId xmlns:a16="http://schemas.microsoft.com/office/drawing/2014/main" id="{6779B1C1-E2B9-4DFE-98E8-7B3673110613}"/>
              </a:ext>
            </a:extLst>
          </xdr:cNvPr>
          <xdr:cNvSpPr/>
        </xdr:nvSpPr>
        <xdr:spPr>
          <a:xfrm>
            <a:off x="4039002" y="1324324"/>
            <a:ext cx="443458" cy="270401"/>
          </a:xfrm>
          <a:prstGeom prst="cube">
            <a:avLst/>
          </a:prstGeom>
          <a:blipFill>
            <a:blip xmlns:r="http://schemas.openxmlformats.org/officeDocument/2006/relationships" r:embed="rId2"/>
            <a:tile tx="0" ty="0" sx="100000" sy="100000" flip="none" algn="tl"/>
          </a:blipFill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39" name="Cube 38">
            <a:extLst>
              <a:ext uri="{FF2B5EF4-FFF2-40B4-BE49-F238E27FC236}">
                <a16:creationId xmlns:a16="http://schemas.microsoft.com/office/drawing/2014/main" id="{1B26C5DA-AF30-4920-9B42-6EDAFF2FAED5}"/>
              </a:ext>
            </a:extLst>
          </xdr:cNvPr>
          <xdr:cNvSpPr/>
        </xdr:nvSpPr>
        <xdr:spPr>
          <a:xfrm>
            <a:off x="4428379" y="1324324"/>
            <a:ext cx="421826" cy="270401"/>
          </a:xfrm>
          <a:prstGeom prst="cube">
            <a:avLst/>
          </a:prstGeom>
          <a:blipFill>
            <a:blip xmlns:r="http://schemas.openxmlformats.org/officeDocument/2006/relationships" r:embed="rId2"/>
            <a:tile tx="0" ty="0" sx="100000" sy="100000" flip="none" algn="tl"/>
          </a:blipFill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40" name="Cube 39">
            <a:extLst>
              <a:ext uri="{FF2B5EF4-FFF2-40B4-BE49-F238E27FC236}">
                <a16:creationId xmlns:a16="http://schemas.microsoft.com/office/drawing/2014/main" id="{CDCDBF23-15F1-4F0F-AC3A-0244678D023D}"/>
              </a:ext>
            </a:extLst>
          </xdr:cNvPr>
          <xdr:cNvSpPr/>
        </xdr:nvSpPr>
        <xdr:spPr>
          <a:xfrm>
            <a:off x="4774492" y="1324324"/>
            <a:ext cx="432642" cy="270401"/>
          </a:xfrm>
          <a:prstGeom prst="cube">
            <a:avLst/>
          </a:prstGeom>
          <a:blipFill>
            <a:blip xmlns:r="http://schemas.openxmlformats.org/officeDocument/2006/relationships" r:embed="rId2"/>
            <a:tile tx="0" ty="0" sx="100000" sy="100000" flip="none" algn="tl"/>
          </a:blipFill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42" name="Cube 41">
            <a:extLst>
              <a:ext uri="{FF2B5EF4-FFF2-40B4-BE49-F238E27FC236}">
                <a16:creationId xmlns:a16="http://schemas.microsoft.com/office/drawing/2014/main" id="{D016FC67-E320-473E-AB8D-6535BE07E133}"/>
              </a:ext>
            </a:extLst>
          </xdr:cNvPr>
          <xdr:cNvSpPr/>
        </xdr:nvSpPr>
        <xdr:spPr>
          <a:xfrm>
            <a:off x="2784341" y="1098990"/>
            <a:ext cx="443458" cy="270401"/>
          </a:xfrm>
          <a:prstGeom prst="cube">
            <a:avLst/>
          </a:prstGeom>
          <a:blipFill>
            <a:blip xmlns:r="http://schemas.openxmlformats.org/officeDocument/2006/relationships" r:embed="rId2"/>
            <a:tile tx="0" ty="0" sx="100000" sy="100000" flip="none" algn="tl"/>
          </a:blipFill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43" name="Cube 42">
            <a:extLst>
              <a:ext uri="{FF2B5EF4-FFF2-40B4-BE49-F238E27FC236}">
                <a16:creationId xmlns:a16="http://schemas.microsoft.com/office/drawing/2014/main" id="{C0AB6DE3-E289-424E-A182-3D05F6AF549E}"/>
              </a:ext>
            </a:extLst>
          </xdr:cNvPr>
          <xdr:cNvSpPr/>
        </xdr:nvSpPr>
        <xdr:spPr>
          <a:xfrm>
            <a:off x="3152086" y="1098990"/>
            <a:ext cx="432642" cy="270401"/>
          </a:xfrm>
          <a:prstGeom prst="cube">
            <a:avLst/>
          </a:prstGeom>
          <a:blipFill>
            <a:blip xmlns:r="http://schemas.openxmlformats.org/officeDocument/2006/relationships" r:embed="rId2"/>
            <a:tile tx="0" ty="0" sx="100000" sy="100000" flip="none" algn="tl"/>
          </a:blipFill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44" name="Cube 43">
            <a:extLst>
              <a:ext uri="{FF2B5EF4-FFF2-40B4-BE49-F238E27FC236}">
                <a16:creationId xmlns:a16="http://schemas.microsoft.com/office/drawing/2014/main" id="{66B7072B-792B-4477-B943-F74C4E13F2EB}"/>
              </a:ext>
            </a:extLst>
          </xdr:cNvPr>
          <xdr:cNvSpPr/>
        </xdr:nvSpPr>
        <xdr:spPr>
          <a:xfrm>
            <a:off x="3509016" y="1098990"/>
            <a:ext cx="443458" cy="270401"/>
          </a:xfrm>
          <a:prstGeom prst="cube">
            <a:avLst/>
          </a:prstGeom>
          <a:blipFill>
            <a:blip xmlns:r="http://schemas.openxmlformats.org/officeDocument/2006/relationships" r:embed="rId2"/>
            <a:tile tx="0" ty="0" sx="100000" sy="100000" flip="none" algn="tl"/>
          </a:blipFill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45" name="Cube 44">
            <a:extLst>
              <a:ext uri="{FF2B5EF4-FFF2-40B4-BE49-F238E27FC236}">
                <a16:creationId xmlns:a16="http://schemas.microsoft.com/office/drawing/2014/main" id="{0D835F5E-F05A-45AC-8280-AE33E3876777}"/>
              </a:ext>
            </a:extLst>
          </xdr:cNvPr>
          <xdr:cNvSpPr/>
        </xdr:nvSpPr>
        <xdr:spPr>
          <a:xfrm>
            <a:off x="3876761" y="1098990"/>
            <a:ext cx="443458" cy="270401"/>
          </a:xfrm>
          <a:prstGeom prst="cube">
            <a:avLst/>
          </a:prstGeom>
          <a:blipFill>
            <a:blip xmlns:r="http://schemas.openxmlformats.org/officeDocument/2006/relationships" r:embed="rId2"/>
            <a:tile tx="0" ty="0" sx="100000" sy="100000" flip="none" algn="tl"/>
          </a:blipFill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46" name="Cube 45">
            <a:extLst>
              <a:ext uri="{FF2B5EF4-FFF2-40B4-BE49-F238E27FC236}">
                <a16:creationId xmlns:a16="http://schemas.microsoft.com/office/drawing/2014/main" id="{48B5516D-7603-4E9D-8976-4D81BDBE937C}"/>
              </a:ext>
            </a:extLst>
          </xdr:cNvPr>
          <xdr:cNvSpPr/>
        </xdr:nvSpPr>
        <xdr:spPr>
          <a:xfrm>
            <a:off x="4244506" y="1098990"/>
            <a:ext cx="421826" cy="270401"/>
          </a:xfrm>
          <a:prstGeom prst="cube">
            <a:avLst/>
          </a:prstGeom>
          <a:blipFill>
            <a:blip xmlns:r="http://schemas.openxmlformats.org/officeDocument/2006/relationships" r:embed="rId2"/>
            <a:tile tx="0" ty="0" sx="100000" sy="100000" flip="none" algn="tl"/>
          </a:blipFill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47" name="Cube 46">
            <a:extLst>
              <a:ext uri="{FF2B5EF4-FFF2-40B4-BE49-F238E27FC236}">
                <a16:creationId xmlns:a16="http://schemas.microsoft.com/office/drawing/2014/main" id="{AEC64925-01E6-47D7-A862-A63036A98A18}"/>
              </a:ext>
            </a:extLst>
          </xdr:cNvPr>
          <xdr:cNvSpPr/>
        </xdr:nvSpPr>
        <xdr:spPr>
          <a:xfrm>
            <a:off x="4601436" y="1098990"/>
            <a:ext cx="454274" cy="270401"/>
          </a:xfrm>
          <a:prstGeom prst="cube">
            <a:avLst/>
          </a:prstGeom>
          <a:blipFill>
            <a:blip xmlns:r="http://schemas.openxmlformats.org/officeDocument/2006/relationships" r:embed="rId2"/>
            <a:tile tx="0" ty="0" sx="100000" sy="100000" flip="none" algn="tl"/>
          </a:blipFill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49" name="Cube 48">
            <a:extLst>
              <a:ext uri="{FF2B5EF4-FFF2-40B4-BE49-F238E27FC236}">
                <a16:creationId xmlns:a16="http://schemas.microsoft.com/office/drawing/2014/main" id="{023308BB-3066-4B78-81DB-9CC7A1CA86B3}"/>
              </a:ext>
            </a:extLst>
          </xdr:cNvPr>
          <xdr:cNvSpPr/>
        </xdr:nvSpPr>
        <xdr:spPr>
          <a:xfrm>
            <a:off x="2600468" y="873656"/>
            <a:ext cx="432642" cy="270401"/>
          </a:xfrm>
          <a:prstGeom prst="cube">
            <a:avLst/>
          </a:prstGeom>
          <a:blipFill>
            <a:blip xmlns:r="http://schemas.openxmlformats.org/officeDocument/2006/relationships" r:embed="rId2"/>
            <a:tile tx="0" ty="0" sx="100000" sy="100000" flip="none" algn="tl"/>
          </a:blipFill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50" name="Cube 49">
            <a:extLst>
              <a:ext uri="{FF2B5EF4-FFF2-40B4-BE49-F238E27FC236}">
                <a16:creationId xmlns:a16="http://schemas.microsoft.com/office/drawing/2014/main" id="{248F2F87-9AA8-4053-8D78-87701060C2CA}"/>
              </a:ext>
            </a:extLst>
          </xdr:cNvPr>
          <xdr:cNvSpPr/>
        </xdr:nvSpPr>
        <xdr:spPr>
          <a:xfrm>
            <a:off x="2968214" y="873656"/>
            <a:ext cx="421826" cy="270401"/>
          </a:xfrm>
          <a:prstGeom prst="cube">
            <a:avLst/>
          </a:prstGeom>
          <a:blipFill>
            <a:blip xmlns:r="http://schemas.openxmlformats.org/officeDocument/2006/relationships" r:embed="rId2"/>
            <a:tile tx="0" ty="0" sx="100000" sy="100000" flip="none" algn="tl"/>
          </a:blipFill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51" name="Cube 50">
            <a:extLst>
              <a:ext uri="{FF2B5EF4-FFF2-40B4-BE49-F238E27FC236}">
                <a16:creationId xmlns:a16="http://schemas.microsoft.com/office/drawing/2014/main" id="{8C3F1EF7-AE01-4872-BE23-3A286F541BCE}"/>
              </a:ext>
            </a:extLst>
          </xdr:cNvPr>
          <xdr:cNvSpPr/>
        </xdr:nvSpPr>
        <xdr:spPr>
          <a:xfrm>
            <a:off x="3325143" y="873656"/>
            <a:ext cx="432642" cy="270401"/>
          </a:xfrm>
          <a:prstGeom prst="cube">
            <a:avLst/>
          </a:prstGeom>
          <a:blipFill>
            <a:blip xmlns:r="http://schemas.openxmlformats.org/officeDocument/2006/relationships" r:embed="rId2"/>
            <a:tile tx="0" ty="0" sx="100000" sy="100000" flip="none" algn="tl"/>
          </a:blipFill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52" name="Cube 51">
            <a:extLst>
              <a:ext uri="{FF2B5EF4-FFF2-40B4-BE49-F238E27FC236}">
                <a16:creationId xmlns:a16="http://schemas.microsoft.com/office/drawing/2014/main" id="{AE100539-D3BF-472B-9B0D-2E22E4212C12}"/>
              </a:ext>
            </a:extLst>
          </xdr:cNvPr>
          <xdr:cNvSpPr/>
        </xdr:nvSpPr>
        <xdr:spPr>
          <a:xfrm>
            <a:off x="3703704" y="873656"/>
            <a:ext cx="421826" cy="270401"/>
          </a:xfrm>
          <a:prstGeom prst="cube">
            <a:avLst/>
          </a:prstGeom>
          <a:blipFill>
            <a:blip xmlns:r="http://schemas.openxmlformats.org/officeDocument/2006/relationships" r:embed="rId2"/>
            <a:tile tx="0" ty="0" sx="100000" sy="100000" flip="none" algn="tl"/>
          </a:blipFill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53" name="Cube 52">
            <a:extLst>
              <a:ext uri="{FF2B5EF4-FFF2-40B4-BE49-F238E27FC236}">
                <a16:creationId xmlns:a16="http://schemas.microsoft.com/office/drawing/2014/main" id="{A61A20D4-D4BB-4789-9543-5D715918203C}"/>
              </a:ext>
            </a:extLst>
          </xdr:cNvPr>
          <xdr:cNvSpPr/>
        </xdr:nvSpPr>
        <xdr:spPr>
          <a:xfrm>
            <a:off x="4060634" y="873656"/>
            <a:ext cx="432642" cy="270401"/>
          </a:xfrm>
          <a:prstGeom prst="cube">
            <a:avLst/>
          </a:prstGeom>
          <a:blipFill>
            <a:blip xmlns:r="http://schemas.openxmlformats.org/officeDocument/2006/relationships" r:embed="rId2"/>
            <a:tile tx="0" ty="0" sx="100000" sy="100000" flip="none" algn="tl"/>
          </a:blipFill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54" name="Cube 53">
            <a:extLst>
              <a:ext uri="{FF2B5EF4-FFF2-40B4-BE49-F238E27FC236}">
                <a16:creationId xmlns:a16="http://schemas.microsoft.com/office/drawing/2014/main" id="{326709A3-B25D-4FF8-B630-C766AF3FCC72}"/>
              </a:ext>
            </a:extLst>
          </xdr:cNvPr>
          <xdr:cNvSpPr/>
        </xdr:nvSpPr>
        <xdr:spPr>
          <a:xfrm>
            <a:off x="4428379" y="873656"/>
            <a:ext cx="443458" cy="270401"/>
          </a:xfrm>
          <a:prstGeom prst="cube">
            <a:avLst/>
          </a:prstGeom>
          <a:blipFill>
            <a:blip xmlns:r="http://schemas.openxmlformats.org/officeDocument/2006/relationships" r:embed="rId2"/>
            <a:tile tx="0" ty="0" sx="100000" sy="100000" flip="none" algn="tl"/>
          </a:blipFill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cxnSp macro="">
        <xdr:nvCxnSpPr>
          <xdr:cNvPr id="63" name="Straight Connector 62">
            <a:extLst>
              <a:ext uri="{FF2B5EF4-FFF2-40B4-BE49-F238E27FC236}">
                <a16:creationId xmlns:a16="http://schemas.microsoft.com/office/drawing/2014/main" id="{E70FDD08-A4DF-4D01-A714-1E0B7D8C091C}"/>
              </a:ext>
            </a:extLst>
          </xdr:cNvPr>
          <xdr:cNvCxnSpPr/>
        </xdr:nvCxnSpPr>
        <xdr:spPr>
          <a:xfrm flipV="1">
            <a:off x="2805973" y="269760"/>
            <a:ext cx="0" cy="648962"/>
          </a:xfrm>
          <a:prstGeom prst="line">
            <a:avLst/>
          </a:prstGeom>
          <a:ln w="28575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4" name="Straight Connector 63">
            <a:extLst>
              <a:ext uri="{FF2B5EF4-FFF2-40B4-BE49-F238E27FC236}">
                <a16:creationId xmlns:a16="http://schemas.microsoft.com/office/drawing/2014/main" id="{E4BEC410-A845-43FA-B005-D98996643096}"/>
              </a:ext>
            </a:extLst>
          </xdr:cNvPr>
          <xdr:cNvCxnSpPr/>
        </xdr:nvCxnSpPr>
        <xdr:spPr>
          <a:xfrm flipV="1">
            <a:off x="3876761" y="269760"/>
            <a:ext cx="0" cy="648962"/>
          </a:xfrm>
          <a:prstGeom prst="line">
            <a:avLst/>
          </a:prstGeom>
          <a:ln w="28575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5" name="Straight Connector 64">
            <a:extLst>
              <a:ext uri="{FF2B5EF4-FFF2-40B4-BE49-F238E27FC236}">
                <a16:creationId xmlns:a16="http://schemas.microsoft.com/office/drawing/2014/main" id="{1BC848E3-59B0-4191-B8EB-17A5A63C5492}"/>
              </a:ext>
            </a:extLst>
          </xdr:cNvPr>
          <xdr:cNvCxnSpPr>
            <a:stCxn id="40" idx="0"/>
            <a:endCxn id="55" idx="0"/>
          </xdr:cNvCxnSpPr>
        </xdr:nvCxnSpPr>
        <xdr:spPr>
          <a:xfrm flipV="1">
            <a:off x="5034077" y="873656"/>
            <a:ext cx="0" cy="450668"/>
          </a:xfrm>
          <a:prstGeom prst="line">
            <a:avLst/>
          </a:prstGeom>
          <a:ln w="28575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5" name="Cube 54">
            <a:extLst>
              <a:ext uri="{FF2B5EF4-FFF2-40B4-BE49-F238E27FC236}">
                <a16:creationId xmlns:a16="http://schemas.microsoft.com/office/drawing/2014/main" id="{4396E925-16C0-41DB-AD03-4131EA8FA807}"/>
              </a:ext>
            </a:extLst>
          </xdr:cNvPr>
          <xdr:cNvSpPr/>
        </xdr:nvSpPr>
        <xdr:spPr>
          <a:xfrm>
            <a:off x="4796124" y="873656"/>
            <a:ext cx="421826" cy="270401"/>
          </a:xfrm>
          <a:prstGeom prst="cube">
            <a:avLst/>
          </a:prstGeom>
          <a:blipFill>
            <a:blip xmlns:r="http://schemas.openxmlformats.org/officeDocument/2006/relationships" r:embed="rId2"/>
            <a:tile tx="0" ty="0" sx="100000" sy="100000" flip="none" algn="tl"/>
          </a:blipFill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cxnSp macro="">
        <xdr:nvCxnSpPr>
          <xdr:cNvPr id="70" name="Straight Connector 69">
            <a:extLst>
              <a:ext uri="{FF2B5EF4-FFF2-40B4-BE49-F238E27FC236}">
                <a16:creationId xmlns:a16="http://schemas.microsoft.com/office/drawing/2014/main" id="{1B6A52BD-50F6-4777-80E9-F9BEF3A44326}"/>
              </a:ext>
            </a:extLst>
          </xdr:cNvPr>
          <xdr:cNvCxnSpPr/>
        </xdr:nvCxnSpPr>
        <xdr:spPr>
          <a:xfrm flipV="1">
            <a:off x="5023261" y="260747"/>
            <a:ext cx="0" cy="639949"/>
          </a:xfrm>
          <a:prstGeom prst="line">
            <a:avLst/>
          </a:prstGeom>
          <a:ln w="28575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175260</xdr:colOff>
      <xdr:row>15</xdr:row>
      <xdr:rowOff>91440</xdr:rowOff>
    </xdr:from>
    <xdr:to>
      <xdr:col>3</xdr:col>
      <xdr:colOff>594360</xdr:colOff>
      <xdr:row>24</xdr:row>
      <xdr:rowOff>121920</xdr:rowOff>
    </xdr:to>
    <xdr:grpSp>
      <xdr:nvGrpSpPr>
        <xdr:cNvPr id="24175" name="Group 78">
          <a:extLst>
            <a:ext uri="{FF2B5EF4-FFF2-40B4-BE49-F238E27FC236}">
              <a16:creationId xmlns:a16="http://schemas.microsoft.com/office/drawing/2014/main" id="{1CC298E6-F21D-48DC-AE18-F022B6050B96}"/>
            </a:ext>
          </a:extLst>
        </xdr:cNvPr>
        <xdr:cNvGrpSpPr>
          <a:grpSpLocks/>
        </xdr:cNvGrpSpPr>
      </xdr:nvGrpSpPr>
      <xdr:grpSpPr bwMode="auto">
        <a:xfrm>
          <a:off x="175260" y="3131820"/>
          <a:ext cx="2339340" cy="1676400"/>
          <a:chOff x="38100" y="695325"/>
          <a:chExt cx="2390775" cy="1552576"/>
        </a:xfrm>
      </xdr:grpSpPr>
      <xdr:sp macro="" textlink="">
        <xdr:nvSpPr>
          <xdr:cNvPr id="80" name="Cube 79">
            <a:extLst>
              <a:ext uri="{FF2B5EF4-FFF2-40B4-BE49-F238E27FC236}">
                <a16:creationId xmlns:a16="http://schemas.microsoft.com/office/drawing/2014/main" id="{0DED4B7C-1206-4916-BABD-A390734F768E}"/>
              </a:ext>
            </a:extLst>
          </xdr:cNvPr>
          <xdr:cNvSpPr/>
        </xdr:nvSpPr>
        <xdr:spPr>
          <a:xfrm>
            <a:off x="38100" y="695325"/>
            <a:ext cx="2390775" cy="1552576"/>
          </a:xfrm>
          <a:prstGeom prst="cube">
            <a:avLst>
              <a:gd name="adj" fmla="val 4401"/>
            </a:avLst>
          </a:prstGeom>
          <a:blipFill>
            <a:blip xmlns:r="http://schemas.openxmlformats.org/officeDocument/2006/relationships" r:embed="rId3"/>
            <a:tile tx="0" ty="0" sx="100000" sy="100000" flip="none" algn="tl"/>
          </a:blip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pic>
        <xdr:nvPicPr>
          <xdr:cNvPr id="25601" name="Picture 80" descr="C:\Users\RONALDJOHN\Desktop\index.jpg">
            <a:extLst>
              <a:ext uri="{FF2B5EF4-FFF2-40B4-BE49-F238E27FC236}">
                <a16:creationId xmlns:a16="http://schemas.microsoft.com/office/drawing/2014/main" id="{9FD06640-69BF-48BD-89F6-E1F2D595FB1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09664" y="981076"/>
            <a:ext cx="657225" cy="123825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25602" name="Picture 81">
            <a:extLst>
              <a:ext uri="{FF2B5EF4-FFF2-40B4-BE49-F238E27FC236}">
                <a16:creationId xmlns:a16="http://schemas.microsoft.com/office/drawing/2014/main" id="{34A82302-B582-4F67-89B7-803AA083EAB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04900" y="1066799"/>
            <a:ext cx="1009650" cy="6191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0</xdr:col>
      <xdr:colOff>0</xdr:colOff>
      <xdr:row>27</xdr:row>
      <xdr:rowOff>137160</xdr:rowOff>
    </xdr:from>
    <xdr:to>
      <xdr:col>3</xdr:col>
      <xdr:colOff>609600</xdr:colOff>
      <xdr:row>42</xdr:row>
      <xdr:rowOff>60960</xdr:rowOff>
    </xdr:to>
    <xdr:grpSp>
      <xdr:nvGrpSpPr>
        <xdr:cNvPr id="24176" name="Group 113">
          <a:extLst>
            <a:ext uri="{FF2B5EF4-FFF2-40B4-BE49-F238E27FC236}">
              <a16:creationId xmlns:a16="http://schemas.microsoft.com/office/drawing/2014/main" id="{9DF6BDFE-A659-4F4C-B880-D42F2DBFE778}"/>
            </a:ext>
          </a:extLst>
        </xdr:cNvPr>
        <xdr:cNvGrpSpPr>
          <a:grpSpLocks/>
        </xdr:cNvGrpSpPr>
      </xdr:nvGrpSpPr>
      <xdr:grpSpPr bwMode="auto">
        <a:xfrm>
          <a:off x="0" y="5372100"/>
          <a:ext cx="2529840" cy="2667000"/>
          <a:chOff x="25066" y="5549565"/>
          <a:chExt cx="2699083" cy="2782305"/>
        </a:xfrm>
      </xdr:grpSpPr>
      <xdr:grpSp>
        <xdr:nvGrpSpPr>
          <xdr:cNvPr id="24548" name="Group 99">
            <a:extLst>
              <a:ext uri="{FF2B5EF4-FFF2-40B4-BE49-F238E27FC236}">
                <a16:creationId xmlns:a16="http://schemas.microsoft.com/office/drawing/2014/main" id="{1BDB396C-AA72-4E2B-A2DC-8FB8EE30C762}"/>
              </a:ext>
            </a:extLst>
          </xdr:cNvPr>
          <xdr:cNvGrpSpPr>
            <a:grpSpLocks/>
          </xdr:cNvGrpSpPr>
        </xdr:nvGrpSpPr>
        <xdr:grpSpPr bwMode="auto">
          <a:xfrm>
            <a:off x="506329" y="6496279"/>
            <a:ext cx="1380086" cy="1374379"/>
            <a:chOff x="486276" y="7373582"/>
            <a:chExt cx="1380086" cy="1374379"/>
          </a:xfrm>
        </xdr:grpSpPr>
        <xdr:sp macro="" textlink="">
          <xdr:nvSpPr>
            <xdr:cNvPr id="72" name="Rectangle 71">
              <a:extLst>
                <a:ext uri="{FF2B5EF4-FFF2-40B4-BE49-F238E27FC236}">
                  <a16:creationId xmlns:a16="http://schemas.microsoft.com/office/drawing/2014/main" id="{B62AFA88-3C85-4A7F-84F6-AD068677B1F4}"/>
                </a:ext>
              </a:extLst>
            </xdr:cNvPr>
            <xdr:cNvSpPr/>
          </xdr:nvSpPr>
          <xdr:spPr>
            <a:xfrm>
              <a:off x="485787" y="7364902"/>
              <a:ext cx="1391715" cy="1391152"/>
            </a:xfrm>
            <a:prstGeom prst="rect">
              <a:avLst/>
            </a:prstGeom>
            <a:blipFill>
              <a:blip xmlns:r="http://schemas.openxmlformats.org/officeDocument/2006/relationships" r:embed="rId1"/>
              <a:tile tx="0" ty="0" sx="100000" sy="100000" flip="none" algn="tl"/>
            </a:blipFill>
            <a:ln w="3175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endParaRPr lang="en-PH"/>
            </a:p>
          </xdr:txBody>
        </xdr:sp>
        <xdr:grpSp>
          <xdr:nvGrpSpPr>
            <xdr:cNvPr id="24567" name="Group 88">
              <a:extLst>
                <a:ext uri="{FF2B5EF4-FFF2-40B4-BE49-F238E27FC236}">
                  <a16:creationId xmlns:a16="http://schemas.microsoft.com/office/drawing/2014/main" id="{91E2B6B2-1130-4AAC-B603-5751719A0DCD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615615" y="7497470"/>
              <a:ext cx="1120942" cy="1119939"/>
              <a:chOff x="2124576" y="7462378"/>
              <a:chExt cx="1120942" cy="1119939"/>
            </a:xfrm>
          </xdr:grpSpPr>
          <xdr:sp macro="" textlink="">
            <xdr:nvSpPr>
              <xdr:cNvPr id="74" name="Rectangle 73">
                <a:extLst>
                  <a:ext uri="{FF2B5EF4-FFF2-40B4-BE49-F238E27FC236}">
                    <a16:creationId xmlns:a16="http://schemas.microsoft.com/office/drawing/2014/main" id="{88EE755C-9100-4437-8CA1-58D3CAD3A932}"/>
                  </a:ext>
                </a:extLst>
              </xdr:cNvPr>
              <xdr:cNvSpPr/>
            </xdr:nvSpPr>
            <xdr:spPr>
              <a:xfrm>
                <a:off x="2079094" y="7457001"/>
                <a:ext cx="1197718" cy="1120872"/>
              </a:xfrm>
              <a:prstGeom prst="rect">
                <a:avLst/>
              </a:prstGeom>
              <a:noFill/>
              <a:ln w="19050">
                <a:solidFill>
                  <a:srgbClr val="FF000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endParaRPr lang="en-PH"/>
              </a:p>
            </xdr:txBody>
          </xdr:sp>
          <xdr:cxnSp macro="">
            <xdr:nvCxnSpPr>
              <xdr:cNvPr id="78" name="Straight Connector 77">
                <a:extLst>
                  <a:ext uri="{FF2B5EF4-FFF2-40B4-BE49-F238E27FC236}">
                    <a16:creationId xmlns:a16="http://schemas.microsoft.com/office/drawing/2014/main" id="{E50F6957-91D9-465A-BBA9-083068477573}"/>
                  </a:ext>
                </a:extLst>
              </xdr:cNvPr>
              <xdr:cNvCxnSpPr>
                <a:stCxn id="74" idx="0"/>
                <a:endCxn id="74" idx="2"/>
              </xdr:cNvCxnSpPr>
            </xdr:nvCxnSpPr>
            <xdr:spPr>
              <a:xfrm rot="16200000" flipH="1">
                <a:off x="2075344" y="8017437"/>
                <a:ext cx="1120872" cy="0"/>
              </a:xfrm>
              <a:prstGeom prst="line">
                <a:avLst/>
              </a:prstGeom>
              <a:ln w="19050">
                <a:solidFill>
                  <a:srgbClr val="FF0000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84" name="Straight Connector 83">
                <a:extLst>
                  <a:ext uri="{FF2B5EF4-FFF2-40B4-BE49-F238E27FC236}">
                    <a16:creationId xmlns:a16="http://schemas.microsoft.com/office/drawing/2014/main" id="{C6330333-6253-434E-BFE8-09AAFF97A39B}"/>
                  </a:ext>
                </a:extLst>
              </xdr:cNvPr>
              <xdr:cNvCxnSpPr>
                <a:stCxn id="74" idx="1"/>
                <a:endCxn id="74" idx="3"/>
              </xdr:cNvCxnSpPr>
            </xdr:nvCxnSpPr>
            <xdr:spPr>
              <a:xfrm rot="10800000" flipH="1">
                <a:off x="2079094" y="8029361"/>
                <a:ext cx="1197718" cy="0"/>
              </a:xfrm>
              <a:prstGeom prst="line">
                <a:avLst/>
              </a:prstGeom>
              <a:ln w="19050">
                <a:solidFill>
                  <a:srgbClr val="FF0000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85" name="Straight Connector 84">
                <a:extLst>
                  <a:ext uri="{FF2B5EF4-FFF2-40B4-BE49-F238E27FC236}">
                    <a16:creationId xmlns:a16="http://schemas.microsoft.com/office/drawing/2014/main" id="{BB80131E-887F-47E4-B235-E1897CA015FA}"/>
                  </a:ext>
                </a:extLst>
              </xdr:cNvPr>
              <xdr:cNvCxnSpPr/>
            </xdr:nvCxnSpPr>
            <xdr:spPr>
              <a:xfrm rot="10800000" flipH="1">
                <a:off x="2079094" y="7751131"/>
                <a:ext cx="1197718" cy="0"/>
              </a:xfrm>
              <a:prstGeom prst="line">
                <a:avLst/>
              </a:prstGeom>
              <a:ln w="19050">
                <a:solidFill>
                  <a:srgbClr val="FF0000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86" name="Straight Connector 85">
                <a:extLst>
                  <a:ext uri="{FF2B5EF4-FFF2-40B4-BE49-F238E27FC236}">
                    <a16:creationId xmlns:a16="http://schemas.microsoft.com/office/drawing/2014/main" id="{40DD3EA3-A0A8-45F8-9A24-91DF71C860AF}"/>
                  </a:ext>
                </a:extLst>
              </xdr:cNvPr>
              <xdr:cNvCxnSpPr/>
            </xdr:nvCxnSpPr>
            <xdr:spPr>
              <a:xfrm rot="10800000" flipH="1">
                <a:off x="2062225" y="8299642"/>
                <a:ext cx="1206153" cy="0"/>
              </a:xfrm>
              <a:prstGeom prst="line">
                <a:avLst/>
              </a:prstGeom>
              <a:ln w="19050">
                <a:solidFill>
                  <a:srgbClr val="FF0000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87" name="Straight Connector 86">
                <a:extLst>
                  <a:ext uri="{FF2B5EF4-FFF2-40B4-BE49-F238E27FC236}">
                    <a16:creationId xmlns:a16="http://schemas.microsoft.com/office/drawing/2014/main" id="{FD1E8125-748D-4670-8F83-1A55347AB7BF}"/>
                  </a:ext>
                </a:extLst>
              </xdr:cNvPr>
              <xdr:cNvCxnSpPr/>
            </xdr:nvCxnSpPr>
            <xdr:spPr>
              <a:xfrm rot="16200000" flipH="1">
                <a:off x="1797001" y="8017437"/>
                <a:ext cx="1120872" cy="0"/>
              </a:xfrm>
              <a:prstGeom prst="line">
                <a:avLst/>
              </a:prstGeom>
              <a:ln w="19050">
                <a:solidFill>
                  <a:srgbClr val="FF0000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88" name="Straight Connector 87">
                <a:extLst>
                  <a:ext uri="{FF2B5EF4-FFF2-40B4-BE49-F238E27FC236}">
                    <a16:creationId xmlns:a16="http://schemas.microsoft.com/office/drawing/2014/main" id="{D4C7C2BA-D10C-4C16-8EDD-AEF765908501}"/>
                  </a:ext>
                </a:extLst>
              </xdr:cNvPr>
              <xdr:cNvCxnSpPr/>
            </xdr:nvCxnSpPr>
            <xdr:spPr>
              <a:xfrm rot="16200000" flipH="1">
                <a:off x="2433574" y="8029361"/>
                <a:ext cx="1112922" cy="0"/>
              </a:xfrm>
              <a:prstGeom prst="line">
                <a:avLst/>
              </a:prstGeom>
              <a:ln w="19050">
                <a:solidFill>
                  <a:srgbClr val="FF0000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  <xdr:sp macro="" textlink="">
          <xdr:nvSpPr>
            <xdr:cNvPr id="73" name="Freeform 72">
              <a:extLst>
                <a:ext uri="{FF2B5EF4-FFF2-40B4-BE49-F238E27FC236}">
                  <a16:creationId xmlns:a16="http://schemas.microsoft.com/office/drawing/2014/main" id="{6DD32575-278E-4A83-9991-7A758B868D0A}"/>
                </a:ext>
              </a:extLst>
            </xdr:cNvPr>
            <xdr:cNvSpPr/>
          </xdr:nvSpPr>
          <xdr:spPr>
            <a:xfrm>
              <a:off x="485787" y="7865717"/>
              <a:ext cx="868768" cy="890337"/>
            </a:xfrm>
            <a:custGeom>
              <a:avLst/>
              <a:gdLst>
                <a:gd name="connsiteX0" fmla="*/ 0 w 862263"/>
                <a:gd name="connsiteY0" fmla="*/ 872289 h 882316"/>
                <a:gd name="connsiteX1" fmla="*/ 5013 w 862263"/>
                <a:gd name="connsiteY1" fmla="*/ 0 h 882316"/>
                <a:gd name="connsiteX2" fmla="*/ 130342 w 862263"/>
                <a:gd name="connsiteY2" fmla="*/ 110289 h 882316"/>
                <a:gd name="connsiteX3" fmla="*/ 300790 w 862263"/>
                <a:gd name="connsiteY3" fmla="*/ 190500 h 882316"/>
                <a:gd name="connsiteX4" fmla="*/ 451185 w 862263"/>
                <a:gd name="connsiteY4" fmla="*/ 240631 h 882316"/>
                <a:gd name="connsiteX5" fmla="*/ 461211 w 862263"/>
                <a:gd name="connsiteY5" fmla="*/ 250658 h 882316"/>
                <a:gd name="connsiteX6" fmla="*/ 466224 w 862263"/>
                <a:gd name="connsiteY6" fmla="*/ 260684 h 882316"/>
                <a:gd name="connsiteX7" fmla="*/ 491290 w 862263"/>
                <a:gd name="connsiteY7" fmla="*/ 386013 h 882316"/>
                <a:gd name="connsiteX8" fmla="*/ 501316 w 862263"/>
                <a:gd name="connsiteY8" fmla="*/ 401052 h 882316"/>
                <a:gd name="connsiteX9" fmla="*/ 511342 w 862263"/>
                <a:gd name="connsiteY9" fmla="*/ 421105 h 882316"/>
                <a:gd name="connsiteX10" fmla="*/ 536408 w 862263"/>
                <a:gd name="connsiteY10" fmla="*/ 466223 h 882316"/>
                <a:gd name="connsiteX11" fmla="*/ 546435 w 862263"/>
                <a:gd name="connsiteY11" fmla="*/ 476250 h 882316"/>
                <a:gd name="connsiteX12" fmla="*/ 551448 w 862263"/>
                <a:gd name="connsiteY12" fmla="*/ 496302 h 882316"/>
                <a:gd name="connsiteX13" fmla="*/ 576513 w 862263"/>
                <a:gd name="connsiteY13" fmla="*/ 626644 h 882316"/>
                <a:gd name="connsiteX14" fmla="*/ 591553 w 862263"/>
                <a:gd name="connsiteY14" fmla="*/ 641684 h 882316"/>
                <a:gd name="connsiteX15" fmla="*/ 606592 w 862263"/>
                <a:gd name="connsiteY15" fmla="*/ 671763 h 882316"/>
                <a:gd name="connsiteX16" fmla="*/ 726908 w 862263"/>
                <a:gd name="connsiteY16" fmla="*/ 696829 h 882316"/>
                <a:gd name="connsiteX17" fmla="*/ 736935 w 862263"/>
                <a:gd name="connsiteY17" fmla="*/ 711868 h 882316"/>
                <a:gd name="connsiteX18" fmla="*/ 817145 w 862263"/>
                <a:gd name="connsiteY18" fmla="*/ 746960 h 882316"/>
                <a:gd name="connsiteX19" fmla="*/ 832185 w 862263"/>
                <a:gd name="connsiteY19" fmla="*/ 756987 h 882316"/>
                <a:gd name="connsiteX20" fmla="*/ 862263 w 862263"/>
                <a:gd name="connsiteY20" fmla="*/ 882316 h 882316"/>
                <a:gd name="connsiteX21" fmla="*/ 0 w 862263"/>
                <a:gd name="connsiteY21" fmla="*/ 872289 h 882316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  <a:cxn ang="0">
                  <a:pos x="connsiteX14" y="connsiteY14"/>
                </a:cxn>
                <a:cxn ang="0">
                  <a:pos x="connsiteX15" y="connsiteY15"/>
                </a:cxn>
                <a:cxn ang="0">
                  <a:pos x="connsiteX16" y="connsiteY16"/>
                </a:cxn>
                <a:cxn ang="0">
                  <a:pos x="connsiteX17" y="connsiteY17"/>
                </a:cxn>
                <a:cxn ang="0">
                  <a:pos x="connsiteX18" y="connsiteY18"/>
                </a:cxn>
                <a:cxn ang="0">
                  <a:pos x="connsiteX19" y="connsiteY19"/>
                </a:cxn>
                <a:cxn ang="0">
                  <a:pos x="connsiteX20" y="connsiteY20"/>
                </a:cxn>
                <a:cxn ang="0">
                  <a:pos x="connsiteX21" y="connsiteY21"/>
                </a:cxn>
              </a:cxnLst>
              <a:rect l="l" t="t" r="r" b="b"/>
              <a:pathLst>
                <a:path w="862263" h="882316">
                  <a:moveTo>
                    <a:pt x="0" y="872289"/>
                  </a:moveTo>
                  <a:lnTo>
                    <a:pt x="5013" y="0"/>
                  </a:lnTo>
                  <a:lnTo>
                    <a:pt x="130342" y="110289"/>
                  </a:lnTo>
                  <a:cubicBezTo>
                    <a:pt x="286635" y="193646"/>
                    <a:pt x="223921" y="190500"/>
                    <a:pt x="300790" y="190500"/>
                  </a:cubicBezTo>
                  <a:cubicBezTo>
                    <a:pt x="350922" y="207210"/>
                    <a:pt x="401706" y="222076"/>
                    <a:pt x="451185" y="240631"/>
                  </a:cubicBezTo>
                  <a:cubicBezTo>
                    <a:pt x="455611" y="242291"/>
                    <a:pt x="458375" y="246877"/>
                    <a:pt x="461211" y="250658"/>
                  </a:cubicBezTo>
                  <a:cubicBezTo>
                    <a:pt x="463453" y="253647"/>
                    <a:pt x="464553" y="257342"/>
                    <a:pt x="466224" y="260684"/>
                  </a:cubicBezTo>
                  <a:cubicBezTo>
                    <a:pt x="474579" y="302460"/>
                    <a:pt x="480957" y="344681"/>
                    <a:pt x="491290" y="386013"/>
                  </a:cubicBezTo>
                  <a:cubicBezTo>
                    <a:pt x="492751" y="391858"/>
                    <a:pt x="498622" y="395663"/>
                    <a:pt x="501316" y="401052"/>
                  </a:cubicBezTo>
                  <a:cubicBezTo>
                    <a:pt x="512837" y="424095"/>
                    <a:pt x="500016" y="409779"/>
                    <a:pt x="511342" y="421105"/>
                  </a:cubicBezTo>
                  <a:cubicBezTo>
                    <a:pt x="519697" y="436144"/>
                    <a:pt x="527171" y="451708"/>
                    <a:pt x="536408" y="466223"/>
                  </a:cubicBezTo>
                  <a:cubicBezTo>
                    <a:pt x="538946" y="470211"/>
                    <a:pt x="544003" y="472197"/>
                    <a:pt x="546435" y="476250"/>
                  </a:cubicBezTo>
                  <a:cubicBezTo>
                    <a:pt x="551976" y="485485"/>
                    <a:pt x="551448" y="488341"/>
                    <a:pt x="551448" y="496302"/>
                  </a:cubicBezTo>
                  <a:cubicBezTo>
                    <a:pt x="559803" y="539749"/>
                    <a:pt x="564748" y="583994"/>
                    <a:pt x="576513" y="626644"/>
                  </a:cubicBezTo>
                  <a:cubicBezTo>
                    <a:pt x="578398" y="633479"/>
                    <a:pt x="588035" y="635528"/>
                    <a:pt x="591553" y="641684"/>
                  </a:cubicBezTo>
                  <a:cubicBezTo>
                    <a:pt x="616191" y="684801"/>
                    <a:pt x="579018" y="644189"/>
                    <a:pt x="606592" y="671763"/>
                  </a:cubicBezTo>
                  <a:cubicBezTo>
                    <a:pt x="646697" y="680118"/>
                    <a:pt x="687891" y="684344"/>
                    <a:pt x="726908" y="696829"/>
                  </a:cubicBezTo>
                  <a:cubicBezTo>
                    <a:pt x="778860" y="713454"/>
                    <a:pt x="711958" y="711868"/>
                    <a:pt x="736935" y="711868"/>
                  </a:cubicBezTo>
                  <a:cubicBezTo>
                    <a:pt x="763672" y="723565"/>
                    <a:pt x="791043" y="733909"/>
                    <a:pt x="817145" y="746960"/>
                  </a:cubicBezTo>
                  <a:cubicBezTo>
                    <a:pt x="839562" y="758169"/>
                    <a:pt x="818481" y="756987"/>
                    <a:pt x="832185" y="756987"/>
                  </a:cubicBezTo>
                  <a:lnTo>
                    <a:pt x="862263" y="882316"/>
                  </a:lnTo>
                  <a:lnTo>
                    <a:pt x="0" y="872289"/>
                  </a:lnTo>
                  <a:close/>
                </a:path>
              </a:pathLst>
            </a:custGeom>
            <a:blipFill>
              <a:blip xmlns:r="http://schemas.openxmlformats.org/officeDocument/2006/relationships" r:embed="rId3"/>
              <a:tile tx="0" ty="0" sx="100000" sy="100000" flip="none" algn="tl"/>
            </a:blipFill>
            <a:ln w="3175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endParaRPr lang="en-US"/>
            </a:p>
          </xdr:txBody>
        </xdr:sp>
      </xdr:grpSp>
      <xdr:grpSp>
        <xdr:nvGrpSpPr>
          <xdr:cNvPr id="24549" name="Group 98">
            <a:extLst>
              <a:ext uri="{FF2B5EF4-FFF2-40B4-BE49-F238E27FC236}">
                <a16:creationId xmlns:a16="http://schemas.microsoft.com/office/drawing/2014/main" id="{1CDDA6CC-A4CD-4A33-B22C-CE24B7B0E085}"/>
              </a:ext>
            </a:extLst>
          </xdr:cNvPr>
          <xdr:cNvGrpSpPr>
            <a:grpSpLocks/>
          </xdr:cNvGrpSpPr>
        </xdr:nvGrpSpPr>
        <xdr:grpSpPr bwMode="auto">
          <a:xfrm>
            <a:off x="501316" y="5825290"/>
            <a:ext cx="1388645" cy="325855"/>
            <a:chOff x="481263" y="6817895"/>
            <a:chExt cx="1388645" cy="325855"/>
          </a:xfrm>
        </xdr:grpSpPr>
        <xdr:sp macro="" textlink="">
          <xdr:nvSpPr>
            <xdr:cNvPr id="90" name="Rectangle 89">
              <a:extLst>
                <a:ext uri="{FF2B5EF4-FFF2-40B4-BE49-F238E27FC236}">
                  <a16:creationId xmlns:a16="http://schemas.microsoft.com/office/drawing/2014/main" id="{4EA40A7A-A299-4EE2-9E38-A994A9BB50EA}"/>
                </a:ext>
              </a:extLst>
            </xdr:cNvPr>
            <xdr:cNvSpPr/>
          </xdr:nvSpPr>
          <xdr:spPr>
            <a:xfrm>
              <a:off x="477352" y="6820401"/>
              <a:ext cx="1391714" cy="325927"/>
            </a:xfrm>
            <a:prstGeom prst="rect">
              <a:avLst/>
            </a:prstGeom>
            <a:blipFill>
              <a:blip xmlns:r="http://schemas.openxmlformats.org/officeDocument/2006/relationships" r:embed="rId3"/>
              <a:tile tx="0" ty="0" sx="100000" sy="100000" flip="none" algn="tl"/>
            </a:blipFill>
            <a:ln w="3175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endParaRPr lang="en-PH"/>
            </a:p>
          </xdr:txBody>
        </xdr:sp>
        <xdr:cxnSp macro="">
          <xdr:nvCxnSpPr>
            <xdr:cNvPr id="93" name="Straight Connector 92">
              <a:extLst>
                <a:ext uri="{FF2B5EF4-FFF2-40B4-BE49-F238E27FC236}">
                  <a16:creationId xmlns:a16="http://schemas.microsoft.com/office/drawing/2014/main" id="{38119C13-9F2D-4ADA-9194-4C367B0107BB}"/>
                </a:ext>
              </a:extLst>
            </xdr:cNvPr>
            <xdr:cNvCxnSpPr/>
          </xdr:nvCxnSpPr>
          <xdr:spPr>
            <a:xfrm rot="10800000" flipH="1">
              <a:off x="612306" y="7042985"/>
              <a:ext cx="1104937" cy="15899"/>
            </a:xfrm>
            <a:prstGeom prst="line">
              <a:avLst/>
            </a:prstGeom>
            <a:ln w="19050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94" name="Oval 93">
              <a:extLst>
                <a:ext uri="{FF2B5EF4-FFF2-40B4-BE49-F238E27FC236}">
                  <a16:creationId xmlns:a16="http://schemas.microsoft.com/office/drawing/2014/main" id="{E1CF607F-E8DB-480B-9CBC-5E54CA20EFEF}"/>
                </a:ext>
              </a:extLst>
            </xdr:cNvPr>
            <xdr:cNvSpPr/>
          </xdr:nvSpPr>
          <xdr:spPr>
            <a:xfrm>
              <a:off x="603872" y="6979390"/>
              <a:ext cx="50608" cy="55646"/>
            </a:xfrm>
            <a:prstGeom prst="ellipse">
              <a:avLst/>
            </a:prstGeom>
            <a:solidFill>
              <a:srgbClr val="FF0000"/>
            </a:solidFill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endParaRPr lang="en-PH"/>
            </a:p>
          </xdr:txBody>
        </xdr:sp>
        <xdr:sp macro="" textlink="">
          <xdr:nvSpPr>
            <xdr:cNvPr id="95" name="Oval 94">
              <a:extLst>
                <a:ext uri="{FF2B5EF4-FFF2-40B4-BE49-F238E27FC236}">
                  <a16:creationId xmlns:a16="http://schemas.microsoft.com/office/drawing/2014/main" id="{6B96561C-D05A-462D-8643-8AB6EF1E5FF5}"/>
                </a:ext>
              </a:extLst>
            </xdr:cNvPr>
            <xdr:cNvSpPr/>
          </xdr:nvSpPr>
          <xdr:spPr>
            <a:xfrm>
              <a:off x="882215" y="6979390"/>
              <a:ext cx="50608" cy="55646"/>
            </a:xfrm>
            <a:prstGeom prst="ellipse">
              <a:avLst/>
            </a:prstGeom>
            <a:solidFill>
              <a:srgbClr val="FF0000"/>
            </a:solidFill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endParaRPr lang="en-PH"/>
            </a:p>
          </xdr:txBody>
        </xdr:sp>
        <xdr:sp macro="" textlink="">
          <xdr:nvSpPr>
            <xdr:cNvPr id="96" name="Oval 95">
              <a:extLst>
                <a:ext uri="{FF2B5EF4-FFF2-40B4-BE49-F238E27FC236}">
                  <a16:creationId xmlns:a16="http://schemas.microsoft.com/office/drawing/2014/main" id="{3148B182-4A07-4F7D-8280-69A8555F34F7}"/>
                </a:ext>
              </a:extLst>
            </xdr:cNvPr>
            <xdr:cNvSpPr/>
          </xdr:nvSpPr>
          <xdr:spPr>
            <a:xfrm>
              <a:off x="1152123" y="6979390"/>
              <a:ext cx="50608" cy="55646"/>
            </a:xfrm>
            <a:prstGeom prst="ellipse">
              <a:avLst/>
            </a:prstGeom>
            <a:solidFill>
              <a:srgbClr val="FF0000"/>
            </a:solidFill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endParaRPr lang="en-PH"/>
            </a:p>
          </xdr:txBody>
        </xdr:sp>
        <xdr:sp macro="" textlink="">
          <xdr:nvSpPr>
            <xdr:cNvPr id="97" name="Oval 96">
              <a:extLst>
                <a:ext uri="{FF2B5EF4-FFF2-40B4-BE49-F238E27FC236}">
                  <a16:creationId xmlns:a16="http://schemas.microsoft.com/office/drawing/2014/main" id="{E44553A3-D43B-4560-B3D9-F3760FB0DA64}"/>
                </a:ext>
              </a:extLst>
            </xdr:cNvPr>
            <xdr:cNvSpPr/>
          </xdr:nvSpPr>
          <xdr:spPr>
            <a:xfrm>
              <a:off x="1422031" y="6979390"/>
              <a:ext cx="42173" cy="55646"/>
            </a:xfrm>
            <a:prstGeom prst="ellipse">
              <a:avLst/>
            </a:prstGeom>
            <a:solidFill>
              <a:srgbClr val="FF0000"/>
            </a:solidFill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endParaRPr lang="en-PH"/>
            </a:p>
          </xdr:txBody>
        </xdr:sp>
        <xdr:sp macro="" textlink="">
          <xdr:nvSpPr>
            <xdr:cNvPr id="98" name="Oval 97">
              <a:extLst>
                <a:ext uri="{FF2B5EF4-FFF2-40B4-BE49-F238E27FC236}">
                  <a16:creationId xmlns:a16="http://schemas.microsoft.com/office/drawing/2014/main" id="{D5AB5DF1-2F75-45C5-9342-184743E326C9}"/>
                </a:ext>
              </a:extLst>
            </xdr:cNvPr>
            <xdr:cNvSpPr/>
          </xdr:nvSpPr>
          <xdr:spPr>
            <a:xfrm>
              <a:off x="1658201" y="6995288"/>
              <a:ext cx="50608" cy="39747"/>
            </a:xfrm>
            <a:prstGeom prst="ellipse">
              <a:avLst/>
            </a:prstGeom>
            <a:solidFill>
              <a:srgbClr val="FF0000"/>
            </a:solidFill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endParaRPr lang="en-PH"/>
            </a:p>
          </xdr:txBody>
        </xdr:sp>
      </xdr:grpSp>
      <xdr:sp macro="" textlink="">
        <xdr:nvSpPr>
          <xdr:cNvPr id="102" name="Freeform 101">
            <a:extLst>
              <a:ext uri="{FF2B5EF4-FFF2-40B4-BE49-F238E27FC236}">
                <a16:creationId xmlns:a16="http://schemas.microsoft.com/office/drawing/2014/main" id="{7B11734E-10A3-4928-9743-9728E1691034}"/>
              </a:ext>
            </a:extLst>
          </xdr:cNvPr>
          <xdr:cNvSpPr/>
        </xdr:nvSpPr>
        <xdr:spPr>
          <a:xfrm>
            <a:off x="1003484" y="5549565"/>
            <a:ext cx="430166" cy="278231"/>
          </a:xfrm>
          <a:custGeom>
            <a:avLst/>
            <a:gdLst>
              <a:gd name="connsiteX0" fmla="*/ 0 w 436145"/>
              <a:gd name="connsiteY0" fmla="*/ 275724 h 275724"/>
              <a:gd name="connsiteX1" fmla="*/ 0 w 436145"/>
              <a:gd name="connsiteY1" fmla="*/ 0 h 275724"/>
              <a:gd name="connsiteX2" fmla="*/ 150395 w 436145"/>
              <a:gd name="connsiteY2" fmla="*/ 75198 h 275724"/>
              <a:gd name="connsiteX3" fmla="*/ 345908 w 436145"/>
              <a:gd name="connsiteY3" fmla="*/ 95250 h 275724"/>
              <a:gd name="connsiteX4" fmla="*/ 386013 w 436145"/>
              <a:gd name="connsiteY4" fmla="*/ 115303 h 275724"/>
              <a:gd name="connsiteX5" fmla="*/ 436145 w 436145"/>
              <a:gd name="connsiteY5" fmla="*/ 70185 h 275724"/>
              <a:gd name="connsiteX6" fmla="*/ 436145 w 436145"/>
              <a:gd name="connsiteY6" fmla="*/ 275724 h 275724"/>
              <a:gd name="connsiteX7" fmla="*/ 0 w 436145"/>
              <a:gd name="connsiteY7" fmla="*/ 275724 h 27572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</a:cxnLst>
            <a:rect l="l" t="t" r="r" b="b"/>
            <a:pathLst>
              <a:path w="436145" h="275724">
                <a:moveTo>
                  <a:pt x="0" y="275724"/>
                </a:moveTo>
                <a:lnTo>
                  <a:pt x="0" y="0"/>
                </a:lnTo>
                <a:lnTo>
                  <a:pt x="150395" y="75198"/>
                </a:lnTo>
                <a:lnTo>
                  <a:pt x="345908" y="95250"/>
                </a:lnTo>
                <a:lnTo>
                  <a:pt x="386013" y="115303"/>
                </a:lnTo>
                <a:lnTo>
                  <a:pt x="436145" y="70185"/>
                </a:lnTo>
                <a:lnTo>
                  <a:pt x="436145" y="275724"/>
                </a:lnTo>
                <a:lnTo>
                  <a:pt x="0" y="275724"/>
                </a:lnTo>
                <a:close/>
              </a:path>
            </a:pathLst>
          </a:custGeom>
          <a:blipFill>
            <a:blip xmlns:r="http://schemas.openxmlformats.org/officeDocument/2006/relationships" r:embed="rId3"/>
            <a:tile tx="0" ty="0" sx="100000" sy="100000" flip="none" algn="tl"/>
          </a:blipFill>
          <a:ln w="3175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en-US"/>
          </a:p>
        </xdr:txBody>
      </xdr:sp>
      <xdr:cxnSp macro="">
        <xdr:nvCxnSpPr>
          <xdr:cNvPr id="104" name="Straight Arrow Connector 103">
            <a:extLst>
              <a:ext uri="{FF2B5EF4-FFF2-40B4-BE49-F238E27FC236}">
                <a16:creationId xmlns:a16="http://schemas.microsoft.com/office/drawing/2014/main" id="{AEC63729-26C8-44B3-8244-F21354077A96}"/>
              </a:ext>
            </a:extLst>
          </xdr:cNvPr>
          <xdr:cNvCxnSpPr/>
        </xdr:nvCxnSpPr>
        <xdr:spPr>
          <a:xfrm>
            <a:off x="488971" y="6296813"/>
            <a:ext cx="1391715" cy="15899"/>
          </a:xfrm>
          <a:prstGeom prst="straightConnector1">
            <a:avLst/>
          </a:prstGeom>
          <a:ln>
            <a:solidFill>
              <a:sysClr val="windowText" lastClr="000000"/>
            </a:solidFill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6" name="Straight Arrow Connector 105">
            <a:extLst>
              <a:ext uri="{FF2B5EF4-FFF2-40B4-BE49-F238E27FC236}">
                <a16:creationId xmlns:a16="http://schemas.microsoft.com/office/drawing/2014/main" id="{48A49C0F-AFCE-4A8A-A299-1FAB14324EE8}"/>
              </a:ext>
            </a:extLst>
          </xdr:cNvPr>
          <xdr:cNvCxnSpPr/>
        </xdr:nvCxnSpPr>
        <xdr:spPr>
          <a:xfrm rot="5400000">
            <a:off x="-311796" y="7187150"/>
            <a:ext cx="1399102" cy="0"/>
          </a:xfrm>
          <a:prstGeom prst="straightConnector1">
            <a:avLst/>
          </a:prstGeom>
          <a:ln>
            <a:solidFill>
              <a:sysClr val="windowText" lastClr="000000"/>
            </a:solidFill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8" name="Right Brace 107">
            <a:extLst>
              <a:ext uri="{FF2B5EF4-FFF2-40B4-BE49-F238E27FC236}">
                <a16:creationId xmlns:a16="http://schemas.microsoft.com/office/drawing/2014/main" id="{73100EB9-75AA-4488-B8A1-0FF96F4E29B9}"/>
              </a:ext>
            </a:extLst>
          </xdr:cNvPr>
          <xdr:cNvSpPr/>
        </xdr:nvSpPr>
        <xdr:spPr>
          <a:xfrm rot="5400000">
            <a:off x="1690963" y="7854997"/>
            <a:ext cx="278231" cy="134954"/>
          </a:xfrm>
          <a:prstGeom prst="rightBrace">
            <a:avLst>
              <a:gd name="adj1" fmla="val 8333"/>
              <a:gd name="adj2" fmla="val 52703"/>
            </a:avLst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rtlCol="0" anchor="ctr"/>
          <a:lstStyle/>
          <a:p>
            <a:endParaRPr lang="en-PH"/>
          </a:p>
        </xdr:txBody>
      </xdr:sp>
      <xdr:sp macro="" textlink="">
        <xdr:nvSpPr>
          <xdr:cNvPr id="109" name="TextBox 108">
            <a:extLst>
              <a:ext uri="{FF2B5EF4-FFF2-40B4-BE49-F238E27FC236}">
                <a16:creationId xmlns:a16="http://schemas.microsoft.com/office/drawing/2014/main" id="{B3CDCA82-12D9-474E-8F2E-57EECC0EDC55}"/>
              </a:ext>
            </a:extLst>
          </xdr:cNvPr>
          <xdr:cNvSpPr txBox="1"/>
        </xdr:nvSpPr>
        <xdr:spPr>
          <a:xfrm>
            <a:off x="1475823" y="8156982"/>
            <a:ext cx="767552" cy="17488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100"/>
              <a:t>Clear Cover</a:t>
            </a:r>
          </a:p>
        </xdr:txBody>
      </xdr:sp>
      <xdr:sp macro="" textlink="">
        <xdr:nvSpPr>
          <xdr:cNvPr id="110" name="TextBox 109">
            <a:extLst>
              <a:ext uri="{FF2B5EF4-FFF2-40B4-BE49-F238E27FC236}">
                <a16:creationId xmlns:a16="http://schemas.microsoft.com/office/drawing/2014/main" id="{6B818B4E-F5C6-45D2-A0B7-7C1ECB02753F}"/>
              </a:ext>
            </a:extLst>
          </xdr:cNvPr>
          <xdr:cNvSpPr txBox="1"/>
        </xdr:nvSpPr>
        <xdr:spPr>
          <a:xfrm>
            <a:off x="25066" y="7075858"/>
            <a:ext cx="455470" cy="17488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100"/>
              <a:t>W</a:t>
            </a:r>
          </a:p>
        </xdr:txBody>
      </xdr:sp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A354031D-643B-4BD8-925E-2EB1A464F5C6}"/>
              </a:ext>
            </a:extLst>
          </xdr:cNvPr>
          <xdr:cNvSpPr txBox="1"/>
        </xdr:nvSpPr>
        <xdr:spPr>
          <a:xfrm>
            <a:off x="927572" y="6161672"/>
            <a:ext cx="463905" cy="16693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100"/>
              <a:t>L</a:t>
            </a:r>
          </a:p>
        </xdr:txBody>
      </xdr:sp>
      <xdr:sp macro="" textlink="">
        <xdr:nvSpPr>
          <xdr:cNvPr id="112" name="Right Brace 111">
            <a:extLst>
              <a:ext uri="{FF2B5EF4-FFF2-40B4-BE49-F238E27FC236}">
                <a16:creationId xmlns:a16="http://schemas.microsoft.com/office/drawing/2014/main" id="{78582814-6136-4C8F-A091-F971408C2B39}"/>
              </a:ext>
            </a:extLst>
          </xdr:cNvPr>
          <xdr:cNvSpPr/>
        </xdr:nvSpPr>
        <xdr:spPr>
          <a:xfrm>
            <a:off x="1787905" y="6630689"/>
            <a:ext cx="463905" cy="1120871"/>
          </a:xfrm>
          <a:prstGeom prst="rightBrac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rtlCol="0" anchor="ctr"/>
          <a:lstStyle/>
          <a:p>
            <a:endParaRPr lang="en-PH"/>
          </a:p>
        </xdr:txBody>
      </xdr:sp>
      <xdr:sp macro="" textlink="">
        <xdr:nvSpPr>
          <xdr:cNvPr id="113" name="TextBox 112">
            <a:extLst>
              <a:ext uri="{FF2B5EF4-FFF2-40B4-BE49-F238E27FC236}">
                <a16:creationId xmlns:a16="http://schemas.microsoft.com/office/drawing/2014/main" id="{82A06357-6562-4CAA-B176-37B8AAA495B6}"/>
              </a:ext>
            </a:extLst>
          </xdr:cNvPr>
          <xdr:cNvSpPr txBox="1"/>
        </xdr:nvSpPr>
        <xdr:spPr>
          <a:xfrm>
            <a:off x="1956597" y="6845324"/>
            <a:ext cx="767552" cy="18283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100"/>
              <a:t># of Bars per Side</a:t>
            </a:r>
          </a:p>
        </xdr:txBody>
      </xdr:sp>
    </xdr:grpSp>
    <xdr:clientData/>
  </xdr:twoCellAnchor>
  <xdr:twoCellAnchor>
    <xdr:from>
      <xdr:col>0</xdr:col>
      <xdr:colOff>327660</xdr:colOff>
      <xdr:row>47</xdr:row>
      <xdr:rowOff>167640</xdr:rowOff>
    </xdr:from>
    <xdr:to>
      <xdr:col>3</xdr:col>
      <xdr:colOff>152400</xdr:colOff>
      <xdr:row>56</xdr:row>
      <xdr:rowOff>7620</xdr:rowOff>
    </xdr:to>
    <xdr:grpSp>
      <xdr:nvGrpSpPr>
        <xdr:cNvPr id="24177" name="Group 114">
          <a:extLst>
            <a:ext uri="{FF2B5EF4-FFF2-40B4-BE49-F238E27FC236}">
              <a16:creationId xmlns:a16="http://schemas.microsoft.com/office/drawing/2014/main" id="{9FC77671-290C-4C14-8FAA-BFBA1729DECE}"/>
            </a:ext>
          </a:extLst>
        </xdr:cNvPr>
        <xdr:cNvGrpSpPr>
          <a:grpSpLocks/>
        </xdr:cNvGrpSpPr>
      </xdr:nvGrpSpPr>
      <xdr:grpSpPr bwMode="auto">
        <a:xfrm>
          <a:off x="327660" y="9060180"/>
          <a:ext cx="1744980" cy="1485900"/>
          <a:chOff x="3686175" y="2857500"/>
          <a:chExt cx="2105025" cy="1885950"/>
        </a:xfrm>
      </xdr:grpSpPr>
      <xdr:sp macro="" textlink="">
        <xdr:nvSpPr>
          <xdr:cNvPr id="116" name="Rectangle 115">
            <a:extLst>
              <a:ext uri="{FF2B5EF4-FFF2-40B4-BE49-F238E27FC236}">
                <a16:creationId xmlns:a16="http://schemas.microsoft.com/office/drawing/2014/main" id="{1C0698C3-E82F-40EE-971C-0404A69CC225}"/>
              </a:ext>
            </a:extLst>
          </xdr:cNvPr>
          <xdr:cNvSpPr/>
        </xdr:nvSpPr>
        <xdr:spPr>
          <a:xfrm>
            <a:off x="3686175" y="3756953"/>
            <a:ext cx="1503589" cy="522263"/>
          </a:xfrm>
          <a:prstGeom prst="rect">
            <a:avLst/>
          </a:prstGeom>
          <a:blipFill>
            <a:blip xmlns:r="http://schemas.openxmlformats.org/officeDocument/2006/relationships" r:embed="rId1"/>
            <a:tile tx="0" ty="0" sx="100000" sy="100000" flip="none" algn="tl"/>
          </a:blipFill>
          <a:ln w="3175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117" name="Rectangle 116">
            <a:extLst>
              <a:ext uri="{FF2B5EF4-FFF2-40B4-BE49-F238E27FC236}">
                <a16:creationId xmlns:a16="http://schemas.microsoft.com/office/drawing/2014/main" id="{B170B221-9518-4E3B-92BF-CEC1B0AE9D52}"/>
              </a:ext>
            </a:extLst>
          </xdr:cNvPr>
          <xdr:cNvSpPr/>
        </xdr:nvSpPr>
        <xdr:spPr>
          <a:xfrm>
            <a:off x="4142102" y="2857500"/>
            <a:ext cx="514131" cy="889782"/>
          </a:xfrm>
          <a:prstGeom prst="rect">
            <a:avLst/>
          </a:prstGeom>
          <a:blipFill>
            <a:blip xmlns:r="http://schemas.openxmlformats.org/officeDocument/2006/relationships" r:embed="rId2"/>
            <a:tile tx="0" ty="0" sx="100000" sy="100000" flip="none" algn="tl"/>
          </a:blipFill>
          <a:ln w="3175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cxnSp macro="">
        <xdr:nvCxnSpPr>
          <xdr:cNvPr id="118" name="Straight Arrow Connector 117">
            <a:extLst>
              <a:ext uri="{FF2B5EF4-FFF2-40B4-BE49-F238E27FC236}">
                <a16:creationId xmlns:a16="http://schemas.microsoft.com/office/drawing/2014/main" id="{CE303F1B-E541-4FC3-989D-18A6545D1DE3}"/>
              </a:ext>
            </a:extLst>
          </xdr:cNvPr>
          <xdr:cNvCxnSpPr/>
        </xdr:nvCxnSpPr>
        <xdr:spPr>
          <a:xfrm>
            <a:off x="5432279" y="3756953"/>
            <a:ext cx="0" cy="541606"/>
          </a:xfrm>
          <a:prstGeom prst="straightConnector1">
            <a:avLst/>
          </a:prstGeom>
          <a:ln>
            <a:solidFill>
              <a:sysClr val="windowText" lastClr="000000"/>
            </a:solidFill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9" name="Straight Arrow Connector 118">
            <a:extLst>
              <a:ext uri="{FF2B5EF4-FFF2-40B4-BE49-F238E27FC236}">
                <a16:creationId xmlns:a16="http://schemas.microsoft.com/office/drawing/2014/main" id="{584D49D7-BAA4-48E8-9C77-A2248F1F3DB0}"/>
              </a:ext>
            </a:extLst>
          </xdr:cNvPr>
          <xdr:cNvCxnSpPr/>
        </xdr:nvCxnSpPr>
        <xdr:spPr>
          <a:xfrm>
            <a:off x="3705576" y="4395275"/>
            <a:ext cx="1484188" cy="0"/>
          </a:xfrm>
          <a:prstGeom prst="straightConnector1">
            <a:avLst/>
          </a:prstGeom>
          <a:ln>
            <a:solidFill>
              <a:sysClr val="windowText" lastClr="000000"/>
            </a:solidFill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0" name="TextBox 119">
            <a:extLst>
              <a:ext uri="{FF2B5EF4-FFF2-40B4-BE49-F238E27FC236}">
                <a16:creationId xmlns:a16="http://schemas.microsoft.com/office/drawing/2014/main" id="{0F4C5E51-E0B4-4655-8123-1A8B4A7A4865}"/>
              </a:ext>
            </a:extLst>
          </xdr:cNvPr>
          <xdr:cNvSpPr txBox="1"/>
        </xdr:nvSpPr>
        <xdr:spPr>
          <a:xfrm>
            <a:off x="4142102" y="4491990"/>
            <a:ext cx="339520" cy="2514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/>
              <a:t>W</a:t>
            </a:r>
          </a:p>
        </xdr:txBody>
      </xdr:sp>
      <xdr:sp macro="" textlink="">
        <xdr:nvSpPr>
          <xdr:cNvPr id="121" name="TextBox 120">
            <a:extLst>
              <a:ext uri="{FF2B5EF4-FFF2-40B4-BE49-F238E27FC236}">
                <a16:creationId xmlns:a16="http://schemas.microsoft.com/office/drawing/2014/main" id="{895B1190-1BF6-451A-87EB-CD332AA4F99B}"/>
              </a:ext>
            </a:extLst>
          </xdr:cNvPr>
          <xdr:cNvSpPr txBox="1"/>
        </xdr:nvSpPr>
        <xdr:spPr>
          <a:xfrm>
            <a:off x="5432279" y="3873012"/>
            <a:ext cx="358921" cy="2514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/>
              <a:t>T</a:t>
            </a:r>
          </a:p>
        </xdr:txBody>
      </xdr:sp>
    </xdr:grpSp>
    <xdr:clientData/>
  </xdr:twoCellAnchor>
  <xdr:twoCellAnchor>
    <xdr:from>
      <xdr:col>0</xdr:col>
      <xdr:colOff>472440</xdr:colOff>
      <xdr:row>52</xdr:row>
      <xdr:rowOff>121920</xdr:rowOff>
    </xdr:from>
    <xdr:to>
      <xdr:col>2</xdr:col>
      <xdr:colOff>182880</xdr:colOff>
      <xdr:row>53</xdr:row>
      <xdr:rowOff>106680</xdr:rowOff>
    </xdr:to>
    <xdr:grpSp>
      <xdr:nvGrpSpPr>
        <xdr:cNvPr id="24178" name="Group 126">
          <a:extLst>
            <a:ext uri="{FF2B5EF4-FFF2-40B4-BE49-F238E27FC236}">
              <a16:creationId xmlns:a16="http://schemas.microsoft.com/office/drawing/2014/main" id="{74C6D7BD-7570-47A0-8920-52CFE15D478F}"/>
            </a:ext>
          </a:extLst>
        </xdr:cNvPr>
        <xdr:cNvGrpSpPr>
          <a:grpSpLocks/>
        </xdr:cNvGrpSpPr>
      </xdr:nvGrpSpPr>
      <xdr:grpSpPr bwMode="auto">
        <a:xfrm>
          <a:off x="472440" y="9928860"/>
          <a:ext cx="990600" cy="167640"/>
          <a:chOff x="468230" y="10133597"/>
          <a:chExt cx="1010651" cy="178469"/>
        </a:xfrm>
      </xdr:grpSpPr>
      <xdr:grpSp>
        <xdr:nvGrpSpPr>
          <xdr:cNvPr id="24538" name="Group 125">
            <a:extLst>
              <a:ext uri="{FF2B5EF4-FFF2-40B4-BE49-F238E27FC236}">
                <a16:creationId xmlns:a16="http://schemas.microsoft.com/office/drawing/2014/main" id="{3443691E-E524-4192-BB18-B9F857AD9B2A}"/>
              </a:ext>
            </a:extLst>
          </xdr:cNvPr>
          <xdr:cNvGrpSpPr>
            <a:grpSpLocks/>
          </xdr:cNvGrpSpPr>
        </xdr:nvGrpSpPr>
        <xdr:grpSpPr bwMode="auto">
          <a:xfrm>
            <a:off x="468230" y="10133597"/>
            <a:ext cx="1010651" cy="178469"/>
            <a:chOff x="352928" y="10163676"/>
            <a:chExt cx="1010651" cy="178469"/>
          </a:xfrm>
        </xdr:grpSpPr>
        <xdr:sp macro="" textlink="">
          <xdr:nvSpPr>
            <xdr:cNvPr id="122" name="Arc 121">
              <a:extLst>
                <a:ext uri="{FF2B5EF4-FFF2-40B4-BE49-F238E27FC236}">
                  <a16:creationId xmlns:a16="http://schemas.microsoft.com/office/drawing/2014/main" id="{6477BA4E-02E7-497E-8DAE-221A59444D92}"/>
                </a:ext>
              </a:extLst>
            </xdr:cNvPr>
            <xdr:cNvSpPr/>
          </xdr:nvSpPr>
          <xdr:spPr>
            <a:xfrm>
              <a:off x="1164762" y="10171788"/>
              <a:ext cx="198817" cy="170357"/>
            </a:xfrm>
            <a:prstGeom prst="arc">
              <a:avLst>
                <a:gd name="adj1" fmla="val 16200000"/>
                <a:gd name="adj2" fmla="val 5563573"/>
              </a:avLst>
            </a:prstGeom>
            <a:ln w="28575">
              <a:solidFill>
                <a:srgbClr val="0070C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rtlCol="0" anchor="ctr"/>
            <a:lstStyle/>
            <a:p>
              <a:endParaRPr lang="en-US"/>
            </a:p>
          </xdr:txBody>
        </xdr:sp>
        <xdr:sp macro="" textlink="">
          <xdr:nvSpPr>
            <xdr:cNvPr id="123" name="Arc 122">
              <a:extLst>
                <a:ext uri="{FF2B5EF4-FFF2-40B4-BE49-F238E27FC236}">
                  <a16:creationId xmlns:a16="http://schemas.microsoft.com/office/drawing/2014/main" id="{D65AFA9D-EC0C-486C-BB1E-071B2D283387}"/>
                </a:ext>
              </a:extLst>
            </xdr:cNvPr>
            <xdr:cNvSpPr/>
          </xdr:nvSpPr>
          <xdr:spPr>
            <a:xfrm flipH="1">
              <a:off x="352928" y="10163676"/>
              <a:ext cx="198817" cy="170357"/>
            </a:xfrm>
            <a:prstGeom prst="arc">
              <a:avLst>
                <a:gd name="adj1" fmla="val 16200000"/>
                <a:gd name="adj2" fmla="val 5563573"/>
              </a:avLst>
            </a:prstGeom>
            <a:ln w="28575">
              <a:solidFill>
                <a:srgbClr val="0070C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rtlCol="0" anchor="ctr"/>
            <a:lstStyle/>
            <a:p>
              <a:endParaRPr lang="en-US"/>
            </a:p>
          </xdr:txBody>
        </xdr:sp>
      </xdr:grpSp>
      <xdr:cxnSp macro="">
        <xdr:nvCxnSpPr>
          <xdr:cNvPr id="125" name="Straight Connector 124">
            <a:extLst>
              <a:ext uri="{FF2B5EF4-FFF2-40B4-BE49-F238E27FC236}">
                <a16:creationId xmlns:a16="http://schemas.microsoft.com/office/drawing/2014/main" id="{99246C32-DD24-410A-95D8-4CF4AD2E931F}"/>
              </a:ext>
            </a:extLst>
          </xdr:cNvPr>
          <xdr:cNvCxnSpPr/>
        </xdr:nvCxnSpPr>
        <xdr:spPr>
          <a:xfrm>
            <a:off x="567638" y="10303954"/>
            <a:ext cx="811834" cy="8112"/>
          </a:xfrm>
          <a:prstGeom prst="line">
            <a:avLst/>
          </a:prstGeom>
          <a:ln w="28575">
            <a:solidFill>
              <a:srgbClr val="0070C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536408</xdr:colOff>
      <xdr:row>52</xdr:row>
      <xdr:rowOff>161491</xdr:rowOff>
    </xdr:from>
    <xdr:to>
      <xdr:col>0</xdr:col>
      <xdr:colOff>596566</xdr:colOff>
      <xdr:row>53</xdr:row>
      <xdr:rowOff>41172</xdr:rowOff>
    </xdr:to>
    <xdr:sp macro="" textlink="">
      <xdr:nvSpPr>
        <xdr:cNvPr id="128" name="Oval 127">
          <a:extLst>
            <a:ext uri="{FF2B5EF4-FFF2-40B4-BE49-F238E27FC236}">
              <a16:creationId xmlns:a16="http://schemas.microsoft.com/office/drawing/2014/main" id="{006510FF-1D6C-4EEB-9E5F-572CC9E42E73}"/>
            </a:ext>
          </a:extLst>
        </xdr:cNvPr>
        <xdr:cNvSpPr/>
      </xdr:nvSpPr>
      <xdr:spPr>
        <a:xfrm>
          <a:off x="536408" y="10186737"/>
          <a:ext cx="60158" cy="55145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PH"/>
        </a:p>
      </xdr:txBody>
    </xdr:sp>
    <xdr:clientData/>
  </xdr:twoCellAnchor>
  <xdr:twoCellAnchor>
    <xdr:from>
      <xdr:col>2</xdr:col>
      <xdr:colOff>62163</xdr:colOff>
      <xdr:row>52</xdr:row>
      <xdr:rowOff>181142</xdr:rowOff>
    </xdr:from>
    <xdr:to>
      <xdr:col>2</xdr:col>
      <xdr:colOff>122321</xdr:colOff>
      <xdr:row>53</xdr:row>
      <xdr:rowOff>45244</xdr:rowOff>
    </xdr:to>
    <xdr:sp macro="" textlink="">
      <xdr:nvSpPr>
        <xdr:cNvPr id="129" name="Oval 128">
          <a:extLst>
            <a:ext uri="{FF2B5EF4-FFF2-40B4-BE49-F238E27FC236}">
              <a16:creationId xmlns:a16="http://schemas.microsoft.com/office/drawing/2014/main" id="{B267448F-A391-43FA-8BBC-2868BA104938}"/>
            </a:ext>
          </a:extLst>
        </xdr:cNvPr>
        <xdr:cNvSpPr/>
      </xdr:nvSpPr>
      <xdr:spPr>
        <a:xfrm>
          <a:off x="1355558" y="10198768"/>
          <a:ext cx="60158" cy="55145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PH"/>
        </a:p>
      </xdr:txBody>
    </xdr:sp>
    <xdr:clientData/>
  </xdr:twoCellAnchor>
  <xdr:twoCellAnchor>
    <xdr:from>
      <xdr:col>0</xdr:col>
      <xdr:colOff>340895</xdr:colOff>
      <xdr:row>56</xdr:row>
      <xdr:rowOff>15040</xdr:rowOff>
    </xdr:from>
    <xdr:to>
      <xdr:col>2</xdr:col>
      <xdr:colOff>260684</xdr:colOff>
      <xdr:row>66</xdr:row>
      <xdr:rowOff>161488</xdr:rowOff>
    </xdr:to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8395CB10-7B89-40C0-9882-A34D5E2CBB92}"/>
            </a:ext>
          </a:extLst>
        </xdr:cNvPr>
        <xdr:cNvSpPr/>
      </xdr:nvSpPr>
      <xdr:spPr>
        <a:xfrm>
          <a:off x="340895" y="10788316"/>
          <a:ext cx="1213184" cy="2065421"/>
        </a:xfrm>
        <a:prstGeom prst="rect">
          <a:avLst/>
        </a:prstGeom>
        <a:blipFill>
          <a:blip xmlns:r="http://schemas.openxmlformats.org/officeDocument/2006/relationships" r:embed="rId1"/>
          <a:tile tx="0" ty="0" sx="100000" sy="100000" flip="none" algn="tl"/>
        </a:blip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PH"/>
        </a:p>
      </xdr:txBody>
    </xdr:sp>
    <xdr:clientData/>
  </xdr:twoCellAnchor>
  <xdr:twoCellAnchor>
    <xdr:from>
      <xdr:col>0</xdr:col>
      <xdr:colOff>534988</xdr:colOff>
      <xdr:row>55</xdr:row>
      <xdr:rowOff>46751</xdr:rowOff>
    </xdr:from>
    <xdr:to>
      <xdr:col>0</xdr:col>
      <xdr:colOff>536576</xdr:colOff>
      <xdr:row>68</xdr:row>
      <xdr:rowOff>22</xdr:rowOff>
    </xdr:to>
    <xdr:cxnSp macro="">
      <xdr:nvCxnSpPr>
        <xdr:cNvPr id="135" name="Straight Connector 134">
          <a:extLst>
            <a:ext uri="{FF2B5EF4-FFF2-40B4-BE49-F238E27FC236}">
              <a16:creationId xmlns:a16="http://schemas.microsoft.com/office/drawing/2014/main" id="{1B88BF30-F23C-40DE-AE7E-CD14D4547F4E}"/>
            </a:ext>
          </a:extLst>
        </xdr:cNvPr>
        <xdr:cNvCxnSpPr/>
      </xdr:nvCxnSpPr>
      <xdr:spPr>
        <a:xfrm rot="5400000">
          <a:off x="-693539" y="11873507"/>
          <a:ext cx="2458641" cy="1588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86122</xdr:colOff>
      <xdr:row>55</xdr:row>
      <xdr:rowOff>39688</xdr:rowOff>
    </xdr:from>
    <xdr:to>
      <xdr:col>2</xdr:col>
      <xdr:colOff>87710</xdr:colOff>
      <xdr:row>68</xdr:row>
      <xdr:rowOff>13</xdr:rowOff>
    </xdr:to>
    <xdr:cxnSp macro="">
      <xdr:nvCxnSpPr>
        <xdr:cNvPr id="136" name="Straight Connector 135">
          <a:extLst>
            <a:ext uri="{FF2B5EF4-FFF2-40B4-BE49-F238E27FC236}">
              <a16:creationId xmlns:a16="http://schemas.microsoft.com/office/drawing/2014/main" id="{2709CE25-8ECF-44C0-80A8-B6EBB3B7FECD}"/>
            </a:ext>
          </a:extLst>
        </xdr:cNvPr>
        <xdr:cNvCxnSpPr/>
      </xdr:nvCxnSpPr>
      <xdr:spPr>
        <a:xfrm rot="5400000">
          <a:off x="155376" y="11865174"/>
          <a:ext cx="2458641" cy="1588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482203</xdr:colOff>
      <xdr:row>57</xdr:row>
      <xdr:rowOff>35719</xdr:rowOff>
    </xdr:from>
    <xdr:to>
      <xdr:col>2</xdr:col>
      <xdr:colOff>160734</xdr:colOff>
      <xdr:row>57</xdr:row>
      <xdr:rowOff>41672</xdr:rowOff>
    </xdr:to>
    <xdr:cxnSp macro="">
      <xdr:nvCxnSpPr>
        <xdr:cNvPr id="138" name="Straight Connector 137">
          <a:extLst>
            <a:ext uri="{FF2B5EF4-FFF2-40B4-BE49-F238E27FC236}">
              <a16:creationId xmlns:a16="http://schemas.microsoft.com/office/drawing/2014/main" id="{075D12B3-CE3C-4642-9D93-5681EAA7F9DC}"/>
            </a:ext>
          </a:extLst>
        </xdr:cNvPr>
        <xdr:cNvCxnSpPr/>
      </xdr:nvCxnSpPr>
      <xdr:spPr>
        <a:xfrm>
          <a:off x="482203" y="11007328"/>
          <a:ext cx="976312" cy="5953"/>
        </a:xfrm>
        <a:prstGeom prst="line">
          <a:avLst/>
        </a:prstGeom>
        <a:ln w="28575"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473869</xdr:colOff>
      <xdr:row>61</xdr:row>
      <xdr:rowOff>126524</xdr:rowOff>
    </xdr:from>
    <xdr:to>
      <xdr:col>2</xdr:col>
      <xdr:colOff>152400</xdr:colOff>
      <xdr:row>61</xdr:row>
      <xdr:rowOff>132477</xdr:rowOff>
    </xdr:to>
    <xdr:cxnSp macro="">
      <xdr:nvCxnSpPr>
        <xdr:cNvPr id="140" name="Straight Connector 139">
          <a:extLst>
            <a:ext uri="{FF2B5EF4-FFF2-40B4-BE49-F238E27FC236}">
              <a16:creationId xmlns:a16="http://schemas.microsoft.com/office/drawing/2014/main" id="{78CA29B9-B483-4DE0-89D3-9CD83B90C016}"/>
            </a:ext>
          </a:extLst>
        </xdr:cNvPr>
        <xdr:cNvCxnSpPr/>
      </xdr:nvCxnSpPr>
      <xdr:spPr>
        <a:xfrm>
          <a:off x="473869" y="11874103"/>
          <a:ext cx="976312" cy="5953"/>
        </a:xfrm>
        <a:prstGeom prst="line">
          <a:avLst/>
        </a:prstGeom>
        <a:ln w="28575"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465535</xdr:colOff>
      <xdr:row>66</xdr:row>
      <xdr:rowOff>78582</xdr:rowOff>
    </xdr:from>
    <xdr:to>
      <xdr:col>2</xdr:col>
      <xdr:colOff>144066</xdr:colOff>
      <xdr:row>66</xdr:row>
      <xdr:rowOff>81559</xdr:rowOff>
    </xdr:to>
    <xdr:cxnSp macro="">
      <xdr:nvCxnSpPr>
        <xdr:cNvPr id="141" name="Straight Connector 140">
          <a:extLst>
            <a:ext uri="{FF2B5EF4-FFF2-40B4-BE49-F238E27FC236}">
              <a16:creationId xmlns:a16="http://schemas.microsoft.com/office/drawing/2014/main" id="{FAF9E61D-F8FB-4B3C-8062-1ED653107954}"/>
            </a:ext>
          </a:extLst>
        </xdr:cNvPr>
        <xdr:cNvCxnSpPr/>
      </xdr:nvCxnSpPr>
      <xdr:spPr>
        <a:xfrm>
          <a:off x="465535" y="12764691"/>
          <a:ext cx="976312" cy="5953"/>
        </a:xfrm>
        <a:prstGeom prst="line">
          <a:avLst/>
        </a:prstGeom>
        <a:ln w="28575"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363142</xdr:colOff>
      <xdr:row>57</xdr:row>
      <xdr:rowOff>48779</xdr:rowOff>
    </xdr:from>
    <xdr:to>
      <xdr:col>2</xdr:col>
      <xdr:colOff>374422</xdr:colOff>
      <xdr:row>61</xdr:row>
      <xdr:rowOff>154472</xdr:rowOff>
    </xdr:to>
    <xdr:cxnSp macro="">
      <xdr:nvCxnSpPr>
        <xdr:cNvPr id="142" name="Straight Arrow Connector 141">
          <a:extLst>
            <a:ext uri="{FF2B5EF4-FFF2-40B4-BE49-F238E27FC236}">
              <a16:creationId xmlns:a16="http://schemas.microsoft.com/office/drawing/2014/main" id="{079AF142-7BCE-4085-B51D-C65C549CCB99}"/>
            </a:ext>
          </a:extLst>
        </xdr:cNvPr>
        <xdr:cNvCxnSpPr/>
      </xdr:nvCxnSpPr>
      <xdr:spPr>
        <a:xfrm rot="5400000">
          <a:off x="1233395" y="11455536"/>
          <a:ext cx="866335" cy="11280"/>
        </a:xfrm>
        <a:prstGeom prst="straightConnector1">
          <a:avLst/>
        </a:prstGeom>
        <a:ln>
          <a:solidFill>
            <a:sysClr val="windowText" lastClr="00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433951</xdr:colOff>
      <xdr:row>58</xdr:row>
      <xdr:rowOff>44096</xdr:rowOff>
    </xdr:from>
    <xdr:to>
      <xdr:col>4</xdr:col>
      <xdr:colOff>83343</xdr:colOff>
      <xdr:row>60</xdr:row>
      <xdr:rowOff>136525</xdr:rowOff>
    </xdr:to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99D0CF92-BFA4-45E4-8607-19D26266A0EE}"/>
            </a:ext>
          </a:extLst>
        </xdr:cNvPr>
        <xdr:cNvSpPr txBox="1"/>
      </xdr:nvSpPr>
      <xdr:spPr>
        <a:xfrm>
          <a:off x="1731732" y="11212555"/>
          <a:ext cx="947174" cy="4734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/>
            <a:t>Tie Bars Spacing</a:t>
          </a:r>
        </a:p>
      </xdr:txBody>
    </xdr:sp>
    <xdr:clientData/>
  </xdr:twoCellAnchor>
  <xdr:twoCellAnchor>
    <xdr:from>
      <xdr:col>4</xdr:col>
      <xdr:colOff>251460</xdr:colOff>
      <xdr:row>56</xdr:row>
      <xdr:rowOff>76200</xdr:rowOff>
    </xdr:from>
    <xdr:to>
      <xdr:col>8</xdr:col>
      <xdr:colOff>144780</xdr:colOff>
      <xdr:row>65</xdr:row>
      <xdr:rowOff>167640</xdr:rowOff>
    </xdr:to>
    <xdr:grpSp>
      <xdr:nvGrpSpPr>
        <xdr:cNvPr id="24189" name="Group 144">
          <a:extLst>
            <a:ext uri="{FF2B5EF4-FFF2-40B4-BE49-F238E27FC236}">
              <a16:creationId xmlns:a16="http://schemas.microsoft.com/office/drawing/2014/main" id="{DB956E45-96CB-4CBA-9FB4-E9F387C2BE37}"/>
            </a:ext>
          </a:extLst>
        </xdr:cNvPr>
        <xdr:cNvGrpSpPr>
          <a:grpSpLocks/>
        </xdr:cNvGrpSpPr>
      </xdr:nvGrpSpPr>
      <xdr:grpSpPr bwMode="auto">
        <a:xfrm>
          <a:off x="2811780" y="10614660"/>
          <a:ext cx="2545080" cy="1737360"/>
          <a:chOff x="171450" y="4657725"/>
          <a:chExt cx="2514600" cy="1913434"/>
        </a:xfrm>
      </xdr:grpSpPr>
      <xdr:sp macro="" textlink="">
        <xdr:nvSpPr>
          <xdr:cNvPr id="146" name="Frame 145">
            <a:extLst>
              <a:ext uri="{FF2B5EF4-FFF2-40B4-BE49-F238E27FC236}">
                <a16:creationId xmlns:a16="http://schemas.microsoft.com/office/drawing/2014/main" id="{9100846A-6CE6-4FE8-90C1-A2FF3D67A0B6}"/>
              </a:ext>
            </a:extLst>
          </xdr:cNvPr>
          <xdr:cNvSpPr/>
        </xdr:nvSpPr>
        <xdr:spPr>
          <a:xfrm>
            <a:off x="266341" y="4758432"/>
            <a:ext cx="2309004" cy="1426683"/>
          </a:xfrm>
          <a:prstGeom prst="frame">
            <a:avLst>
              <a:gd name="adj1" fmla="val 16804"/>
            </a:avLst>
          </a:prstGeom>
          <a:blipFill>
            <a:blip xmlns:r="http://schemas.openxmlformats.org/officeDocument/2006/relationships" r:embed="rId1"/>
            <a:tile tx="0" ty="0" sx="100000" sy="100000" flip="none" algn="tl"/>
          </a:blipFill>
          <a:ln w="3175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147" name="Frame 146">
            <a:extLst>
              <a:ext uri="{FF2B5EF4-FFF2-40B4-BE49-F238E27FC236}">
                <a16:creationId xmlns:a16="http://schemas.microsoft.com/office/drawing/2014/main" id="{83A30C90-CFE9-4452-B574-864F79B3272D}"/>
              </a:ext>
            </a:extLst>
          </xdr:cNvPr>
          <xdr:cNvSpPr/>
        </xdr:nvSpPr>
        <xdr:spPr>
          <a:xfrm>
            <a:off x="345416" y="4833962"/>
            <a:ext cx="2166668" cy="1267230"/>
          </a:xfrm>
          <a:prstGeom prst="frame">
            <a:avLst>
              <a:gd name="adj1" fmla="val 7776"/>
            </a:avLst>
          </a:prstGeom>
          <a:blipFill>
            <a:blip xmlns:r="http://schemas.openxmlformats.org/officeDocument/2006/relationships" r:embed="rId2"/>
            <a:tile tx="0" ty="0" sx="100000" sy="100000" flip="none" algn="tl"/>
          </a:blipFill>
          <a:ln w="3175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148" name="Freeform 147">
            <a:extLst>
              <a:ext uri="{FF2B5EF4-FFF2-40B4-BE49-F238E27FC236}">
                <a16:creationId xmlns:a16="http://schemas.microsoft.com/office/drawing/2014/main" id="{AB7D8DCA-A92E-4DDC-A970-B3C99E2B7772}"/>
              </a:ext>
            </a:extLst>
          </xdr:cNvPr>
          <xdr:cNvSpPr/>
        </xdr:nvSpPr>
        <xdr:spPr>
          <a:xfrm>
            <a:off x="187265" y="4657725"/>
            <a:ext cx="2498785" cy="1602921"/>
          </a:xfrm>
          <a:custGeom>
            <a:avLst/>
            <a:gdLst>
              <a:gd name="connsiteX0" fmla="*/ 85725 w 2505075"/>
              <a:gd name="connsiteY0" fmla="*/ 0 h 1571625"/>
              <a:gd name="connsiteX1" fmla="*/ 2505075 w 2505075"/>
              <a:gd name="connsiteY1" fmla="*/ 0 h 1571625"/>
              <a:gd name="connsiteX2" fmla="*/ 2505075 w 2505075"/>
              <a:gd name="connsiteY2" fmla="*/ 1571625 h 1571625"/>
              <a:gd name="connsiteX3" fmla="*/ 0 w 2505075"/>
              <a:gd name="connsiteY3" fmla="*/ 1571625 h 157162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2505075" h="1571625">
                <a:moveTo>
                  <a:pt x="85725" y="0"/>
                </a:moveTo>
                <a:lnTo>
                  <a:pt x="2505075" y="0"/>
                </a:lnTo>
                <a:lnTo>
                  <a:pt x="2505075" y="1571625"/>
                </a:lnTo>
                <a:lnTo>
                  <a:pt x="0" y="1571625"/>
                </a:lnTo>
              </a:path>
            </a:pathLst>
          </a:cu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cxnSp macro="">
        <xdr:nvCxnSpPr>
          <xdr:cNvPr id="149" name="Straight Arrow Connector 148">
            <a:extLst>
              <a:ext uri="{FF2B5EF4-FFF2-40B4-BE49-F238E27FC236}">
                <a16:creationId xmlns:a16="http://schemas.microsoft.com/office/drawing/2014/main" id="{02CD0FE7-B4C1-4EC6-A068-BA939DCCCDE8}"/>
              </a:ext>
            </a:extLst>
          </xdr:cNvPr>
          <xdr:cNvCxnSpPr/>
        </xdr:nvCxnSpPr>
        <xdr:spPr>
          <a:xfrm flipV="1">
            <a:off x="171450" y="5018592"/>
            <a:ext cx="0" cy="1250446"/>
          </a:xfrm>
          <a:prstGeom prst="straightConnector1">
            <a:avLst/>
          </a:prstGeom>
          <a:ln>
            <a:solidFill>
              <a:sysClr val="windowText" lastClr="00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50" name="TextBox 149">
            <a:extLst>
              <a:ext uri="{FF2B5EF4-FFF2-40B4-BE49-F238E27FC236}">
                <a16:creationId xmlns:a16="http://schemas.microsoft.com/office/drawing/2014/main" id="{3CE134F6-8206-453F-9208-D94437D9B2C4}"/>
              </a:ext>
            </a:extLst>
          </xdr:cNvPr>
          <xdr:cNvSpPr txBox="1"/>
        </xdr:nvSpPr>
        <xdr:spPr>
          <a:xfrm>
            <a:off x="645903" y="6302607"/>
            <a:ext cx="2000609" cy="26855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/>
              <a:t>L</a:t>
            </a:r>
            <a:r>
              <a:rPr lang="en-US" sz="800"/>
              <a:t>T = TOTAL</a:t>
            </a:r>
            <a:r>
              <a:rPr lang="en-US" sz="800" baseline="0"/>
              <a:t> LENGTH/PERIMETER</a:t>
            </a:r>
            <a:endParaRPr lang="en-US" sz="800"/>
          </a:p>
        </xdr:txBody>
      </xdr:sp>
    </xdr:grpSp>
    <xdr:clientData/>
  </xdr:twoCellAnchor>
  <xdr:twoCellAnchor>
    <xdr:from>
      <xdr:col>0</xdr:col>
      <xdr:colOff>22860</xdr:colOff>
      <xdr:row>69</xdr:row>
      <xdr:rowOff>129540</xdr:rowOff>
    </xdr:from>
    <xdr:to>
      <xdr:col>3</xdr:col>
      <xdr:colOff>640080</xdr:colOff>
      <xdr:row>82</xdr:row>
      <xdr:rowOff>137160</xdr:rowOff>
    </xdr:to>
    <xdr:grpSp>
      <xdr:nvGrpSpPr>
        <xdr:cNvPr id="24190" name="Group 150">
          <a:extLst>
            <a:ext uri="{FF2B5EF4-FFF2-40B4-BE49-F238E27FC236}">
              <a16:creationId xmlns:a16="http://schemas.microsoft.com/office/drawing/2014/main" id="{B49D104B-D37F-48DD-9EBD-7FDAD17C4D8E}"/>
            </a:ext>
          </a:extLst>
        </xdr:cNvPr>
        <xdr:cNvGrpSpPr>
          <a:grpSpLocks/>
        </xdr:cNvGrpSpPr>
      </xdr:nvGrpSpPr>
      <xdr:grpSpPr bwMode="auto">
        <a:xfrm>
          <a:off x="22860" y="13045440"/>
          <a:ext cx="2537460" cy="2385060"/>
          <a:chOff x="133350" y="9258300"/>
          <a:chExt cx="2609850" cy="2486025"/>
        </a:xfrm>
      </xdr:grpSpPr>
      <xdr:sp macro="" textlink="">
        <xdr:nvSpPr>
          <xdr:cNvPr id="152" name="Cube 151">
            <a:extLst>
              <a:ext uri="{FF2B5EF4-FFF2-40B4-BE49-F238E27FC236}">
                <a16:creationId xmlns:a16="http://schemas.microsoft.com/office/drawing/2014/main" id="{995A5FE3-E3C9-44DF-8399-2E74D6CF540E}"/>
              </a:ext>
            </a:extLst>
          </xdr:cNvPr>
          <xdr:cNvSpPr/>
        </xdr:nvSpPr>
        <xdr:spPr>
          <a:xfrm>
            <a:off x="314475" y="11450450"/>
            <a:ext cx="633938" cy="293875"/>
          </a:xfrm>
          <a:prstGeom prst="cube">
            <a:avLst>
              <a:gd name="adj" fmla="val 57258"/>
            </a:avLst>
          </a:prstGeom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153" name="Cube 152">
            <a:extLst>
              <a:ext uri="{FF2B5EF4-FFF2-40B4-BE49-F238E27FC236}">
                <a16:creationId xmlns:a16="http://schemas.microsoft.com/office/drawing/2014/main" id="{B8B33784-7148-4D09-9270-E19E7763E5E0}"/>
              </a:ext>
            </a:extLst>
          </xdr:cNvPr>
          <xdr:cNvSpPr/>
        </xdr:nvSpPr>
        <xdr:spPr>
          <a:xfrm>
            <a:off x="536765" y="10854757"/>
            <a:ext cx="214057" cy="691004"/>
          </a:xfrm>
          <a:prstGeom prst="cube">
            <a:avLst/>
          </a:prstGeom>
          <a:blipFill>
            <a:blip xmlns:r="http://schemas.openxmlformats.org/officeDocument/2006/relationships" r:embed="rId1"/>
            <a:tile tx="0" ty="0" sx="100000" sy="100000" flip="none" algn="tl"/>
          </a:blipFill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154" name="Flowchart: Data 153">
            <a:extLst>
              <a:ext uri="{FF2B5EF4-FFF2-40B4-BE49-F238E27FC236}">
                <a16:creationId xmlns:a16="http://schemas.microsoft.com/office/drawing/2014/main" id="{547C99E1-5EEC-491C-AF8E-414B4481D42B}"/>
              </a:ext>
            </a:extLst>
          </xdr:cNvPr>
          <xdr:cNvSpPr/>
        </xdr:nvSpPr>
        <xdr:spPr>
          <a:xfrm>
            <a:off x="133350" y="10815044"/>
            <a:ext cx="1037354" cy="301818"/>
          </a:xfrm>
          <a:prstGeom prst="flowChartInputOutput">
            <a:avLst/>
          </a:prstGeom>
          <a:blipFill>
            <a:blip xmlns:r="http://schemas.openxmlformats.org/officeDocument/2006/relationships" r:embed="rId6"/>
            <a:tile tx="0" ty="0" sx="100000" sy="100000" flip="none" algn="tl"/>
          </a:blipFill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155" name="Cube 154">
            <a:extLst>
              <a:ext uri="{FF2B5EF4-FFF2-40B4-BE49-F238E27FC236}">
                <a16:creationId xmlns:a16="http://schemas.microsoft.com/office/drawing/2014/main" id="{A37719A7-1C03-45CD-83F4-BC5D86BCB6D7}"/>
              </a:ext>
            </a:extLst>
          </xdr:cNvPr>
          <xdr:cNvSpPr/>
        </xdr:nvSpPr>
        <xdr:spPr>
          <a:xfrm>
            <a:off x="536765" y="9369496"/>
            <a:ext cx="230523" cy="1644112"/>
          </a:xfrm>
          <a:prstGeom prst="cube">
            <a:avLst/>
          </a:prstGeom>
          <a:blipFill>
            <a:blip xmlns:r="http://schemas.openxmlformats.org/officeDocument/2006/relationships" r:embed="rId1"/>
            <a:tile tx="0" ty="0" sx="100000" sy="100000" flip="none" algn="tl"/>
          </a:blipFill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156" name="Cube 155">
            <a:extLst>
              <a:ext uri="{FF2B5EF4-FFF2-40B4-BE49-F238E27FC236}">
                <a16:creationId xmlns:a16="http://schemas.microsoft.com/office/drawing/2014/main" id="{D7C89AA6-041D-4C33-8E8B-274E6359BFC7}"/>
              </a:ext>
            </a:extLst>
          </xdr:cNvPr>
          <xdr:cNvSpPr/>
        </xdr:nvSpPr>
        <xdr:spPr>
          <a:xfrm>
            <a:off x="1458857" y="11450450"/>
            <a:ext cx="642171" cy="293875"/>
          </a:xfrm>
          <a:prstGeom prst="cube">
            <a:avLst>
              <a:gd name="adj" fmla="val 57258"/>
            </a:avLst>
          </a:prstGeom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157" name="Cube 156">
            <a:extLst>
              <a:ext uri="{FF2B5EF4-FFF2-40B4-BE49-F238E27FC236}">
                <a16:creationId xmlns:a16="http://schemas.microsoft.com/office/drawing/2014/main" id="{99AFFE39-FF22-4C81-A503-1FC0427E8A47}"/>
              </a:ext>
            </a:extLst>
          </xdr:cNvPr>
          <xdr:cNvSpPr/>
        </xdr:nvSpPr>
        <xdr:spPr>
          <a:xfrm>
            <a:off x="1689380" y="10854757"/>
            <a:ext cx="214057" cy="691004"/>
          </a:xfrm>
          <a:prstGeom prst="cube">
            <a:avLst/>
          </a:prstGeom>
          <a:blipFill>
            <a:blip xmlns:r="http://schemas.openxmlformats.org/officeDocument/2006/relationships" r:embed="rId1"/>
            <a:tile tx="0" ty="0" sx="100000" sy="100000" flip="none" algn="tl"/>
          </a:blipFill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158" name="Flowchart: Data 157">
            <a:extLst>
              <a:ext uri="{FF2B5EF4-FFF2-40B4-BE49-F238E27FC236}">
                <a16:creationId xmlns:a16="http://schemas.microsoft.com/office/drawing/2014/main" id="{20BFEE09-5FDA-4130-8102-AEFEDC20DA53}"/>
              </a:ext>
            </a:extLst>
          </xdr:cNvPr>
          <xdr:cNvSpPr/>
        </xdr:nvSpPr>
        <xdr:spPr>
          <a:xfrm>
            <a:off x="1285965" y="10815044"/>
            <a:ext cx="1037354" cy="301818"/>
          </a:xfrm>
          <a:prstGeom prst="flowChartInputOutput">
            <a:avLst/>
          </a:prstGeom>
          <a:blipFill>
            <a:blip xmlns:r="http://schemas.openxmlformats.org/officeDocument/2006/relationships" r:embed="rId6"/>
            <a:tile tx="0" ty="0" sx="100000" sy="100000" flip="none" algn="tl"/>
          </a:blipFill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159" name="Cube 158">
            <a:extLst>
              <a:ext uri="{FF2B5EF4-FFF2-40B4-BE49-F238E27FC236}">
                <a16:creationId xmlns:a16="http://schemas.microsoft.com/office/drawing/2014/main" id="{246E00E8-AC47-4197-B20D-B5DFE61523F7}"/>
              </a:ext>
            </a:extLst>
          </xdr:cNvPr>
          <xdr:cNvSpPr/>
        </xdr:nvSpPr>
        <xdr:spPr>
          <a:xfrm>
            <a:off x="1689380" y="9369496"/>
            <a:ext cx="222290" cy="1644112"/>
          </a:xfrm>
          <a:prstGeom prst="cube">
            <a:avLst/>
          </a:prstGeom>
          <a:blipFill>
            <a:blip xmlns:r="http://schemas.openxmlformats.org/officeDocument/2006/relationships" r:embed="rId1"/>
            <a:tile tx="0" ty="0" sx="100000" sy="100000" flip="none" algn="tl"/>
          </a:blipFill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160" name="Cube 159">
            <a:extLst>
              <a:ext uri="{FF2B5EF4-FFF2-40B4-BE49-F238E27FC236}">
                <a16:creationId xmlns:a16="http://schemas.microsoft.com/office/drawing/2014/main" id="{E4E2949C-1C8A-4435-AC46-6F9F7CB69FEB}"/>
              </a:ext>
            </a:extLst>
          </xdr:cNvPr>
          <xdr:cNvSpPr/>
        </xdr:nvSpPr>
        <xdr:spPr>
          <a:xfrm>
            <a:off x="536765" y="9258300"/>
            <a:ext cx="1770088" cy="206507"/>
          </a:xfrm>
          <a:prstGeom prst="cube">
            <a:avLst/>
          </a:prstGeom>
          <a:ln w="3175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cxnSp macro="">
        <xdr:nvCxnSpPr>
          <xdr:cNvPr id="161" name="Straight Arrow Connector 160">
            <a:extLst>
              <a:ext uri="{FF2B5EF4-FFF2-40B4-BE49-F238E27FC236}">
                <a16:creationId xmlns:a16="http://schemas.microsoft.com/office/drawing/2014/main" id="{124DF58B-E9B1-4AF1-A638-0C9C4CBF1706}"/>
              </a:ext>
            </a:extLst>
          </xdr:cNvPr>
          <xdr:cNvCxnSpPr/>
        </xdr:nvCxnSpPr>
        <xdr:spPr>
          <a:xfrm flipV="1">
            <a:off x="2487978" y="9425094"/>
            <a:ext cx="0" cy="2017413"/>
          </a:xfrm>
          <a:prstGeom prst="straightConnector1">
            <a:avLst/>
          </a:prstGeom>
          <a:ln>
            <a:solidFill>
              <a:sysClr val="windowText" lastClr="000000"/>
            </a:solidFill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2" name="Straight Connector 161">
            <a:extLst>
              <a:ext uri="{FF2B5EF4-FFF2-40B4-BE49-F238E27FC236}">
                <a16:creationId xmlns:a16="http://schemas.microsoft.com/office/drawing/2014/main" id="{F72A2C0A-58BD-468F-AA76-8DAC1BAAE110}"/>
              </a:ext>
            </a:extLst>
          </xdr:cNvPr>
          <xdr:cNvCxnSpPr/>
        </xdr:nvCxnSpPr>
        <xdr:spPr>
          <a:xfrm>
            <a:off x="2273921" y="9425094"/>
            <a:ext cx="469279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3" name="Straight Connector 162">
            <a:extLst>
              <a:ext uri="{FF2B5EF4-FFF2-40B4-BE49-F238E27FC236}">
                <a16:creationId xmlns:a16="http://schemas.microsoft.com/office/drawing/2014/main" id="{6135789E-A95D-44C6-B459-7BA75C486D0C}"/>
              </a:ext>
            </a:extLst>
          </xdr:cNvPr>
          <xdr:cNvCxnSpPr/>
        </xdr:nvCxnSpPr>
        <xdr:spPr>
          <a:xfrm>
            <a:off x="2084563" y="11442507"/>
            <a:ext cx="469279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64" name="TextBox 163">
            <a:extLst>
              <a:ext uri="{FF2B5EF4-FFF2-40B4-BE49-F238E27FC236}">
                <a16:creationId xmlns:a16="http://schemas.microsoft.com/office/drawing/2014/main" id="{57978516-B070-422D-BB6B-660BC8ED115A}"/>
              </a:ext>
            </a:extLst>
          </xdr:cNvPr>
          <xdr:cNvSpPr txBox="1"/>
        </xdr:nvSpPr>
        <xdr:spPr>
          <a:xfrm>
            <a:off x="2150426" y="10139925"/>
            <a:ext cx="246989" cy="34153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/>
              <a:t>H</a:t>
            </a:r>
          </a:p>
        </xdr:txBody>
      </xdr:sp>
    </xdr:grpSp>
    <xdr:clientData/>
  </xdr:twoCellAnchor>
  <xdr:twoCellAnchor>
    <xdr:from>
      <xdr:col>4</xdr:col>
      <xdr:colOff>381000</xdr:colOff>
      <xdr:row>69</xdr:row>
      <xdr:rowOff>137160</xdr:rowOff>
    </xdr:from>
    <xdr:to>
      <xdr:col>8</xdr:col>
      <xdr:colOff>304800</xdr:colOff>
      <xdr:row>81</xdr:row>
      <xdr:rowOff>53340</xdr:rowOff>
    </xdr:to>
    <xdr:grpSp>
      <xdr:nvGrpSpPr>
        <xdr:cNvPr id="24191" name="Group 178">
          <a:extLst>
            <a:ext uri="{FF2B5EF4-FFF2-40B4-BE49-F238E27FC236}">
              <a16:creationId xmlns:a16="http://schemas.microsoft.com/office/drawing/2014/main" id="{163BB6F1-9186-4C00-8053-0DAFAC212C20}"/>
            </a:ext>
          </a:extLst>
        </xdr:cNvPr>
        <xdr:cNvGrpSpPr>
          <a:grpSpLocks/>
        </xdr:cNvGrpSpPr>
      </xdr:nvGrpSpPr>
      <xdr:grpSpPr bwMode="auto">
        <a:xfrm>
          <a:off x="2941320" y="13053060"/>
          <a:ext cx="2575560" cy="2110740"/>
          <a:chOff x="2971800" y="13582650"/>
          <a:chExt cx="2514600" cy="2200275"/>
        </a:xfrm>
      </xdr:grpSpPr>
      <xdr:sp macro="" textlink="">
        <xdr:nvSpPr>
          <xdr:cNvPr id="165" name="Rectangle 164">
            <a:extLst>
              <a:ext uri="{FF2B5EF4-FFF2-40B4-BE49-F238E27FC236}">
                <a16:creationId xmlns:a16="http://schemas.microsoft.com/office/drawing/2014/main" id="{CD36A409-AC7F-4C86-AB4D-3779ABFE3CDE}"/>
              </a:ext>
            </a:extLst>
          </xdr:cNvPr>
          <xdr:cNvSpPr/>
        </xdr:nvSpPr>
        <xdr:spPr>
          <a:xfrm>
            <a:off x="2971800" y="13582650"/>
            <a:ext cx="1960139" cy="1842830"/>
          </a:xfrm>
          <a:prstGeom prst="rect">
            <a:avLst/>
          </a:prstGeom>
          <a:blipFill>
            <a:blip xmlns:r="http://schemas.openxmlformats.org/officeDocument/2006/relationships" r:embed="rId1"/>
            <a:tile tx="0" ty="0" sx="100000" sy="100000" flip="none" algn="tl"/>
          </a:blipFill>
          <a:ln w="3175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en-PH"/>
          </a:p>
        </xdr:txBody>
      </xdr:sp>
      <xdr:sp macro="" textlink="">
        <xdr:nvSpPr>
          <xdr:cNvPr id="166" name="TextBox 165">
            <a:extLst>
              <a:ext uri="{FF2B5EF4-FFF2-40B4-BE49-F238E27FC236}">
                <a16:creationId xmlns:a16="http://schemas.microsoft.com/office/drawing/2014/main" id="{2B8F3970-5DAB-4113-9D72-05BA7655A32D}"/>
              </a:ext>
            </a:extLst>
          </xdr:cNvPr>
          <xdr:cNvSpPr txBox="1"/>
        </xdr:nvSpPr>
        <xdr:spPr>
          <a:xfrm>
            <a:off x="3690257" y="15441366"/>
            <a:ext cx="515415" cy="3415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/>
              <a:t>D2</a:t>
            </a:r>
          </a:p>
        </xdr:txBody>
      </xdr:sp>
      <xdr:sp macro="" textlink="">
        <xdr:nvSpPr>
          <xdr:cNvPr id="167" name="TextBox 166">
            <a:extLst>
              <a:ext uri="{FF2B5EF4-FFF2-40B4-BE49-F238E27FC236}">
                <a16:creationId xmlns:a16="http://schemas.microsoft.com/office/drawing/2014/main" id="{54D3DEDD-BD94-47FB-8149-385B61D03E3A}"/>
              </a:ext>
            </a:extLst>
          </xdr:cNvPr>
          <xdr:cNvSpPr txBox="1"/>
        </xdr:nvSpPr>
        <xdr:spPr>
          <a:xfrm>
            <a:off x="4978794" y="14353143"/>
            <a:ext cx="507606" cy="34950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/>
              <a:t>D1</a:t>
            </a:r>
          </a:p>
        </xdr:txBody>
      </xdr:sp>
      <xdr:sp macro="" textlink="">
        <xdr:nvSpPr>
          <xdr:cNvPr id="168" name="Rounded Rectangle 167">
            <a:extLst>
              <a:ext uri="{FF2B5EF4-FFF2-40B4-BE49-F238E27FC236}">
                <a16:creationId xmlns:a16="http://schemas.microsoft.com/office/drawing/2014/main" id="{08410DB6-8874-426B-8109-681FE3FDE41A}"/>
              </a:ext>
            </a:extLst>
          </xdr:cNvPr>
          <xdr:cNvSpPr/>
        </xdr:nvSpPr>
        <xdr:spPr>
          <a:xfrm>
            <a:off x="3252935" y="13797117"/>
            <a:ext cx="1436914" cy="1437725"/>
          </a:xfrm>
          <a:prstGeom prst="roundRect">
            <a:avLst>
              <a:gd name="adj" fmla="val 10044"/>
            </a:avLst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en-PH"/>
          </a:p>
        </xdr:txBody>
      </xdr:sp>
      <xdr:sp macro="" textlink="">
        <xdr:nvSpPr>
          <xdr:cNvPr id="169" name="Oval 168">
            <a:extLst>
              <a:ext uri="{FF2B5EF4-FFF2-40B4-BE49-F238E27FC236}">
                <a16:creationId xmlns:a16="http://schemas.microsoft.com/office/drawing/2014/main" id="{BF7E8D33-0AC9-45B4-BB69-1DA450CC57EA}"/>
              </a:ext>
            </a:extLst>
          </xdr:cNvPr>
          <xdr:cNvSpPr/>
        </xdr:nvSpPr>
        <xdr:spPr>
          <a:xfrm>
            <a:off x="3291982" y="13828890"/>
            <a:ext cx="195233" cy="214467"/>
          </a:xfrm>
          <a:prstGeom prst="ellipse">
            <a:avLst/>
          </a:prstGeom>
          <a:solidFill>
            <a:srgbClr val="0070C0"/>
          </a:solidFill>
          <a:ln>
            <a:solidFill>
              <a:srgbClr val="0070C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en-PH"/>
          </a:p>
        </xdr:txBody>
      </xdr:sp>
      <xdr:sp macro="" textlink="">
        <xdr:nvSpPr>
          <xdr:cNvPr id="170" name="Oval 169">
            <a:extLst>
              <a:ext uri="{FF2B5EF4-FFF2-40B4-BE49-F238E27FC236}">
                <a16:creationId xmlns:a16="http://schemas.microsoft.com/office/drawing/2014/main" id="{37B8842B-B7F1-497D-B0AD-5E8CEC231ECD}"/>
              </a:ext>
            </a:extLst>
          </xdr:cNvPr>
          <xdr:cNvSpPr/>
        </xdr:nvSpPr>
        <xdr:spPr>
          <a:xfrm>
            <a:off x="4424333" y="13852720"/>
            <a:ext cx="187424" cy="206524"/>
          </a:xfrm>
          <a:prstGeom prst="ellipse">
            <a:avLst/>
          </a:prstGeom>
          <a:solidFill>
            <a:srgbClr val="0070C0"/>
          </a:solidFill>
          <a:ln>
            <a:solidFill>
              <a:srgbClr val="0070C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en-PH"/>
          </a:p>
        </xdr:txBody>
      </xdr:sp>
      <xdr:sp macro="" textlink="">
        <xdr:nvSpPr>
          <xdr:cNvPr id="171" name="Oval 170">
            <a:extLst>
              <a:ext uri="{FF2B5EF4-FFF2-40B4-BE49-F238E27FC236}">
                <a16:creationId xmlns:a16="http://schemas.microsoft.com/office/drawing/2014/main" id="{D602071C-1A09-4647-A881-1B9309C30C5E}"/>
              </a:ext>
            </a:extLst>
          </xdr:cNvPr>
          <xdr:cNvSpPr/>
        </xdr:nvSpPr>
        <xdr:spPr>
          <a:xfrm>
            <a:off x="3291982" y="14980659"/>
            <a:ext cx="187424" cy="214467"/>
          </a:xfrm>
          <a:prstGeom prst="ellipse">
            <a:avLst/>
          </a:prstGeom>
          <a:solidFill>
            <a:srgbClr val="0070C0"/>
          </a:solidFill>
          <a:ln>
            <a:solidFill>
              <a:srgbClr val="0070C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en-PH"/>
          </a:p>
        </xdr:txBody>
      </xdr:sp>
      <xdr:sp macro="" textlink="">
        <xdr:nvSpPr>
          <xdr:cNvPr id="172" name="Oval 171">
            <a:extLst>
              <a:ext uri="{FF2B5EF4-FFF2-40B4-BE49-F238E27FC236}">
                <a16:creationId xmlns:a16="http://schemas.microsoft.com/office/drawing/2014/main" id="{4BE7FA07-CB34-4770-A3F4-5EF9F2186BB4}"/>
              </a:ext>
            </a:extLst>
          </xdr:cNvPr>
          <xdr:cNvSpPr/>
        </xdr:nvSpPr>
        <xdr:spPr>
          <a:xfrm>
            <a:off x="4424333" y="14980659"/>
            <a:ext cx="187424" cy="214467"/>
          </a:xfrm>
          <a:prstGeom prst="ellipse">
            <a:avLst/>
          </a:prstGeom>
          <a:solidFill>
            <a:srgbClr val="0070C0"/>
          </a:solidFill>
          <a:ln>
            <a:solidFill>
              <a:srgbClr val="0070C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en-PH"/>
          </a:p>
        </xdr:txBody>
      </xdr:sp>
      <xdr:sp macro="" textlink="">
        <xdr:nvSpPr>
          <xdr:cNvPr id="173" name="Oval 172">
            <a:extLst>
              <a:ext uri="{FF2B5EF4-FFF2-40B4-BE49-F238E27FC236}">
                <a16:creationId xmlns:a16="http://schemas.microsoft.com/office/drawing/2014/main" id="{405E23F5-F332-4F7A-A92B-89DF7199385E}"/>
              </a:ext>
            </a:extLst>
          </xdr:cNvPr>
          <xdr:cNvSpPr/>
        </xdr:nvSpPr>
        <xdr:spPr>
          <a:xfrm>
            <a:off x="3893299" y="14972715"/>
            <a:ext cx="179614" cy="214467"/>
          </a:xfrm>
          <a:prstGeom prst="ellipse">
            <a:avLst/>
          </a:prstGeom>
          <a:solidFill>
            <a:srgbClr val="0070C0"/>
          </a:solidFill>
          <a:ln>
            <a:solidFill>
              <a:srgbClr val="0070C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en-PH"/>
          </a:p>
        </xdr:txBody>
      </xdr:sp>
      <xdr:sp macro="" textlink="">
        <xdr:nvSpPr>
          <xdr:cNvPr id="174" name="Oval 173">
            <a:extLst>
              <a:ext uri="{FF2B5EF4-FFF2-40B4-BE49-F238E27FC236}">
                <a16:creationId xmlns:a16="http://schemas.microsoft.com/office/drawing/2014/main" id="{7C362AFA-8762-4CB4-8E16-FB490494D412}"/>
              </a:ext>
            </a:extLst>
          </xdr:cNvPr>
          <xdr:cNvSpPr/>
        </xdr:nvSpPr>
        <xdr:spPr>
          <a:xfrm>
            <a:off x="3291982" y="14408746"/>
            <a:ext cx="187424" cy="214467"/>
          </a:xfrm>
          <a:prstGeom prst="ellipse">
            <a:avLst/>
          </a:prstGeom>
          <a:solidFill>
            <a:srgbClr val="0070C0"/>
          </a:solidFill>
          <a:ln>
            <a:solidFill>
              <a:srgbClr val="0070C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en-PH"/>
          </a:p>
        </xdr:txBody>
      </xdr:sp>
      <xdr:sp macro="" textlink="">
        <xdr:nvSpPr>
          <xdr:cNvPr id="175" name="Oval 174">
            <a:extLst>
              <a:ext uri="{FF2B5EF4-FFF2-40B4-BE49-F238E27FC236}">
                <a16:creationId xmlns:a16="http://schemas.microsoft.com/office/drawing/2014/main" id="{6DBD043E-1104-4668-B507-C41BEB0DDF4C}"/>
              </a:ext>
            </a:extLst>
          </xdr:cNvPr>
          <xdr:cNvSpPr/>
        </xdr:nvSpPr>
        <xdr:spPr>
          <a:xfrm>
            <a:off x="3838634" y="13836833"/>
            <a:ext cx="187424" cy="214467"/>
          </a:xfrm>
          <a:prstGeom prst="ellipse">
            <a:avLst/>
          </a:prstGeom>
          <a:solidFill>
            <a:srgbClr val="0070C0"/>
          </a:solidFill>
          <a:ln>
            <a:solidFill>
              <a:srgbClr val="0070C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en-PH"/>
          </a:p>
        </xdr:txBody>
      </xdr:sp>
      <xdr:sp macro="" textlink="">
        <xdr:nvSpPr>
          <xdr:cNvPr id="176" name="Oval 175">
            <a:extLst>
              <a:ext uri="{FF2B5EF4-FFF2-40B4-BE49-F238E27FC236}">
                <a16:creationId xmlns:a16="http://schemas.microsoft.com/office/drawing/2014/main" id="{39FF8BAA-D75D-4D08-929E-06178C23B157}"/>
              </a:ext>
            </a:extLst>
          </xdr:cNvPr>
          <xdr:cNvSpPr/>
        </xdr:nvSpPr>
        <xdr:spPr>
          <a:xfrm>
            <a:off x="4439952" y="14400803"/>
            <a:ext cx="187424" cy="214467"/>
          </a:xfrm>
          <a:prstGeom prst="ellipse">
            <a:avLst/>
          </a:prstGeom>
          <a:solidFill>
            <a:srgbClr val="0070C0"/>
          </a:solidFill>
          <a:ln>
            <a:solidFill>
              <a:srgbClr val="0070C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en-PH"/>
          </a:p>
        </xdr:txBody>
      </xdr:sp>
      <xdr:sp macro="" textlink="">
        <xdr:nvSpPr>
          <xdr:cNvPr id="177" name="Right Brace 176">
            <a:extLst>
              <a:ext uri="{FF2B5EF4-FFF2-40B4-BE49-F238E27FC236}">
                <a16:creationId xmlns:a16="http://schemas.microsoft.com/office/drawing/2014/main" id="{F1362305-0BF6-4E25-B549-AB6DC9FB07CF}"/>
              </a:ext>
            </a:extLst>
          </xdr:cNvPr>
          <xdr:cNvSpPr/>
        </xdr:nvSpPr>
        <xdr:spPr>
          <a:xfrm rot="5400000">
            <a:off x="4628602" y="15360306"/>
            <a:ext cx="317729" cy="273326"/>
          </a:xfrm>
          <a:prstGeom prst="rightBrac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rtlCol="0" anchor="ctr"/>
          <a:lstStyle/>
          <a:p>
            <a:endParaRPr lang="en-PH"/>
          </a:p>
        </xdr:txBody>
      </xdr:sp>
    </xdr:grpSp>
    <xdr:clientData/>
  </xdr:twoCellAnchor>
  <xdr:twoCellAnchor>
    <xdr:from>
      <xdr:col>7</xdr:col>
      <xdr:colOff>440055</xdr:colOff>
      <xdr:row>77</xdr:row>
      <xdr:rowOff>98425</xdr:rowOff>
    </xdr:from>
    <xdr:to>
      <xdr:col>8</xdr:col>
      <xdr:colOff>561975</xdr:colOff>
      <xdr:row>81</xdr:row>
      <xdr:rowOff>107950</xdr:rowOff>
    </xdr:to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CE265A24-76D1-4FFC-9927-34363A320742}"/>
            </a:ext>
          </a:extLst>
        </xdr:cNvPr>
        <xdr:cNvSpPr txBox="1"/>
      </xdr:nvSpPr>
      <xdr:spPr>
        <a:xfrm>
          <a:off x="4962525" y="15068550"/>
          <a:ext cx="781050" cy="771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>
            <a:lnSpc>
              <a:spcPts val="1100"/>
            </a:lnSpc>
          </a:pPr>
          <a:r>
            <a:rPr lang="en-US" sz="1100"/>
            <a:t>Clear Cover</a:t>
          </a:r>
          <a:r>
            <a:rPr lang="en-US" sz="1100" baseline="0"/>
            <a:t> for columns = 0.40m</a:t>
          </a:r>
          <a:endParaRPr lang="en-US" sz="1100"/>
        </a:p>
      </xdr:txBody>
    </xdr:sp>
    <xdr:clientData/>
  </xdr:twoCellAnchor>
  <xdr:twoCellAnchor>
    <xdr:from>
      <xdr:col>0</xdr:col>
      <xdr:colOff>213360</xdr:colOff>
      <xdr:row>109</xdr:row>
      <xdr:rowOff>160020</xdr:rowOff>
    </xdr:from>
    <xdr:to>
      <xdr:col>3</xdr:col>
      <xdr:colOff>289560</xdr:colOff>
      <xdr:row>115</xdr:row>
      <xdr:rowOff>175260</xdr:rowOff>
    </xdr:to>
    <xdr:grpSp>
      <xdr:nvGrpSpPr>
        <xdr:cNvPr id="24193" name="Group 179">
          <a:extLst>
            <a:ext uri="{FF2B5EF4-FFF2-40B4-BE49-F238E27FC236}">
              <a16:creationId xmlns:a16="http://schemas.microsoft.com/office/drawing/2014/main" id="{3F3C03B4-C8BE-4F02-9318-F0DB6A8F284E}"/>
            </a:ext>
          </a:extLst>
        </xdr:cNvPr>
        <xdr:cNvGrpSpPr>
          <a:grpSpLocks/>
        </xdr:cNvGrpSpPr>
      </xdr:nvGrpSpPr>
      <xdr:grpSpPr bwMode="auto">
        <a:xfrm>
          <a:off x="213360" y="20459700"/>
          <a:ext cx="1996440" cy="1135380"/>
          <a:chOff x="2828925" y="12287250"/>
          <a:chExt cx="1143000" cy="685800"/>
        </a:xfrm>
      </xdr:grpSpPr>
      <xdr:sp macro="" textlink="">
        <xdr:nvSpPr>
          <xdr:cNvPr id="181" name="Oval 180">
            <a:extLst>
              <a:ext uri="{FF2B5EF4-FFF2-40B4-BE49-F238E27FC236}">
                <a16:creationId xmlns:a16="http://schemas.microsoft.com/office/drawing/2014/main" id="{B74E14D6-67E0-465B-B95D-315604DDDF96}"/>
              </a:ext>
            </a:extLst>
          </xdr:cNvPr>
          <xdr:cNvSpPr/>
        </xdr:nvSpPr>
        <xdr:spPr>
          <a:xfrm>
            <a:off x="2828925" y="12287250"/>
            <a:ext cx="658368" cy="658184"/>
          </a:xfrm>
          <a:prstGeom prst="ellipse">
            <a:avLst/>
          </a:prstGeom>
          <a:blipFill>
            <a:blip xmlns:r="http://schemas.openxmlformats.org/officeDocument/2006/relationships" r:embed="rId1"/>
            <a:tile tx="0" ty="0" sx="100000" sy="100000" flip="none" algn="tl"/>
          </a:blipFill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182" name="TextBox 181">
            <a:extLst>
              <a:ext uri="{FF2B5EF4-FFF2-40B4-BE49-F238E27FC236}">
                <a16:creationId xmlns:a16="http://schemas.microsoft.com/office/drawing/2014/main" id="{07A44751-700E-4B64-A2DE-F659159BF88D}"/>
              </a:ext>
            </a:extLst>
          </xdr:cNvPr>
          <xdr:cNvSpPr txBox="1"/>
        </xdr:nvSpPr>
        <xdr:spPr>
          <a:xfrm>
            <a:off x="3555873" y="12485165"/>
            <a:ext cx="416052" cy="2945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/>
              <a:t>D1</a:t>
            </a:r>
          </a:p>
        </xdr:txBody>
      </xdr:sp>
      <xdr:sp macro="" textlink="">
        <xdr:nvSpPr>
          <xdr:cNvPr id="183" name="Oval 182">
            <a:extLst>
              <a:ext uri="{FF2B5EF4-FFF2-40B4-BE49-F238E27FC236}">
                <a16:creationId xmlns:a16="http://schemas.microsoft.com/office/drawing/2014/main" id="{89D361F5-9219-43EE-BECA-807B0484ED3D}"/>
              </a:ext>
            </a:extLst>
          </xdr:cNvPr>
          <xdr:cNvSpPr/>
        </xdr:nvSpPr>
        <xdr:spPr>
          <a:xfrm>
            <a:off x="2897505" y="12360893"/>
            <a:ext cx="516636" cy="510898"/>
          </a:xfrm>
          <a:prstGeom prst="ellipse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184" name="Oval 183">
            <a:extLst>
              <a:ext uri="{FF2B5EF4-FFF2-40B4-BE49-F238E27FC236}">
                <a16:creationId xmlns:a16="http://schemas.microsoft.com/office/drawing/2014/main" id="{AC594AE9-422C-4DC6-95CC-155CEC583C4C}"/>
              </a:ext>
            </a:extLst>
          </xdr:cNvPr>
          <xdr:cNvSpPr/>
        </xdr:nvSpPr>
        <xdr:spPr>
          <a:xfrm>
            <a:off x="2943225" y="12480563"/>
            <a:ext cx="77724" cy="73643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185" name="Oval 184">
            <a:extLst>
              <a:ext uri="{FF2B5EF4-FFF2-40B4-BE49-F238E27FC236}">
                <a16:creationId xmlns:a16="http://schemas.microsoft.com/office/drawing/2014/main" id="{5B681505-6FC7-4D47-85A5-D6E010088F78}"/>
              </a:ext>
            </a:extLst>
          </xdr:cNvPr>
          <xdr:cNvSpPr/>
        </xdr:nvSpPr>
        <xdr:spPr>
          <a:xfrm>
            <a:off x="3299841" y="12485165"/>
            <a:ext cx="73152" cy="8284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186" name="Oval 185">
            <a:extLst>
              <a:ext uri="{FF2B5EF4-FFF2-40B4-BE49-F238E27FC236}">
                <a16:creationId xmlns:a16="http://schemas.microsoft.com/office/drawing/2014/main" id="{A3E52FEF-4A3F-480B-A40A-F1217F6BABDD}"/>
              </a:ext>
            </a:extLst>
          </xdr:cNvPr>
          <xdr:cNvSpPr/>
        </xdr:nvSpPr>
        <xdr:spPr>
          <a:xfrm>
            <a:off x="2943225" y="12678478"/>
            <a:ext cx="77724" cy="78246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187" name="Oval 186">
            <a:extLst>
              <a:ext uri="{FF2B5EF4-FFF2-40B4-BE49-F238E27FC236}">
                <a16:creationId xmlns:a16="http://schemas.microsoft.com/office/drawing/2014/main" id="{DFB5355E-EE15-4033-AC96-A8F170902919}"/>
              </a:ext>
            </a:extLst>
          </xdr:cNvPr>
          <xdr:cNvSpPr/>
        </xdr:nvSpPr>
        <xdr:spPr>
          <a:xfrm>
            <a:off x="3272409" y="12692286"/>
            <a:ext cx="73152" cy="8284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188" name="Oval 187">
            <a:extLst>
              <a:ext uri="{FF2B5EF4-FFF2-40B4-BE49-F238E27FC236}">
                <a16:creationId xmlns:a16="http://schemas.microsoft.com/office/drawing/2014/main" id="{D482D2AA-6A9E-4055-B6DE-88F81E1CBB47}"/>
              </a:ext>
            </a:extLst>
          </xdr:cNvPr>
          <xdr:cNvSpPr/>
        </xdr:nvSpPr>
        <xdr:spPr>
          <a:xfrm>
            <a:off x="3126105" y="12775135"/>
            <a:ext cx="77724" cy="73643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189" name="Oval 188">
            <a:extLst>
              <a:ext uri="{FF2B5EF4-FFF2-40B4-BE49-F238E27FC236}">
                <a16:creationId xmlns:a16="http://schemas.microsoft.com/office/drawing/2014/main" id="{13757E8C-C11D-4C69-BB5C-0C6026BFDD70}"/>
              </a:ext>
            </a:extLst>
          </xdr:cNvPr>
          <xdr:cNvSpPr/>
        </xdr:nvSpPr>
        <xdr:spPr>
          <a:xfrm>
            <a:off x="3126105" y="12402317"/>
            <a:ext cx="77724" cy="78246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cxnSp macro="">
        <xdr:nvCxnSpPr>
          <xdr:cNvPr id="190" name="Straight Arrow Connector 189">
            <a:extLst>
              <a:ext uri="{FF2B5EF4-FFF2-40B4-BE49-F238E27FC236}">
                <a16:creationId xmlns:a16="http://schemas.microsoft.com/office/drawing/2014/main" id="{4B7FE336-75D1-4EE6-A397-29B6E5B5510D}"/>
              </a:ext>
            </a:extLst>
          </xdr:cNvPr>
          <xdr:cNvCxnSpPr/>
        </xdr:nvCxnSpPr>
        <xdr:spPr>
          <a:xfrm>
            <a:off x="3546729" y="12287250"/>
            <a:ext cx="0" cy="685800"/>
          </a:xfrm>
          <a:prstGeom prst="straightConnector1">
            <a:avLst/>
          </a:prstGeom>
          <a:ln>
            <a:solidFill>
              <a:sysClr val="windowText" lastClr="000000"/>
            </a:solidFill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106680</xdr:colOff>
      <xdr:row>142</xdr:row>
      <xdr:rowOff>167640</xdr:rowOff>
    </xdr:from>
    <xdr:to>
      <xdr:col>3</xdr:col>
      <xdr:colOff>251460</xdr:colOff>
      <xdr:row>146</xdr:row>
      <xdr:rowOff>91440</xdr:rowOff>
    </xdr:to>
    <xdr:grpSp>
      <xdr:nvGrpSpPr>
        <xdr:cNvPr id="24194" name="Group 208">
          <a:extLst>
            <a:ext uri="{FF2B5EF4-FFF2-40B4-BE49-F238E27FC236}">
              <a16:creationId xmlns:a16="http://schemas.microsoft.com/office/drawing/2014/main" id="{2E6DDB57-779B-4471-AF70-3DAE8CF917FD}"/>
            </a:ext>
          </a:extLst>
        </xdr:cNvPr>
        <xdr:cNvGrpSpPr>
          <a:grpSpLocks/>
        </xdr:cNvGrpSpPr>
      </xdr:nvGrpSpPr>
      <xdr:grpSpPr bwMode="auto">
        <a:xfrm>
          <a:off x="106680" y="26525220"/>
          <a:ext cx="2065020" cy="655320"/>
          <a:chOff x="190500" y="15630525"/>
          <a:chExt cx="2114550" cy="883032"/>
        </a:xfrm>
      </xdr:grpSpPr>
      <xdr:sp macro="" textlink="">
        <xdr:nvSpPr>
          <xdr:cNvPr id="210" name="Cube 209">
            <a:extLst>
              <a:ext uri="{FF2B5EF4-FFF2-40B4-BE49-F238E27FC236}">
                <a16:creationId xmlns:a16="http://schemas.microsoft.com/office/drawing/2014/main" id="{8123063F-1FCC-49D2-B1CE-CD465C0B9ED0}"/>
              </a:ext>
            </a:extLst>
          </xdr:cNvPr>
          <xdr:cNvSpPr/>
        </xdr:nvSpPr>
        <xdr:spPr>
          <a:xfrm>
            <a:off x="190500" y="15630525"/>
            <a:ext cx="2114550" cy="297767"/>
          </a:xfrm>
          <a:prstGeom prst="cube">
            <a:avLst>
              <a:gd name="adj" fmla="val 25000"/>
            </a:avLst>
          </a:prstGeom>
          <a:blipFill>
            <a:blip xmlns:r="http://schemas.openxmlformats.org/officeDocument/2006/relationships" r:embed="rId1"/>
            <a:tile tx="0" ty="0" sx="100000" sy="100000" flip="none" algn="tl"/>
          </a:blipFill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cxnSp macro="">
        <xdr:nvCxnSpPr>
          <xdr:cNvPr id="211" name="Straight Arrow Connector 210">
            <a:extLst>
              <a:ext uri="{FF2B5EF4-FFF2-40B4-BE49-F238E27FC236}">
                <a16:creationId xmlns:a16="http://schemas.microsoft.com/office/drawing/2014/main" id="{BB0D1AAE-1231-446E-95C4-EDC23312F4D6}"/>
              </a:ext>
            </a:extLst>
          </xdr:cNvPr>
          <xdr:cNvCxnSpPr/>
        </xdr:nvCxnSpPr>
        <xdr:spPr>
          <a:xfrm>
            <a:off x="255814" y="16123380"/>
            <a:ext cx="1943100" cy="0"/>
          </a:xfrm>
          <a:prstGeom prst="straightConnector1">
            <a:avLst/>
          </a:prstGeom>
          <a:ln>
            <a:solidFill>
              <a:sysClr val="windowText" lastClr="000000"/>
            </a:solidFill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12" name="TextBox 211">
            <a:extLst>
              <a:ext uri="{FF2B5EF4-FFF2-40B4-BE49-F238E27FC236}">
                <a16:creationId xmlns:a16="http://schemas.microsoft.com/office/drawing/2014/main" id="{9B3D197B-855D-40C1-BA24-4393855B4477}"/>
              </a:ext>
            </a:extLst>
          </xdr:cNvPr>
          <xdr:cNvSpPr txBox="1"/>
        </xdr:nvSpPr>
        <xdr:spPr>
          <a:xfrm>
            <a:off x="908957" y="16164451"/>
            <a:ext cx="1045029" cy="3491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/>
              <a:t>L</a:t>
            </a:r>
            <a:r>
              <a:rPr lang="en-US" sz="800"/>
              <a:t>(beam</a:t>
            </a:r>
            <a:r>
              <a:rPr lang="en-US" sz="800" baseline="0"/>
              <a:t> to beam)</a:t>
            </a:r>
            <a:endParaRPr lang="en-US" sz="800"/>
          </a:p>
        </xdr:txBody>
      </xdr:sp>
    </xdr:grpSp>
    <xdr:clientData/>
  </xdr:twoCellAnchor>
  <xdr:twoCellAnchor>
    <xdr:from>
      <xdr:col>0</xdr:col>
      <xdr:colOff>129540</xdr:colOff>
      <xdr:row>146</xdr:row>
      <xdr:rowOff>167640</xdr:rowOff>
    </xdr:from>
    <xdr:to>
      <xdr:col>3</xdr:col>
      <xdr:colOff>487680</xdr:colOff>
      <xdr:row>156</xdr:row>
      <xdr:rowOff>22860</xdr:rowOff>
    </xdr:to>
    <xdr:grpSp>
      <xdr:nvGrpSpPr>
        <xdr:cNvPr id="24195" name="Group 230">
          <a:extLst>
            <a:ext uri="{FF2B5EF4-FFF2-40B4-BE49-F238E27FC236}">
              <a16:creationId xmlns:a16="http://schemas.microsoft.com/office/drawing/2014/main" id="{88662FB5-6EDD-44A1-835E-324331CBFC8A}"/>
            </a:ext>
          </a:extLst>
        </xdr:cNvPr>
        <xdr:cNvGrpSpPr>
          <a:grpSpLocks/>
        </xdr:cNvGrpSpPr>
      </xdr:nvGrpSpPr>
      <xdr:grpSpPr bwMode="auto">
        <a:xfrm>
          <a:off x="129540" y="27256740"/>
          <a:ext cx="2278380" cy="2095500"/>
          <a:chOff x="153229" y="28078043"/>
          <a:chExt cx="2296767" cy="1888435"/>
        </a:xfrm>
      </xdr:grpSpPr>
      <xdr:grpSp>
        <xdr:nvGrpSpPr>
          <xdr:cNvPr id="24479" name="Group 212">
            <a:extLst>
              <a:ext uri="{FF2B5EF4-FFF2-40B4-BE49-F238E27FC236}">
                <a16:creationId xmlns:a16="http://schemas.microsoft.com/office/drawing/2014/main" id="{42A1C01C-A8C3-4635-B24C-CD662FFD83C4}"/>
              </a:ext>
            </a:extLst>
          </xdr:cNvPr>
          <xdr:cNvGrpSpPr>
            <a:grpSpLocks/>
          </xdr:cNvGrpSpPr>
        </xdr:nvGrpSpPr>
        <xdr:grpSpPr bwMode="auto">
          <a:xfrm>
            <a:off x="153229" y="28078043"/>
            <a:ext cx="1345924" cy="1888435"/>
            <a:chOff x="220781" y="16324359"/>
            <a:chExt cx="939461" cy="1344516"/>
          </a:xfrm>
        </xdr:grpSpPr>
        <xdr:sp macro="" textlink="">
          <xdr:nvSpPr>
            <xdr:cNvPr id="214" name="Rectangle 213">
              <a:extLst>
                <a:ext uri="{FF2B5EF4-FFF2-40B4-BE49-F238E27FC236}">
                  <a16:creationId xmlns:a16="http://schemas.microsoft.com/office/drawing/2014/main" id="{C5295D2E-39F2-4688-8D3A-3127B3C9136C}"/>
                </a:ext>
              </a:extLst>
            </xdr:cNvPr>
            <xdr:cNvSpPr/>
          </xdr:nvSpPr>
          <xdr:spPr>
            <a:xfrm>
              <a:off x="220781" y="16324359"/>
              <a:ext cx="670308" cy="1002276"/>
            </a:xfrm>
            <a:prstGeom prst="rect">
              <a:avLst/>
            </a:prstGeom>
            <a:blipFill>
              <a:blip xmlns:r="http://schemas.openxmlformats.org/officeDocument/2006/relationships" r:embed="rId1"/>
              <a:tile tx="0" ty="0" sx="100000" sy="100000" flip="none" algn="tl"/>
            </a:blipFill>
            <a:ln w="3175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en-US"/>
            </a:p>
          </xdr:txBody>
        </xdr:sp>
        <xdr:sp macro="" textlink="">
          <xdr:nvSpPr>
            <xdr:cNvPr id="215" name="TextBox 214">
              <a:extLst>
                <a:ext uri="{FF2B5EF4-FFF2-40B4-BE49-F238E27FC236}">
                  <a16:creationId xmlns:a16="http://schemas.microsoft.com/office/drawing/2014/main" id="{C2A87454-3F5B-4350-8B79-5D781BB29EFF}"/>
                </a:ext>
              </a:extLst>
            </xdr:cNvPr>
            <xdr:cNvSpPr txBox="1"/>
          </xdr:nvSpPr>
          <xdr:spPr>
            <a:xfrm>
              <a:off x="449803" y="17326635"/>
              <a:ext cx="245780" cy="34224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200"/>
                <a:t>W</a:t>
              </a:r>
            </a:p>
          </xdr:txBody>
        </xdr:sp>
        <xdr:sp macro="" textlink="">
          <xdr:nvSpPr>
            <xdr:cNvPr id="216" name="TextBox 215">
              <a:extLst>
                <a:ext uri="{FF2B5EF4-FFF2-40B4-BE49-F238E27FC236}">
                  <a16:creationId xmlns:a16="http://schemas.microsoft.com/office/drawing/2014/main" id="{D36E52F4-2BDA-4C3F-B4AD-4BA2279A5B2C}"/>
                </a:ext>
              </a:extLst>
            </xdr:cNvPr>
            <xdr:cNvSpPr txBox="1"/>
          </xdr:nvSpPr>
          <xdr:spPr>
            <a:xfrm>
              <a:off x="919019" y="16612819"/>
              <a:ext cx="240194" cy="34224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200"/>
                <a:t>D</a:t>
              </a:r>
            </a:p>
          </xdr:txBody>
        </xdr:sp>
        <xdr:sp macro="" textlink="">
          <xdr:nvSpPr>
            <xdr:cNvPr id="217" name="Rounded Rectangle 216">
              <a:extLst>
                <a:ext uri="{FF2B5EF4-FFF2-40B4-BE49-F238E27FC236}">
                  <a16:creationId xmlns:a16="http://schemas.microsoft.com/office/drawing/2014/main" id="{EFD5DFD0-FBD3-4081-A47F-660876D3266E}"/>
                </a:ext>
              </a:extLst>
            </xdr:cNvPr>
            <xdr:cNvSpPr/>
          </xdr:nvSpPr>
          <xdr:spPr>
            <a:xfrm>
              <a:off x="332499" y="16451477"/>
              <a:ext cx="463630" cy="782264"/>
            </a:xfrm>
            <a:prstGeom prst="roundRect">
              <a:avLst/>
            </a:prstGeom>
            <a:noFill/>
            <a:ln>
              <a:solidFill>
                <a:srgbClr val="7030A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en-US"/>
            </a:p>
          </xdr:txBody>
        </xdr:sp>
        <xdr:sp macro="" textlink="">
          <xdr:nvSpPr>
            <xdr:cNvPr id="218" name="Oval 217">
              <a:extLst>
                <a:ext uri="{FF2B5EF4-FFF2-40B4-BE49-F238E27FC236}">
                  <a16:creationId xmlns:a16="http://schemas.microsoft.com/office/drawing/2014/main" id="{0955723C-91AF-495A-A795-B0346851620A}"/>
                </a:ext>
              </a:extLst>
            </xdr:cNvPr>
            <xdr:cNvSpPr/>
          </xdr:nvSpPr>
          <xdr:spPr>
            <a:xfrm>
              <a:off x="371600" y="16466144"/>
              <a:ext cx="78203" cy="78226"/>
            </a:xfrm>
            <a:prstGeom prst="ellipse">
              <a:avLst/>
            </a:prstGeom>
            <a:solidFill>
              <a:srgbClr val="FF0000"/>
            </a:solidFill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en-US"/>
            </a:p>
          </xdr:txBody>
        </xdr:sp>
        <xdr:sp macro="" textlink="">
          <xdr:nvSpPr>
            <xdr:cNvPr id="219" name="Oval 218">
              <a:extLst>
                <a:ext uri="{FF2B5EF4-FFF2-40B4-BE49-F238E27FC236}">
                  <a16:creationId xmlns:a16="http://schemas.microsoft.com/office/drawing/2014/main" id="{517DD686-F673-4336-B6BD-D5725C6F0E65}"/>
                </a:ext>
              </a:extLst>
            </xdr:cNvPr>
            <xdr:cNvSpPr/>
          </xdr:nvSpPr>
          <xdr:spPr>
            <a:xfrm>
              <a:off x="528006" y="16466144"/>
              <a:ext cx="72617" cy="78226"/>
            </a:xfrm>
            <a:prstGeom prst="ellipse">
              <a:avLst/>
            </a:prstGeom>
            <a:solidFill>
              <a:srgbClr val="00B050"/>
            </a:solidFill>
            <a:ln>
              <a:solidFill>
                <a:srgbClr val="00B05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en-US"/>
            </a:p>
          </xdr:txBody>
        </xdr:sp>
        <xdr:sp macro="" textlink="">
          <xdr:nvSpPr>
            <xdr:cNvPr id="220" name="Oval 219">
              <a:extLst>
                <a:ext uri="{FF2B5EF4-FFF2-40B4-BE49-F238E27FC236}">
                  <a16:creationId xmlns:a16="http://schemas.microsoft.com/office/drawing/2014/main" id="{100D0287-0E7B-44A9-A477-135770427FED}"/>
                </a:ext>
              </a:extLst>
            </xdr:cNvPr>
            <xdr:cNvSpPr/>
          </xdr:nvSpPr>
          <xdr:spPr>
            <a:xfrm>
              <a:off x="701169" y="16466144"/>
              <a:ext cx="78203" cy="78226"/>
            </a:xfrm>
            <a:prstGeom prst="ellipse">
              <a:avLst/>
            </a:prstGeom>
            <a:solidFill>
              <a:srgbClr val="FF0000"/>
            </a:solidFill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en-US"/>
            </a:p>
          </xdr:txBody>
        </xdr:sp>
        <xdr:sp macro="" textlink="">
          <xdr:nvSpPr>
            <xdr:cNvPr id="221" name="Oval 220">
              <a:extLst>
                <a:ext uri="{FF2B5EF4-FFF2-40B4-BE49-F238E27FC236}">
                  <a16:creationId xmlns:a16="http://schemas.microsoft.com/office/drawing/2014/main" id="{D7C2C525-D828-4169-BFB5-175F12F9D0EE}"/>
                </a:ext>
              </a:extLst>
            </xdr:cNvPr>
            <xdr:cNvSpPr/>
          </xdr:nvSpPr>
          <xdr:spPr>
            <a:xfrm>
              <a:off x="695583" y="17135958"/>
              <a:ext cx="72617" cy="73337"/>
            </a:xfrm>
            <a:prstGeom prst="ellipse">
              <a:avLst/>
            </a:prstGeom>
            <a:solidFill>
              <a:srgbClr val="FF0000"/>
            </a:solidFill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en-US"/>
            </a:p>
          </xdr:txBody>
        </xdr:sp>
        <xdr:sp macro="" textlink="">
          <xdr:nvSpPr>
            <xdr:cNvPr id="222" name="Oval 221">
              <a:extLst>
                <a:ext uri="{FF2B5EF4-FFF2-40B4-BE49-F238E27FC236}">
                  <a16:creationId xmlns:a16="http://schemas.microsoft.com/office/drawing/2014/main" id="{DDA6C969-573B-4963-9117-0C4CEA7D00D7}"/>
                </a:ext>
              </a:extLst>
            </xdr:cNvPr>
            <xdr:cNvSpPr/>
          </xdr:nvSpPr>
          <xdr:spPr>
            <a:xfrm>
              <a:off x="360429" y="17135958"/>
              <a:ext cx="72617" cy="73337"/>
            </a:xfrm>
            <a:prstGeom prst="ellipse">
              <a:avLst/>
            </a:prstGeom>
            <a:solidFill>
              <a:srgbClr val="FF0000"/>
            </a:solidFill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en-US"/>
            </a:p>
          </xdr:txBody>
        </xdr:sp>
      </xdr:grpSp>
      <xdr:sp macro="" textlink="">
        <xdr:nvSpPr>
          <xdr:cNvPr id="223" name="TextBox 222">
            <a:extLst>
              <a:ext uri="{FF2B5EF4-FFF2-40B4-BE49-F238E27FC236}">
                <a16:creationId xmlns:a16="http://schemas.microsoft.com/office/drawing/2014/main" id="{E86B503D-2602-4422-8858-E6962CD9761A}"/>
              </a:ext>
            </a:extLst>
          </xdr:cNvPr>
          <xdr:cNvSpPr txBox="1"/>
        </xdr:nvSpPr>
        <xdr:spPr>
          <a:xfrm>
            <a:off x="1233590" y="28222251"/>
            <a:ext cx="1200401" cy="19914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r>
              <a:rPr lang="en-US" sz="1100" b="1"/>
              <a:t>Top Bars</a:t>
            </a:r>
          </a:p>
        </xdr:txBody>
      </xdr:sp>
      <xdr:sp macro="" textlink="">
        <xdr:nvSpPr>
          <xdr:cNvPr id="224" name="TextBox 223">
            <a:extLst>
              <a:ext uri="{FF2B5EF4-FFF2-40B4-BE49-F238E27FC236}">
                <a16:creationId xmlns:a16="http://schemas.microsoft.com/office/drawing/2014/main" id="{B996E8C9-7805-4365-90D8-42C50861635F}"/>
              </a:ext>
            </a:extLst>
          </xdr:cNvPr>
          <xdr:cNvSpPr txBox="1"/>
        </xdr:nvSpPr>
        <xdr:spPr>
          <a:xfrm>
            <a:off x="1225587" y="29156168"/>
            <a:ext cx="1192398" cy="19914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r>
              <a:rPr lang="en-US" sz="1100" b="1"/>
              <a:t>Bottom Bars</a:t>
            </a:r>
          </a:p>
        </xdr:txBody>
      </xdr:sp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C5318972-890F-4320-9564-FEDCCDABB31F}"/>
              </a:ext>
            </a:extLst>
          </xdr:cNvPr>
          <xdr:cNvSpPr txBox="1"/>
        </xdr:nvSpPr>
        <xdr:spPr>
          <a:xfrm>
            <a:off x="1249595" y="28751013"/>
            <a:ext cx="1200401" cy="24034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r>
              <a:rPr lang="en-US" sz="1100" b="1"/>
              <a:t>Web Bars</a:t>
            </a:r>
          </a:p>
        </xdr:txBody>
      </xdr:sp>
      <xdr:sp macro="" textlink="">
        <xdr:nvSpPr>
          <xdr:cNvPr id="229" name="Oval 228">
            <a:extLst>
              <a:ext uri="{FF2B5EF4-FFF2-40B4-BE49-F238E27FC236}">
                <a16:creationId xmlns:a16="http://schemas.microsoft.com/office/drawing/2014/main" id="{10E72D59-C6B3-4731-BE8C-D0EFBF4E2202}"/>
              </a:ext>
            </a:extLst>
          </xdr:cNvPr>
          <xdr:cNvSpPr/>
        </xdr:nvSpPr>
        <xdr:spPr>
          <a:xfrm>
            <a:off x="329288" y="28785348"/>
            <a:ext cx="112037" cy="103006"/>
          </a:xfrm>
          <a:prstGeom prst="ellipse">
            <a:avLst/>
          </a:prstGeom>
          <a:solidFill>
            <a:srgbClr val="0070C0"/>
          </a:solidFill>
          <a:ln>
            <a:solidFill>
              <a:srgbClr val="0070C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230" name="Oval 229">
            <a:extLst>
              <a:ext uri="{FF2B5EF4-FFF2-40B4-BE49-F238E27FC236}">
                <a16:creationId xmlns:a16="http://schemas.microsoft.com/office/drawing/2014/main" id="{15A6C07E-29FD-4DBE-BE6D-C8C21179953A}"/>
              </a:ext>
            </a:extLst>
          </xdr:cNvPr>
          <xdr:cNvSpPr/>
        </xdr:nvSpPr>
        <xdr:spPr>
          <a:xfrm>
            <a:off x="865467" y="28785348"/>
            <a:ext cx="104035" cy="103006"/>
          </a:xfrm>
          <a:prstGeom prst="ellipse">
            <a:avLst/>
          </a:prstGeom>
          <a:solidFill>
            <a:srgbClr val="0070C0"/>
          </a:solidFill>
          <a:ln>
            <a:solidFill>
              <a:srgbClr val="0070C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</xdr:grpSp>
    <xdr:clientData/>
  </xdr:twoCellAnchor>
  <xdr:twoCellAnchor>
    <xdr:from>
      <xdr:col>8</xdr:col>
      <xdr:colOff>256140</xdr:colOff>
      <xdr:row>160</xdr:row>
      <xdr:rowOff>2867</xdr:rowOff>
    </xdr:from>
    <xdr:to>
      <xdr:col>8</xdr:col>
      <xdr:colOff>257174</xdr:colOff>
      <xdr:row>161</xdr:row>
      <xdr:rowOff>167485</xdr:rowOff>
    </xdr:to>
    <xdr:cxnSp macro="">
      <xdr:nvCxnSpPr>
        <xdr:cNvPr id="255" name="Straight Connector 254">
          <a:extLst>
            <a:ext uri="{FF2B5EF4-FFF2-40B4-BE49-F238E27FC236}">
              <a16:creationId xmlns:a16="http://schemas.microsoft.com/office/drawing/2014/main" id="{377B74F8-04A5-41DE-862A-745B57683686}"/>
            </a:ext>
          </a:extLst>
        </xdr:cNvPr>
        <xdr:cNvCxnSpPr/>
      </xdr:nvCxnSpPr>
      <xdr:spPr>
        <a:xfrm rot="16200000" flipV="1">
          <a:off x="5270223" y="30838900"/>
          <a:ext cx="355118" cy="1034"/>
        </a:xfrm>
        <a:prstGeom prst="line">
          <a:avLst/>
        </a:prstGeom>
        <a:ln>
          <a:solidFill>
            <a:srgbClr val="00B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198990</xdr:colOff>
      <xdr:row>160</xdr:row>
      <xdr:rowOff>41363</xdr:rowOff>
    </xdr:from>
    <xdr:to>
      <xdr:col>8</xdr:col>
      <xdr:colOff>200024</xdr:colOff>
      <xdr:row>161</xdr:row>
      <xdr:rowOff>49410</xdr:rowOff>
    </xdr:to>
    <xdr:cxnSp macro="">
      <xdr:nvCxnSpPr>
        <xdr:cNvPr id="256" name="Straight Connector 255">
          <a:extLst>
            <a:ext uri="{FF2B5EF4-FFF2-40B4-BE49-F238E27FC236}">
              <a16:creationId xmlns:a16="http://schemas.microsoft.com/office/drawing/2014/main" id="{BF83F05E-03DE-4755-9C06-75D74A66A43A}"/>
            </a:ext>
          </a:extLst>
        </xdr:cNvPr>
        <xdr:cNvCxnSpPr/>
      </xdr:nvCxnSpPr>
      <xdr:spPr>
        <a:xfrm rot="16200000" flipV="1">
          <a:off x="5284512" y="30799607"/>
          <a:ext cx="212240" cy="1034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160737</xdr:colOff>
      <xdr:row>160</xdr:row>
      <xdr:rowOff>100807</xdr:rowOff>
    </xdr:from>
    <xdr:to>
      <xdr:col>8</xdr:col>
      <xdr:colOff>164308</xdr:colOff>
      <xdr:row>162</xdr:row>
      <xdr:rowOff>3682</xdr:rowOff>
    </xdr:to>
    <xdr:cxnSp macro="">
      <xdr:nvCxnSpPr>
        <xdr:cNvPr id="263" name="Straight Connector 262">
          <a:extLst>
            <a:ext uri="{FF2B5EF4-FFF2-40B4-BE49-F238E27FC236}">
              <a16:creationId xmlns:a16="http://schemas.microsoft.com/office/drawing/2014/main" id="{E004CFEB-442E-4523-AFF0-4082C4F350FA}"/>
            </a:ext>
          </a:extLst>
        </xdr:cNvPr>
        <xdr:cNvCxnSpPr/>
      </xdr:nvCxnSpPr>
      <xdr:spPr>
        <a:xfrm rot="16200000" flipV="1">
          <a:off x="5214939" y="30896721"/>
          <a:ext cx="277418" cy="3571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558041</xdr:colOff>
      <xdr:row>151</xdr:row>
      <xdr:rowOff>178197</xdr:rowOff>
    </xdr:from>
    <xdr:to>
      <xdr:col>1</xdr:col>
      <xdr:colOff>18724</xdr:colOff>
      <xdr:row>152</xdr:row>
      <xdr:rowOff>86724</xdr:rowOff>
    </xdr:to>
    <xdr:sp macro="" textlink="">
      <xdr:nvSpPr>
        <xdr:cNvPr id="273" name="Oval 272">
          <a:extLst>
            <a:ext uri="{FF2B5EF4-FFF2-40B4-BE49-F238E27FC236}">
              <a16:creationId xmlns:a16="http://schemas.microsoft.com/office/drawing/2014/main" id="{8921B85D-1D55-44EB-B78B-732761DA369B}"/>
            </a:ext>
          </a:extLst>
        </xdr:cNvPr>
        <xdr:cNvSpPr/>
      </xdr:nvSpPr>
      <xdr:spPr>
        <a:xfrm>
          <a:off x="558041" y="29384625"/>
          <a:ext cx="109574" cy="106058"/>
        </a:xfrm>
        <a:prstGeom prst="ellipse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0</xdr:col>
      <xdr:colOff>373380</xdr:colOff>
      <xdr:row>82</xdr:row>
      <xdr:rowOff>106680</xdr:rowOff>
    </xdr:from>
    <xdr:to>
      <xdr:col>3</xdr:col>
      <xdr:colOff>182880</xdr:colOff>
      <xdr:row>90</xdr:row>
      <xdr:rowOff>167640</xdr:rowOff>
    </xdr:to>
    <xdr:grpSp>
      <xdr:nvGrpSpPr>
        <xdr:cNvPr id="24200" name="Group 312">
          <a:extLst>
            <a:ext uri="{FF2B5EF4-FFF2-40B4-BE49-F238E27FC236}">
              <a16:creationId xmlns:a16="http://schemas.microsoft.com/office/drawing/2014/main" id="{E6A69665-079A-4E4E-9A7C-20AC7DA48251}"/>
            </a:ext>
          </a:extLst>
        </xdr:cNvPr>
        <xdr:cNvGrpSpPr>
          <a:grpSpLocks/>
        </xdr:cNvGrpSpPr>
      </xdr:nvGrpSpPr>
      <xdr:grpSpPr bwMode="auto">
        <a:xfrm>
          <a:off x="373380" y="15400020"/>
          <a:ext cx="1729740" cy="1569720"/>
          <a:chOff x="371475" y="16026144"/>
          <a:chExt cx="1761035" cy="1659089"/>
        </a:xfrm>
      </xdr:grpSpPr>
      <xdr:grpSp>
        <xdr:nvGrpSpPr>
          <xdr:cNvPr id="24462" name="Group 207">
            <a:extLst>
              <a:ext uri="{FF2B5EF4-FFF2-40B4-BE49-F238E27FC236}">
                <a16:creationId xmlns:a16="http://schemas.microsoft.com/office/drawing/2014/main" id="{282E58C1-23B1-4047-80F8-8EABB35840D8}"/>
              </a:ext>
            </a:extLst>
          </xdr:cNvPr>
          <xdr:cNvGrpSpPr>
            <a:grpSpLocks/>
          </xdr:cNvGrpSpPr>
        </xdr:nvGrpSpPr>
        <xdr:grpSpPr bwMode="auto">
          <a:xfrm>
            <a:off x="371475" y="16026144"/>
            <a:ext cx="1761035" cy="1659089"/>
            <a:chOff x="371475" y="16035339"/>
            <a:chExt cx="1759597" cy="1652557"/>
          </a:xfrm>
        </xdr:grpSpPr>
        <xdr:sp macro="" textlink="">
          <xdr:nvSpPr>
            <xdr:cNvPr id="191" name="Rectangle 190">
              <a:extLst>
                <a:ext uri="{FF2B5EF4-FFF2-40B4-BE49-F238E27FC236}">
                  <a16:creationId xmlns:a16="http://schemas.microsoft.com/office/drawing/2014/main" id="{CCABA982-5E52-4C54-AF08-75969D90703D}"/>
                </a:ext>
              </a:extLst>
            </xdr:cNvPr>
            <xdr:cNvSpPr/>
          </xdr:nvSpPr>
          <xdr:spPr>
            <a:xfrm>
              <a:off x="371475" y="16861618"/>
              <a:ext cx="1309468" cy="328907"/>
            </a:xfrm>
            <a:prstGeom prst="rect">
              <a:avLst/>
            </a:prstGeom>
            <a:blipFill>
              <a:blip xmlns:r="http://schemas.openxmlformats.org/officeDocument/2006/relationships" r:embed="rId3"/>
              <a:tile tx="0" ty="0" sx="100000" sy="100000" flip="none" algn="tl"/>
            </a:blipFill>
            <a:ln w="3175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endParaRPr lang="en-PH"/>
            </a:p>
          </xdr:txBody>
        </xdr:sp>
        <xdr:sp macro="" textlink="">
          <xdr:nvSpPr>
            <xdr:cNvPr id="192" name="Freeform 191">
              <a:extLst>
                <a:ext uri="{FF2B5EF4-FFF2-40B4-BE49-F238E27FC236}">
                  <a16:creationId xmlns:a16="http://schemas.microsoft.com/office/drawing/2014/main" id="{30E30B1D-8E05-4B08-B714-0BBC22D4AC6F}"/>
                </a:ext>
              </a:extLst>
            </xdr:cNvPr>
            <xdr:cNvSpPr/>
          </xdr:nvSpPr>
          <xdr:spPr>
            <a:xfrm>
              <a:off x="805236" y="16588865"/>
              <a:ext cx="417393" cy="272752"/>
            </a:xfrm>
            <a:custGeom>
              <a:avLst/>
              <a:gdLst>
                <a:gd name="connsiteX0" fmla="*/ 0 w 436145"/>
                <a:gd name="connsiteY0" fmla="*/ 275724 h 275724"/>
                <a:gd name="connsiteX1" fmla="*/ 0 w 436145"/>
                <a:gd name="connsiteY1" fmla="*/ 0 h 275724"/>
                <a:gd name="connsiteX2" fmla="*/ 150395 w 436145"/>
                <a:gd name="connsiteY2" fmla="*/ 75198 h 275724"/>
                <a:gd name="connsiteX3" fmla="*/ 345908 w 436145"/>
                <a:gd name="connsiteY3" fmla="*/ 95250 h 275724"/>
                <a:gd name="connsiteX4" fmla="*/ 386013 w 436145"/>
                <a:gd name="connsiteY4" fmla="*/ 115303 h 275724"/>
                <a:gd name="connsiteX5" fmla="*/ 436145 w 436145"/>
                <a:gd name="connsiteY5" fmla="*/ 70185 h 275724"/>
                <a:gd name="connsiteX6" fmla="*/ 436145 w 436145"/>
                <a:gd name="connsiteY6" fmla="*/ 275724 h 275724"/>
                <a:gd name="connsiteX7" fmla="*/ 0 w 436145"/>
                <a:gd name="connsiteY7" fmla="*/ 275724 h 275724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</a:cxnLst>
              <a:rect l="l" t="t" r="r" b="b"/>
              <a:pathLst>
                <a:path w="436145" h="275724">
                  <a:moveTo>
                    <a:pt x="0" y="275724"/>
                  </a:moveTo>
                  <a:lnTo>
                    <a:pt x="0" y="0"/>
                  </a:lnTo>
                  <a:lnTo>
                    <a:pt x="150395" y="75198"/>
                  </a:lnTo>
                  <a:lnTo>
                    <a:pt x="345908" y="95250"/>
                  </a:lnTo>
                  <a:lnTo>
                    <a:pt x="386013" y="115303"/>
                  </a:lnTo>
                  <a:lnTo>
                    <a:pt x="436145" y="70185"/>
                  </a:lnTo>
                  <a:lnTo>
                    <a:pt x="436145" y="275724"/>
                  </a:lnTo>
                  <a:lnTo>
                    <a:pt x="0" y="275724"/>
                  </a:lnTo>
                  <a:close/>
                </a:path>
              </a:pathLst>
            </a:custGeom>
            <a:blipFill>
              <a:blip xmlns:r="http://schemas.openxmlformats.org/officeDocument/2006/relationships" r:embed="rId3"/>
              <a:tile tx="0" ty="0" sx="100000" sy="100000" flip="none" algn="tl"/>
            </a:blipFill>
            <a:ln w="3175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endParaRPr lang="en-US"/>
            </a:p>
          </xdr:txBody>
        </xdr:sp>
        <xdr:cxnSp macro="">
          <xdr:nvCxnSpPr>
            <xdr:cNvPr id="198" name="Straight Connector 197">
              <a:extLst>
                <a:ext uri="{FF2B5EF4-FFF2-40B4-BE49-F238E27FC236}">
                  <a16:creationId xmlns:a16="http://schemas.microsoft.com/office/drawing/2014/main" id="{E9D081E6-87EB-43A0-B102-D3972271E1AD}"/>
                </a:ext>
              </a:extLst>
            </xdr:cNvPr>
            <xdr:cNvCxnSpPr/>
          </xdr:nvCxnSpPr>
          <xdr:spPr>
            <a:xfrm>
              <a:off x="510606" y="17086237"/>
              <a:ext cx="376472" cy="16044"/>
            </a:xfrm>
            <a:prstGeom prst="line">
              <a:avLst/>
            </a:prstGeom>
            <a:ln w="19050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00" name="Straight Connector 199">
              <a:extLst>
                <a:ext uri="{FF2B5EF4-FFF2-40B4-BE49-F238E27FC236}">
                  <a16:creationId xmlns:a16="http://schemas.microsoft.com/office/drawing/2014/main" id="{96019B60-653A-4756-BC33-EA03936C0D87}"/>
                </a:ext>
              </a:extLst>
            </xdr:cNvPr>
            <xdr:cNvCxnSpPr/>
          </xdr:nvCxnSpPr>
          <xdr:spPr>
            <a:xfrm rot="16200000" flipV="1">
              <a:off x="328973" y="16560545"/>
              <a:ext cx="1058920" cy="24553"/>
            </a:xfrm>
            <a:prstGeom prst="line">
              <a:avLst/>
            </a:prstGeom>
            <a:ln w="19050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grpSp>
          <xdr:nvGrpSpPr>
            <xdr:cNvPr id="24474" name="Group 202">
              <a:extLst>
                <a:ext uri="{FF2B5EF4-FFF2-40B4-BE49-F238E27FC236}">
                  <a16:creationId xmlns:a16="http://schemas.microsoft.com/office/drawing/2014/main" id="{7E867462-EE39-44F7-9EF1-7B6C8DB1F4A1}"/>
                </a:ext>
              </a:extLst>
            </xdr:cNvPr>
            <xdr:cNvGrpSpPr>
              <a:grpSpLocks/>
            </xdr:cNvGrpSpPr>
          </xdr:nvGrpSpPr>
          <xdr:grpSpPr bwMode="auto">
            <a:xfrm flipH="1">
              <a:off x="1140619" y="16035339"/>
              <a:ext cx="375047" cy="1041797"/>
              <a:chOff x="664369" y="16207979"/>
              <a:chExt cx="375047" cy="1041797"/>
            </a:xfrm>
          </xdr:grpSpPr>
          <xdr:cxnSp macro="">
            <xdr:nvCxnSpPr>
              <xdr:cNvPr id="201" name="Straight Connector 200">
                <a:extLst>
                  <a:ext uri="{FF2B5EF4-FFF2-40B4-BE49-F238E27FC236}">
                    <a16:creationId xmlns:a16="http://schemas.microsoft.com/office/drawing/2014/main" id="{7C4C3C84-6D33-497C-AC60-6BF024F4EE76}"/>
                  </a:ext>
                </a:extLst>
              </xdr:cNvPr>
              <xdr:cNvCxnSpPr/>
            </xdr:nvCxnSpPr>
            <xdr:spPr>
              <a:xfrm>
                <a:off x="662775" y="17242833"/>
                <a:ext cx="368288" cy="8022"/>
              </a:xfrm>
              <a:prstGeom prst="line">
                <a:avLst/>
              </a:prstGeom>
              <a:ln w="19050">
                <a:solidFill>
                  <a:srgbClr val="FF0000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202" name="Straight Connector 201">
                <a:extLst>
                  <a:ext uri="{FF2B5EF4-FFF2-40B4-BE49-F238E27FC236}">
                    <a16:creationId xmlns:a16="http://schemas.microsoft.com/office/drawing/2014/main" id="{519C124F-71FA-4AFC-8A1C-22BD3B3A1132}"/>
                  </a:ext>
                </a:extLst>
              </xdr:cNvPr>
              <xdr:cNvCxnSpPr/>
            </xdr:nvCxnSpPr>
            <xdr:spPr>
              <a:xfrm rot="5400000" flipH="1" flipV="1">
                <a:off x="513717" y="16725325"/>
                <a:ext cx="1042876" cy="8184"/>
              </a:xfrm>
              <a:prstGeom prst="line">
                <a:avLst/>
              </a:prstGeom>
              <a:ln w="19050">
                <a:solidFill>
                  <a:srgbClr val="FF0000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  <xdr:cxnSp macro="">
          <xdr:nvCxnSpPr>
            <xdr:cNvPr id="206" name="Straight Arrow Connector 205">
              <a:extLst>
                <a:ext uri="{FF2B5EF4-FFF2-40B4-BE49-F238E27FC236}">
                  <a16:creationId xmlns:a16="http://schemas.microsoft.com/office/drawing/2014/main" id="{882FCA5B-F0EA-4F40-AC98-16C40A1178BE}"/>
                </a:ext>
              </a:extLst>
            </xdr:cNvPr>
            <xdr:cNvCxnSpPr/>
          </xdr:nvCxnSpPr>
          <xdr:spPr>
            <a:xfrm>
              <a:off x="1165340" y="17254701"/>
              <a:ext cx="376472" cy="0"/>
            </a:xfrm>
            <a:prstGeom prst="straightConnector1">
              <a:avLst/>
            </a:prstGeom>
            <a:ln>
              <a:solidFill>
                <a:sysClr val="windowText" lastClr="000000"/>
              </a:solidFill>
              <a:headEnd type="arrow"/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07" name="TextBox 206">
              <a:extLst>
                <a:ext uri="{FF2B5EF4-FFF2-40B4-BE49-F238E27FC236}">
                  <a16:creationId xmlns:a16="http://schemas.microsoft.com/office/drawing/2014/main" id="{35AD1CA2-E4CA-48C1-8C4F-92FF57C8EF42}"/>
                </a:ext>
              </a:extLst>
            </xdr:cNvPr>
            <xdr:cNvSpPr txBox="1"/>
          </xdr:nvSpPr>
          <xdr:spPr>
            <a:xfrm>
              <a:off x="592448" y="17342945"/>
              <a:ext cx="1538624" cy="34495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200"/>
                <a:t>End Hook/ L hook</a:t>
              </a:r>
            </a:p>
          </xdr:txBody>
        </xdr:sp>
      </xdr:grpSp>
      <xdr:cxnSp macro="">
        <xdr:nvCxnSpPr>
          <xdr:cNvPr id="306" name="Straight Connector 305">
            <a:extLst>
              <a:ext uri="{FF2B5EF4-FFF2-40B4-BE49-F238E27FC236}">
                <a16:creationId xmlns:a16="http://schemas.microsoft.com/office/drawing/2014/main" id="{EDE3830C-F963-4A08-BE2D-2C0C0C4FF134}"/>
              </a:ext>
            </a:extLst>
          </xdr:cNvPr>
          <xdr:cNvCxnSpPr/>
        </xdr:nvCxnSpPr>
        <xdr:spPr>
          <a:xfrm flipV="1">
            <a:off x="821972" y="17008711"/>
            <a:ext cx="368589" cy="8054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7" name="Straight Connector 306">
            <a:extLst>
              <a:ext uri="{FF2B5EF4-FFF2-40B4-BE49-F238E27FC236}">
                <a16:creationId xmlns:a16="http://schemas.microsoft.com/office/drawing/2014/main" id="{5F86A907-4D51-4994-A5A7-DA4C93C89CED}"/>
              </a:ext>
            </a:extLst>
          </xdr:cNvPr>
          <xdr:cNvCxnSpPr/>
        </xdr:nvCxnSpPr>
        <xdr:spPr>
          <a:xfrm flipV="1">
            <a:off x="821972" y="16960388"/>
            <a:ext cx="376780" cy="8054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8" name="Straight Connector 307">
            <a:extLst>
              <a:ext uri="{FF2B5EF4-FFF2-40B4-BE49-F238E27FC236}">
                <a16:creationId xmlns:a16="http://schemas.microsoft.com/office/drawing/2014/main" id="{1B092C54-4487-443D-B1ED-200269178794}"/>
              </a:ext>
            </a:extLst>
          </xdr:cNvPr>
          <xdr:cNvCxnSpPr/>
        </xdr:nvCxnSpPr>
        <xdr:spPr>
          <a:xfrm flipV="1">
            <a:off x="821972" y="16912065"/>
            <a:ext cx="376780" cy="16108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9" name="Straight Connector 308">
            <a:extLst>
              <a:ext uri="{FF2B5EF4-FFF2-40B4-BE49-F238E27FC236}">
                <a16:creationId xmlns:a16="http://schemas.microsoft.com/office/drawing/2014/main" id="{65D522ED-8939-4AA3-8B91-D2E644A4E242}"/>
              </a:ext>
            </a:extLst>
          </xdr:cNvPr>
          <xdr:cNvCxnSpPr/>
        </xdr:nvCxnSpPr>
        <xdr:spPr>
          <a:xfrm flipV="1">
            <a:off x="821972" y="16823473"/>
            <a:ext cx="376780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10" name="Straight Connector 309">
            <a:extLst>
              <a:ext uri="{FF2B5EF4-FFF2-40B4-BE49-F238E27FC236}">
                <a16:creationId xmlns:a16="http://schemas.microsoft.com/office/drawing/2014/main" id="{2966EDBF-C93E-4283-A43B-7FFF0733A782}"/>
              </a:ext>
            </a:extLst>
          </xdr:cNvPr>
          <xdr:cNvCxnSpPr/>
        </xdr:nvCxnSpPr>
        <xdr:spPr>
          <a:xfrm flipV="1">
            <a:off x="838354" y="16742935"/>
            <a:ext cx="368589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11" name="Straight Connector 310">
            <a:extLst>
              <a:ext uri="{FF2B5EF4-FFF2-40B4-BE49-F238E27FC236}">
                <a16:creationId xmlns:a16="http://schemas.microsoft.com/office/drawing/2014/main" id="{C650ECE1-1E18-4327-96A7-9E56333882B1}"/>
              </a:ext>
            </a:extLst>
          </xdr:cNvPr>
          <xdr:cNvCxnSpPr/>
        </xdr:nvCxnSpPr>
        <xdr:spPr>
          <a:xfrm flipV="1">
            <a:off x="821972" y="16565751"/>
            <a:ext cx="376780" cy="16108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12" name="Straight Connector 311">
            <a:extLst>
              <a:ext uri="{FF2B5EF4-FFF2-40B4-BE49-F238E27FC236}">
                <a16:creationId xmlns:a16="http://schemas.microsoft.com/office/drawing/2014/main" id="{01D587CF-80CF-409E-AF76-175682BC194B}"/>
              </a:ext>
            </a:extLst>
          </xdr:cNvPr>
          <xdr:cNvCxnSpPr/>
        </xdr:nvCxnSpPr>
        <xdr:spPr>
          <a:xfrm flipV="1">
            <a:off x="838354" y="16412728"/>
            <a:ext cx="368589" cy="16108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256190</xdr:colOff>
      <xdr:row>170</xdr:row>
      <xdr:rowOff>190500</xdr:rowOff>
    </xdr:from>
    <xdr:to>
      <xdr:col>1</xdr:col>
      <xdr:colOff>131379</xdr:colOff>
      <xdr:row>171</xdr:row>
      <xdr:rowOff>1588</xdr:rowOff>
    </xdr:to>
    <xdr:cxnSp macro="">
      <xdr:nvCxnSpPr>
        <xdr:cNvPr id="240" name="Straight Arrow Connector 239">
          <a:extLst>
            <a:ext uri="{FF2B5EF4-FFF2-40B4-BE49-F238E27FC236}">
              <a16:creationId xmlns:a16="http://schemas.microsoft.com/office/drawing/2014/main" id="{90E5142F-CAF2-46A1-9175-8637002CCF72}"/>
            </a:ext>
          </a:extLst>
        </xdr:cNvPr>
        <xdr:cNvCxnSpPr/>
      </xdr:nvCxnSpPr>
      <xdr:spPr>
        <a:xfrm>
          <a:off x="256190" y="33055034"/>
          <a:ext cx="525517" cy="1588"/>
        </a:xfrm>
        <a:prstGeom prst="straightConnector1">
          <a:avLst/>
        </a:prstGeom>
        <a:ln>
          <a:solidFill>
            <a:sysClr val="windowText" lastClr="00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197036</xdr:colOff>
      <xdr:row>171</xdr:row>
      <xdr:rowOff>48092</xdr:rowOff>
    </xdr:from>
    <xdr:to>
      <xdr:col>1</xdr:col>
      <xdr:colOff>243052</xdr:colOff>
      <xdr:row>173</xdr:row>
      <xdr:rowOff>163460</xdr:rowOff>
    </xdr:to>
    <xdr:sp macro="" textlink="">
      <xdr:nvSpPr>
        <xdr:cNvPr id="242" name="TextBox 241">
          <a:extLst>
            <a:ext uri="{FF2B5EF4-FFF2-40B4-BE49-F238E27FC236}">
              <a16:creationId xmlns:a16="http://schemas.microsoft.com/office/drawing/2014/main" id="{09E4E0B2-2E47-4FA7-A297-161C749BF1A3}"/>
            </a:ext>
          </a:extLst>
        </xdr:cNvPr>
        <xdr:cNvSpPr txBox="1"/>
      </xdr:nvSpPr>
      <xdr:spPr>
        <a:xfrm>
          <a:off x="197036" y="33110746"/>
          <a:ext cx="696344" cy="5026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lnSpc>
              <a:spcPts val="1000"/>
            </a:lnSpc>
          </a:pPr>
          <a:r>
            <a:rPr lang="en-US" sz="1200"/>
            <a:t>Column Width</a:t>
          </a:r>
        </a:p>
      </xdr:txBody>
    </xdr:sp>
    <xdr:clientData/>
  </xdr:twoCellAnchor>
  <xdr:twoCellAnchor>
    <xdr:from>
      <xdr:col>1</xdr:col>
      <xdr:colOff>243018</xdr:colOff>
      <xdr:row>157</xdr:row>
      <xdr:rowOff>147897</xdr:rowOff>
    </xdr:from>
    <xdr:to>
      <xdr:col>2</xdr:col>
      <xdr:colOff>124811</xdr:colOff>
      <xdr:row>159</xdr:row>
      <xdr:rowOff>60653</xdr:rowOff>
    </xdr:to>
    <xdr:sp macro="" textlink="">
      <xdr:nvSpPr>
        <xdr:cNvPr id="251" name="TextBox 250">
          <a:extLst>
            <a:ext uri="{FF2B5EF4-FFF2-40B4-BE49-F238E27FC236}">
              <a16:creationId xmlns:a16="http://schemas.microsoft.com/office/drawing/2014/main" id="{BE361FBC-E466-40A0-B0AB-2491C82047FC}"/>
            </a:ext>
          </a:extLst>
        </xdr:cNvPr>
        <xdr:cNvSpPr txBox="1"/>
      </xdr:nvSpPr>
      <xdr:spPr>
        <a:xfrm>
          <a:off x="893346" y="30542281"/>
          <a:ext cx="532120" cy="2937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/>
            <a:t>L/4</a:t>
          </a:r>
        </a:p>
      </xdr:txBody>
    </xdr:sp>
    <xdr:clientData/>
  </xdr:twoCellAnchor>
  <xdr:twoCellAnchor>
    <xdr:from>
      <xdr:col>1</xdr:col>
      <xdr:colOff>325622</xdr:colOff>
      <xdr:row>163</xdr:row>
      <xdr:rowOff>113082</xdr:rowOff>
    </xdr:from>
    <xdr:to>
      <xdr:col>2</xdr:col>
      <xdr:colOff>207416</xdr:colOff>
      <xdr:row>165</xdr:row>
      <xdr:rowOff>25838</xdr:rowOff>
    </xdr:to>
    <xdr:sp macro="" textlink="">
      <xdr:nvSpPr>
        <xdr:cNvPr id="252" name="TextBox 251">
          <a:extLst>
            <a:ext uri="{FF2B5EF4-FFF2-40B4-BE49-F238E27FC236}">
              <a16:creationId xmlns:a16="http://schemas.microsoft.com/office/drawing/2014/main" id="{6CB8F7DC-FE55-4375-819A-6E2E316CED6C}"/>
            </a:ext>
          </a:extLst>
        </xdr:cNvPr>
        <xdr:cNvSpPr txBox="1"/>
      </xdr:nvSpPr>
      <xdr:spPr>
        <a:xfrm>
          <a:off x="974513" y="31641229"/>
          <a:ext cx="530684" cy="2937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100"/>
            </a:lnSpc>
          </a:pPr>
          <a:r>
            <a:rPr lang="en-US" sz="1200"/>
            <a:t>0.15L</a:t>
          </a:r>
        </a:p>
      </xdr:txBody>
    </xdr:sp>
    <xdr:clientData/>
  </xdr:twoCellAnchor>
  <xdr:twoCellAnchor>
    <xdr:from>
      <xdr:col>0</xdr:col>
      <xdr:colOff>251460</xdr:colOff>
      <xdr:row>156</xdr:row>
      <xdr:rowOff>106680</xdr:rowOff>
    </xdr:from>
    <xdr:to>
      <xdr:col>8</xdr:col>
      <xdr:colOff>335280</xdr:colOff>
      <xdr:row>170</xdr:row>
      <xdr:rowOff>83820</xdr:rowOff>
    </xdr:to>
    <xdr:grpSp>
      <xdr:nvGrpSpPr>
        <xdr:cNvPr id="24205" name="Group 399">
          <a:extLst>
            <a:ext uri="{FF2B5EF4-FFF2-40B4-BE49-F238E27FC236}">
              <a16:creationId xmlns:a16="http://schemas.microsoft.com/office/drawing/2014/main" id="{BBD01AC6-51D2-4322-9592-690F7A6F4D01}"/>
            </a:ext>
          </a:extLst>
        </xdr:cNvPr>
        <xdr:cNvGrpSpPr>
          <a:grpSpLocks/>
        </xdr:cNvGrpSpPr>
      </xdr:nvGrpSpPr>
      <xdr:grpSpPr bwMode="auto">
        <a:xfrm>
          <a:off x="251460" y="29436060"/>
          <a:ext cx="5295900" cy="2537460"/>
          <a:chOff x="248478" y="30310491"/>
          <a:chExt cx="5278626" cy="2639619"/>
        </a:xfrm>
      </xdr:grpSpPr>
      <xdr:sp macro="" textlink="">
        <xdr:nvSpPr>
          <xdr:cNvPr id="235" name="Freeform 234">
            <a:extLst>
              <a:ext uri="{FF2B5EF4-FFF2-40B4-BE49-F238E27FC236}">
                <a16:creationId xmlns:a16="http://schemas.microsoft.com/office/drawing/2014/main" id="{BCFA7686-1692-4086-A7F7-5AEECBFC008F}"/>
              </a:ext>
            </a:extLst>
          </xdr:cNvPr>
          <xdr:cNvSpPr/>
        </xdr:nvSpPr>
        <xdr:spPr>
          <a:xfrm>
            <a:off x="5001630" y="31285485"/>
            <a:ext cx="525474" cy="1664625"/>
          </a:xfrm>
          <a:custGeom>
            <a:avLst/>
            <a:gdLst>
              <a:gd name="connsiteX0" fmla="*/ 0 w 513522"/>
              <a:gd name="connsiteY0" fmla="*/ 16565 h 1664804"/>
              <a:gd name="connsiteX1" fmla="*/ 8283 w 513522"/>
              <a:gd name="connsiteY1" fmla="*/ 1664804 h 1664804"/>
              <a:gd name="connsiteX2" fmla="*/ 207065 w 513522"/>
              <a:gd name="connsiteY2" fmla="*/ 1557130 h 1664804"/>
              <a:gd name="connsiteX3" fmla="*/ 438978 w 513522"/>
              <a:gd name="connsiteY3" fmla="*/ 1581978 h 1664804"/>
              <a:gd name="connsiteX4" fmla="*/ 513522 w 513522"/>
              <a:gd name="connsiteY4" fmla="*/ 1482587 h 1664804"/>
              <a:gd name="connsiteX5" fmla="*/ 513522 w 513522"/>
              <a:gd name="connsiteY5" fmla="*/ 0 h 1664804"/>
              <a:gd name="connsiteX6" fmla="*/ 0 w 513522"/>
              <a:gd name="connsiteY6" fmla="*/ 16565 h 166480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</a:cxnLst>
            <a:rect l="l" t="t" r="r" b="b"/>
            <a:pathLst>
              <a:path w="513522" h="1664804">
                <a:moveTo>
                  <a:pt x="0" y="16565"/>
                </a:moveTo>
                <a:lnTo>
                  <a:pt x="8283" y="1664804"/>
                </a:lnTo>
                <a:lnTo>
                  <a:pt x="207065" y="1557130"/>
                </a:lnTo>
                <a:lnTo>
                  <a:pt x="438978" y="1581978"/>
                </a:lnTo>
                <a:lnTo>
                  <a:pt x="513522" y="1482587"/>
                </a:lnTo>
                <a:lnTo>
                  <a:pt x="513522" y="0"/>
                </a:lnTo>
                <a:lnTo>
                  <a:pt x="0" y="16565"/>
                </a:lnTo>
                <a:close/>
              </a:path>
            </a:pathLst>
          </a:custGeom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en-US"/>
          </a:p>
        </xdr:txBody>
      </xdr:sp>
      <xdr:sp macro="" textlink="">
        <xdr:nvSpPr>
          <xdr:cNvPr id="234" name="Freeform 233">
            <a:extLst>
              <a:ext uri="{FF2B5EF4-FFF2-40B4-BE49-F238E27FC236}">
                <a16:creationId xmlns:a16="http://schemas.microsoft.com/office/drawing/2014/main" id="{2BEE190B-5D77-4FDD-BCA4-DF1FD35DAE51}"/>
              </a:ext>
            </a:extLst>
          </xdr:cNvPr>
          <xdr:cNvSpPr/>
        </xdr:nvSpPr>
        <xdr:spPr>
          <a:xfrm>
            <a:off x="264401" y="31237925"/>
            <a:ext cx="509551" cy="1656698"/>
          </a:xfrm>
          <a:custGeom>
            <a:avLst/>
            <a:gdLst>
              <a:gd name="connsiteX0" fmla="*/ 0 w 513522"/>
              <a:gd name="connsiteY0" fmla="*/ 16565 h 1664804"/>
              <a:gd name="connsiteX1" fmla="*/ 8283 w 513522"/>
              <a:gd name="connsiteY1" fmla="*/ 1664804 h 1664804"/>
              <a:gd name="connsiteX2" fmla="*/ 207065 w 513522"/>
              <a:gd name="connsiteY2" fmla="*/ 1557130 h 1664804"/>
              <a:gd name="connsiteX3" fmla="*/ 438978 w 513522"/>
              <a:gd name="connsiteY3" fmla="*/ 1581978 h 1664804"/>
              <a:gd name="connsiteX4" fmla="*/ 513522 w 513522"/>
              <a:gd name="connsiteY4" fmla="*/ 1482587 h 1664804"/>
              <a:gd name="connsiteX5" fmla="*/ 513522 w 513522"/>
              <a:gd name="connsiteY5" fmla="*/ 0 h 1664804"/>
              <a:gd name="connsiteX6" fmla="*/ 0 w 513522"/>
              <a:gd name="connsiteY6" fmla="*/ 16565 h 166480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</a:cxnLst>
            <a:rect l="l" t="t" r="r" b="b"/>
            <a:pathLst>
              <a:path w="513522" h="1664804">
                <a:moveTo>
                  <a:pt x="0" y="16565"/>
                </a:moveTo>
                <a:lnTo>
                  <a:pt x="8283" y="1664804"/>
                </a:lnTo>
                <a:lnTo>
                  <a:pt x="207065" y="1557130"/>
                </a:lnTo>
                <a:lnTo>
                  <a:pt x="438978" y="1581978"/>
                </a:lnTo>
                <a:lnTo>
                  <a:pt x="513522" y="1482587"/>
                </a:lnTo>
                <a:lnTo>
                  <a:pt x="513522" y="0"/>
                </a:lnTo>
                <a:lnTo>
                  <a:pt x="0" y="16565"/>
                </a:lnTo>
                <a:close/>
              </a:path>
            </a:pathLst>
          </a:custGeom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en-US"/>
          </a:p>
        </xdr:txBody>
      </xdr:sp>
      <xdr:sp macro="" textlink="">
        <xdr:nvSpPr>
          <xdr:cNvPr id="232" name="Rectangle 231">
            <a:extLst>
              <a:ext uri="{FF2B5EF4-FFF2-40B4-BE49-F238E27FC236}">
                <a16:creationId xmlns:a16="http://schemas.microsoft.com/office/drawing/2014/main" id="{BBFD78AF-26AF-4091-BB94-0AD956EB724F}"/>
              </a:ext>
            </a:extLst>
          </xdr:cNvPr>
          <xdr:cNvSpPr/>
        </xdr:nvSpPr>
        <xdr:spPr>
          <a:xfrm>
            <a:off x="248478" y="30928780"/>
            <a:ext cx="5278626" cy="507314"/>
          </a:xfrm>
          <a:prstGeom prst="rect">
            <a:avLst/>
          </a:prstGeom>
          <a:solidFill>
            <a:schemeClr val="bg2"/>
          </a:solidFill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en-PH"/>
          </a:p>
        </xdr:txBody>
      </xdr:sp>
      <xdr:cxnSp macro="">
        <xdr:nvCxnSpPr>
          <xdr:cNvPr id="239" name="Straight Connector 238">
            <a:extLst>
              <a:ext uri="{FF2B5EF4-FFF2-40B4-BE49-F238E27FC236}">
                <a16:creationId xmlns:a16="http://schemas.microsoft.com/office/drawing/2014/main" id="{0BC2A33D-DDF6-4EB5-9034-2F23823A4C47}"/>
              </a:ext>
            </a:extLst>
          </xdr:cNvPr>
          <xdr:cNvCxnSpPr/>
        </xdr:nvCxnSpPr>
        <xdr:spPr>
          <a:xfrm rot="16200000" flipV="1">
            <a:off x="252931" y="31115060"/>
            <a:ext cx="214023" cy="0"/>
          </a:xfrm>
          <a:prstGeom prst="line">
            <a:avLst/>
          </a:prstGeom>
          <a:ln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3" name="Straight Connector 242">
            <a:extLst>
              <a:ext uri="{FF2B5EF4-FFF2-40B4-BE49-F238E27FC236}">
                <a16:creationId xmlns:a16="http://schemas.microsoft.com/office/drawing/2014/main" id="{80EA9EEB-782D-4AC1-9BFD-B3F03A892D32}"/>
              </a:ext>
            </a:extLst>
          </xdr:cNvPr>
          <xdr:cNvCxnSpPr/>
        </xdr:nvCxnSpPr>
        <xdr:spPr>
          <a:xfrm flipV="1">
            <a:off x="344019" y="30992194"/>
            <a:ext cx="5047736" cy="23780"/>
          </a:xfrm>
          <a:prstGeom prst="line">
            <a:avLst/>
          </a:prstGeom>
          <a:ln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8" name="Straight Connector 247">
            <a:extLst>
              <a:ext uri="{FF2B5EF4-FFF2-40B4-BE49-F238E27FC236}">
                <a16:creationId xmlns:a16="http://schemas.microsoft.com/office/drawing/2014/main" id="{7295616C-FB72-47AE-B99E-BF413C5CB50F}"/>
              </a:ext>
            </a:extLst>
          </xdr:cNvPr>
          <xdr:cNvCxnSpPr/>
        </xdr:nvCxnSpPr>
        <xdr:spPr>
          <a:xfrm rot="16200000" flipV="1">
            <a:off x="141781" y="31162620"/>
            <a:ext cx="356705" cy="0"/>
          </a:xfrm>
          <a:prstGeom prst="line">
            <a:avLst/>
          </a:prstGeom>
          <a:ln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9" name="Straight Connector 248">
            <a:extLst>
              <a:ext uri="{FF2B5EF4-FFF2-40B4-BE49-F238E27FC236}">
                <a16:creationId xmlns:a16="http://schemas.microsoft.com/office/drawing/2014/main" id="{2D972F22-C309-4D65-A69F-1C4F5D34CB5C}"/>
              </a:ext>
            </a:extLst>
          </xdr:cNvPr>
          <xdr:cNvCxnSpPr/>
        </xdr:nvCxnSpPr>
        <xdr:spPr>
          <a:xfrm flipV="1">
            <a:off x="304210" y="30984268"/>
            <a:ext cx="1488843" cy="0"/>
          </a:xfrm>
          <a:prstGeom prst="line">
            <a:avLst/>
          </a:prstGeom>
          <a:ln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4" name="Straight Connector 253">
            <a:extLst>
              <a:ext uri="{FF2B5EF4-FFF2-40B4-BE49-F238E27FC236}">
                <a16:creationId xmlns:a16="http://schemas.microsoft.com/office/drawing/2014/main" id="{6DDEC656-DE8E-4B8C-A381-583480EA4659}"/>
              </a:ext>
            </a:extLst>
          </xdr:cNvPr>
          <xdr:cNvCxnSpPr/>
        </xdr:nvCxnSpPr>
        <xdr:spPr>
          <a:xfrm flipV="1">
            <a:off x="3958643" y="30968414"/>
            <a:ext cx="1488843" cy="0"/>
          </a:xfrm>
          <a:prstGeom prst="line">
            <a:avLst/>
          </a:prstGeom>
          <a:ln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7" name="Straight Connector 256">
            <a:extLst>
              <a:ext uri="{FF2B5EF4-FFF2-40B4-BE49-F238E27FC236}">
                <a16:creationId xmlns:a16="http://schemas.microsoft.com/office/drawing/2014/main" id="{3639C39B-8C3C-4EE2-8266-DCA678712EF8}"/>
              </a:ext>
            </a:extLst>
          </xdr:cNvPr>
          <xdr:cNvCxnSpPr/>
        </xdr:nvCxnSpPr>
        <xdr:spPr>
          <a:xfrm rot="5400000" flipH="1" flipV="1">
            <a:off x="233288" y="31198291"/>
            <a:ext cx="332925" cy="0"/>
          </a:xfrm>
          <a:prstGeom prst="line">
            <a:avLst/>
          </a:prstGeom>
          <a:ln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61" name="Straight Connector 260">
            <a:extLst>
              <a:ext uri="{FF2B5EF4-FFF2-40B4-BE49-F238E27FC236}">
                <a16:creationId xmlns:a16="http://schemas.microsoft.com/office/drawing/2014/main" id="{6723C708-A90B-4AAD-8DED-C792A70BACAD}"/>
              </a:ext>
            </a:extLst>
          </xdr:cNvPr>
          <xdr:cNvCxnSpPr/>
        </xdr:nvCxnSpPr>
        <xdr:spPr>
          <a:xfrm flipV="1">
            <a:off x="399751" y="31348900"/>
            <a:ext cx="4952195" cy="15854"/>
          </a:xfrm>
          <a:prstGeom prst="line">
            <a:avLst/>
          </a:prstGeom>
          <a:ln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66" name="Straight Connector 265">
            <a:extLst>
              <a:ext uri="{FF2B5EF4-FFF2-40B4-BE49-F238E27FC236}">
                <a16:creationId xmlns:a16="http://schemas.microsoft.com/office/drawing/2014/main" id="{E91F2880-17CC-4FD2-AFD3-38B8DCF6DEEA}"/>
              </a:ext>
            </a:extLst>
          </xdr:cNvPr>
          <xdr:cNvCxnSpPr/>
        </xdr:nvCxnSpPr>
        <xdr:spPr>
          <a:xfrm rot="16200000" flipH="1">
            <a:off x="1781303" y="30972168"/>
            <a:ext cx="87195" cy="95541"/>
          </a:xfrm>
          <a:prstGeom prst="line">
            <a:avLst/>
          </a:prstGeom>
          <a:ln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67" name="Straight Connector 266">
            <a:extLst>
              <a:ext uri="{FF2B5EF4-FFF2-40B4-BE49-F238E27FC236}">
                <a16:creationId xmlns:a16="http://schemas.microsoft.com/office/drawing/2014/main" id="{AB5816A8-6810-494C-A197-2C2A9B090BA3}"/>
              </a:ext>
            </a:extLst>
          </xdr:cNvPr>
          <xdr:cNvCxnSpPr/>
        </xdr:nvCxnSpPr>
        <xdr:spPr>
          <a:xfrm rot="5400000">
            <a:off x="3879218" y="30968222"/>
            <a:ext cx="87195" cy="87579"/>
          </a:xfrm>
          <a:prstGeom prst="line">
            <a:avLst/>
          </a:prstGeom>
          <a:ln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68" name="Straight Connector 267">
            <a:extLst>
              <a:ext uri="{FF2B5EF4-FFF2-40B4-BE49-F238E27FC236}">
                <a16:creationId xmlns:a16="http://schemas.microsoft.com/office/drawing/2014/main" id="{9C9A713F-0EFB-4855-A6FB-45CC79243D9F}"/>
              </a:ext>
            </a:extLst>
          </xdr:cNvPr>
          <xdr:cNvCxnSpPr/>
        </xdr:nvCxnSpPr>
        <xdr:spPr>
          <a:xfrm rot="16200000" flipH="1">
            <a:off x="1622068" y="31233752"/>
            <a:ext cx="87195" cy="95541"/>
          </a:xfrm>
          <a:prstGeom prst="line">
            <a:avLst/>
          </a:prstGeom>
          <a:ln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69" name="Straight Connector 268">
            <a:extLst>
              <a:ext uri="{FF2B5EF4-FFF2-40B4-BE49-F238E27FC236}">
                <a16:creationId xmlns:a16="http://schemas.microsoft.com/office/drawing/2014/main" id="{5AF687FE-5BE0-4019-B276-B80A5F83117E}"/>
              </a:ext>
            </a:extLst>
          </xdr:cNvPr>
          <xdr:cNvCxnSpPr/>
        </xdr:nvCxnSpPr>
        <xdr:spPr>
          <a:xfrm flipV="1">
            <a:off x="1713436" y="31325119"/>
            <a:ext cx="2348710" cy="0"/>
          </a:xfrm>
          <a:prstGeom prst="line">
            <a:avLst/>
          </a:prstGeom>
          <a:ln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1" name="Straight Connector 270">
            <a:extLst>
              <a:ext uri="{FF2B5EF4-FFF2-40B4-BE49-F238E27FC236}">
                <a16:creationId xmlns:a16="http://schemas.microsoft.com/office/drawing/2014/main" id="{F2642AAE-69F3-4901-9500-80E2BF7F35E5}"/>
              </a:ext>
            </a:extLst>
          </xdr:cNvPr>
          <xdr:cNvCxnSpPr/>
        </xdr:nvCxnSpPr>
        <xdr:spPr>
          <a:xfrm rot="5400000">
            <a:off x="4058392" y="31225825"/>
            <a:ext cx="103048" cy="95541"/>
          </a:xfrm>
          <a:prstGeom prst="line">
            <a:avLst/>
          </a:prstGeom>
          <a:ln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5" name="Straight Connector 274">
            <a:extLst>
              <a:ext uri="{FF2B5EF4-FFF2-40B4-BE49-F238E27FC236}">
                <a16:creationId xmlns:a16="http://schemas.microsoft.com/office/drawing/2014/main" id="{4B0AC4E7-7FD8-4CDE-9158-D6EAEBF9ADB5}"/>
              </a:ext>
            </a:extLst>
          </xdr:cNvPr>
          <xdr:cNvCxnSpPr/>
        </xdr:nvCxnSpPr>
        <xdr:spPr>
          <a:xfrm flipV="1">
            <a:off x="367904" y="31174510"/>
            <a:ext cx="5023851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9" name="Straight Connector 278">
            <a:extLst>
              <a:ext uri="{FF2B5EF4-FFF2-40B4-BE49-F238E27FC236}">
                <a16:creationId xmlns:a16="http://schemas.microsoft.com/office/drawing/2014/main" id="{529175FA-234B-4EF3-8FC2-92D2594F0F47}"/>
              </a:ext>
            </a:extLst>
          </xdr:cNvPr>
          <xdr:cNvCxnSpPr/>
        </xdr:nvCxnSpPr>
        <xdr:spPr>
          <a:xfrm rot="5400000">
            <a:off x="2661825" y="31174510"/>
            <a:ext cx="428046" cy="0"/>
          </a:xfrm>
          <a:prstGeom prst="line">
            <a:avLst/>
          </a:prstGeom>
          <a:ln>
            <a:solidFill>
              <a:srgbClr val="7030A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5" name="Straight Connector 284">
            <a:extLst>
              <a:ext uri="{FF2B5EF4-FFF2-40B4-BE49-F238E27FC236}">
                <a16:creationId xmlns:a16="http://schemas.microsoft.com/office/drawing/2014/main" id="{63155F61-680D-4C3D-8C18-DAAD3A56AB99}"/>
              </a:ext>
            </a:extLst>
          </xdr:cNvPr>
          <xdr:cNvCxnSpPr/>
        </xdr:nvCxnSpPr>
        <xdr:spPr>
          <a:xfrm rot="5400000">
            <a:off x="500216" y="31170530"/>
            <a:ext cx="428046" cy="7962"/>
          </a:xfrm>
          <a:prstGeom prst="line">
            <a:avLst/>
          </a:prstGeom>
          <a:ln>
            <a:solidFill>
              <a:srgbClr val="7030A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6" name="Straight Connector 285">
            <a:extLst>
              <a:ext uri="{FF2B5EF4-FFF2-40B4-BE49-F238E27FC236}">
                <a16:creationId xmlns:a16="http://schemas.microsoft.com/office/drawing/2014/main" id="{78A9EFF4-2B51-4AFF-95D7-127D08632270}"/>
              </a:ext>
            </a:extLst>
          </xdr:cNvPr>
          <xdr:cNvCxnSpPr/>
        </xdr:nvCxnSpPr>
        <xdr:spPr>
          <a:xfrm rot="5400000">
            <a:off x="1579030" y="31174510"/>
            <a:ext cx="428046" cy="0"/>
          </a:xfrm>
          <a:prstGeom prst="line">
            <a:avLst/>
          </a:prstGeom>
          <a:ln>
            <a:solidFill>
              <a:srgbClr val="7030A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7" name="Straight Connector 286">
            <a:extLst>
              <a:ext uri="{FF2B5EF4-FFF2-40B4-BE49-F238E27FC236}">
                <a16:creationId xmlns:a16="http://schemas.microsoft.com/office/drawing/2014/main" id="{DB801991-C6E3-4C0E-8862-96105E2886AD}"/>
              </a:ext>
            </a:extLst>
          </xdr:cNvPr>
          <xdr:cNvCxnSpPr/>
        </xdr:nvCxnSpPr>
        <xdr:spPr>
          <a:xfrm rot="5400000">
            <a:off x="1045594" y="31174510"/>
            <a:ext cx="428046" cy="0"/>
          </a:xfrm>
          <a:prstGeom prst="line">
            <a:avLst/>
          </a:prstGeom>
          <a:ln>
            <a:solidFill>
              <a:srgbClr val="7030A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8" name="Straight Connector 287">
            <a:extLst>
              <a:ext uri="{FF2B5EF4-FFF2-40B4-BE49-F238E27FC236}">
                <a16:creationId xmlns:a16="http://schemas.microsoft.com/office/drawing/2014/main" id="{5F6951CA-620C-4A66-9D3A-C52675E229CF}"/>
              </a:ext>
            </a:extLst>
          </xdr:cNvPr>
          <xdr:cNvCxnSpPr/>
        </xdr:nvCxnSpPr>
        <xdr:spPr>
          <a:xfrm rot="5400000">
            <a:off x="2128389" y="31174510"/>
            <a:ext cx="428046" cy="0"/>
          </a:xfrm>
          <a:prstGeom prst="line">
            <a:avLst/>
          </a:prstGeom>
          <a:ln>
            <a:solidFill>
              <a:srgbClr val="7030A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9" name="Straight Connector 288">
            <a:extLst>
              <a:ext uri="{FF2B5EF4-FFF2-40B4-BE49-F238E27FC236}">
                <a16:creationId xmlns:a16="http://schemas.microsoft.com/office/drawing/2014/main" id="{DF763FE3-0459-4C41-BE91-B7C753DBB9BE}"/>
              </a:ext>
            </a:extLst>
          </xdr:cNvPr>
          <xdr:cNvCxnSpPr/>
        </xdr:nvCxnSpPr>
        <xdr:spPr>
          <a:xfrm rot="5400000">
            <a:off x="4827415" y="31174510"/>
            <a:ext cx="428046" cy="0"/>
          </a:xfrm>
          <a:prstGeom prst="line">
            <a:avLst/>
          </a:prstGeom>
          <a:ln>
            <a:solidFill>
              <a:srgbClr val="7030A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90" name="Straight Connector 289">
            <a:extLst>
              <a:ext uri="{FF2B5EF4-FFF2-40B4-BE49-F238E27FC236}">
                <a16:creationId xmlns:a16="http://schemas.microsoft.com/office/drawing/2014/main" id="{288D3DAC-F45D-42EE-B4C3-49C3BF31BE5E}"/>
              </a:ext>
            </a:extLst>
          </xdr:cNvPr>
          <xdr:cNvCxnSpPr/>
        </xdr:nvCxnSpPr>
        <xdr:spPr>
          <a:xfrm rot="5400000">
            <a:off x="3744620" y="31174510"/>
            <a:ext cx="428046" cy="0"/>
          </a:xfrm>
          <a:prstGeom prst="line">
            <a:avLst/>
          </a:prstGeom>
          <a:ln>
            <a:solidFill>
              <a:srgbClr val="7030A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91" name="Straight Connector 290">
            <a:extLst>
              <a:ext uri="{FF2B5EF4-FFF2-40B4-BE49-F238E27FC236}">
                <a16:creationId xmlns:a16="http://schemas.microsoft.com/office/drawing/2014/main" id="{AC17F040-4E18-4429-95FE-EEC8C8D40B25}"/>
              </a:ext>
            </a:extLst>
          </xdr:cNvPr>
          <xdr:cNvCxnSpPr/>
        </xdr:nvCxnSpPr>
        <xdr:spPr>
          <a:xfrm rot="5400000">
            <a:off x="3203223" y="31174510"/>
            <a:ext cx="428046" cy="0"/>
          </a:xfrm>
          <a:prstGeom prst="line">
            <a:avLst/>
          </a:prstGeom>
          <a:ln>
            <a:solidFill>
              <a:srgbClr val="7030A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92" name="Straight Connector 291">
            <a:extLst>
              <a:ext uri="{FF2B5EF4-FFF2-40B4-BE49-F238E27FC236}">
                <a16:creationId xmlns:a16="http://schemas.microsoft.com/office/drawing/2014/main" id="{5469DD88-7289-4013-A322-D5D9B8DF43BD}"/>
              </a:ext>
            </a:extLst>
          </xdr:cNvPr>
          <xdr:cNvCxnSpPr/>
        </xdr:nvCxnSpPr>
        <xdr:spPr>
          <a:xfrm rot="5400000">
            <a:off x="4293980" y="31174510"/>
            <a:ext cx="428046" cy="0"/>
          </a:xfrm>
          <a:prstGeom prst="line">
            <a:avLst/>
          </a:prstGeom>
          <a:ln>
            <a:solidFill>
              <a:srgbClr val="7030A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93" name="Straight Connector 292">
            <a:extLst>
              <a:ext uri="{FF2B5EF4-FFF2-40B4-BE49-F238E27FC236}">
                <a16:creationId xmlns:a16="http://schemas.microsoft.com/office/drawing/2014/main" id="{6CB60A11-235A-4EC4-94CA-F2BE7BFF5AE5}"/>
              </a:ext>
            </a:extLst>
          </xdr:cNvPr>
          <xdr:cNvCxnSpPr/>
        </xdr:nvCxnSpPr>
        <xdr:spPr>
          <a:xfrm rot="5400000">
            <a:off x="774896" y="31174510"/>
            <a:ext cx="428046" cy="0"/>
          </a:xfrm>
          <a:prstGeom prst="line">
            <a:avLst/>
          </a:prstGeom>
          <a:ln>
            <a:solidFill>
              <a:srgbClr val="7030A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94" name="Straight Connector 293">
            <a:extLst>
              <a:ext uri="{FF2B5EF4-FFF2-40B4-BE49-F238E27FC236}">
                <a16:creationId xmlns:a16="http://schemas.microsoft.com/office/drawing/2014/main" id="{99248854-61FA-4042-AA96-1434F5B455E5}"/>
              </a:ext>
            </a:extLst>
          </xdr:cNvPr>
          <xdr:cNvCxnSpPr/>
        </xdr:nvCxnSpPr>
        <xdr:spPr>
          <a:xfrm rot="5400000">
            <a:off x="1308331" y="31174510"/>
            <a:ext cx="428046" cy="0"/>
          </a:xfrm>
          <a:prstGeom prst="line">
            <a:avLst/>
          </a:prstGeom>
          <a:ln>
            <a:solidFill>
              <a:srgbClr val="7030A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95" name="Straight Connector 294">
            <a:extLst>
              <a:ext uri="{FF2B5EF4-FFF2-40B4-BE49-F238E27FC236}">
                <a16:creationId xmlns:a16="http://schemas.microsoft.com/office/drawing/2014/main" id="{3DD52958-7E02-472D-9B7A-30995AAA68A5}"/>
              </a:ext>
            </a:extLst>
          </xdr:cNvPr>
          <xdr:cNvCxnSpPr/>
        </xdr:nvCxnSpPr>
        <xdr:spPr>
          <a:xfrm rot="5400000">
            <a:off x="1849729" y="31174510"/>
            <a:ext cx="428046" cy="0"/>
          </a:xfrm>
          <a:prstGeom prst="line">
            <a:avLst/>
          </a:prstGeom>
          <a:ln>
            <a:solidFill>
              <a:srgbClr val="7030A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96" name="Straight Connector 295">
            <a:extLst>
              <a:ext uri="{FF2B5EF4-FFF2-40B4-BE49-F238E27FC236}">
                <a16:creationId xmlns:a16="http://schemas.microsoft.com/office/drawing/2014/main" id="{919CD2F4-6DA0-404B-BCC2-F8954DABEB22}"/>
              </a:ext>
            </a:extLst>
          </xdr:cNvPr>
          <xdr:cNvCxnSpPr/>
        </xdr:nvCxnSpPr>
        <xdr:spPr>
          <a:xfrm rot="5400000">
            <a:off x="2399088" y="31174510"/>
            <a:ext cx="428046" cy="0"/>
          </a:xfrm>
          <a:prstGeom prst="line">
            <a:avLst/>
          </a:prstGeom>
          <a:ln>
            <a:solidFill>
              <a:srgbClr val="7030A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97" name="Straight Connector 296">
            <a:extLst>
              <a:ext uri="{FF2B5EF4-FFF2-40B4-BE49-F238E27FC236}">
                <a16:creationId xmlns:a16="http://schemas.microsoft.com/office/drawing/2014/main" id="{B3A1911F-4E0C-476B-A51E-DCB7F3B08A86}"/>
              </a:ext>
            </a:extLst>
          </xdr:cNvPr>
          <xdr:cNvCxnSpPr/>
        </xdr:nvCxnSpPr>
        <xdr:spPr>
          <a:xfrm rot="5400000">
            <a:off x="2932524" y="31174510"/>
            <a:ext cx="428046" cy="0"/>
          </a:xfrm>
          <a:prstGeom prst="line">
            <a:avLst/>
          </a:prstGeom>
          <a:ln>
            <a:solidFill>
              <a:srgbClr val="7030A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98" name="Straight Connector 297">
            <a:extLst>
              <a:ext uri="{FF2B5EF4-FFF2-40B4-BE49-F238E27FC236}">
                <a16:creationId xmlns:a16="http://schemas.microsoft.com/office/drawing/2014/main" id="{0009AB93-1B67-4A21-89CB-2DEABCCEA681}"/>
              </a:ext>
            </a:extLst>
          </xdr:cNvPr>
          <xdr:cNvCxnSpPr/>
        </xdr:nvCxnSpPr>
        <xdr:spPr>
          <a:xfrm rot="5400000">
            <a:off x="3477902" y="31170530"/>
            <a:ext cx="428046" cy="7962"/>
          </a:xfrm>
          <a:prstGeom prst="line">
            <a:avLst/>
          </a:prstGeom>
          <a:ln>
            <a:solidFill>
              <a:srgbClr val="7030A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99" name="Straight Connector 298">
            <a:extLst>
              <a:ext uri="{FF2B5EF4-FFF2-40B4-BE49-F238E27FC236}">
                <a16:creationId xmlns:a16="http://schemas.microsoft.com/office/drawing/2014/main" id="{CCC604D2-3B71-4597-A8B5-A8C2AA9D78C4}"/>
              </a:ext>
            </a:extLst>
          </xdr:cNvPr>
          <xdr:cNvCxnSpPr/>
        </xdr:nvCxnSpPr>
        <xdr:spPr>
          <a:xfrm rot="5400000">
            <a:off x="4019300" y="31170530"/>
            <a:ext cx="428046" cy="7962"/>
          </a:xfrm>
          <a:prstGeom prst="line">
            <a:avLst/>
          </a:prstGeom>
          <a:ln>
            <a:solidFill>
              <a:srgbClr val="7030A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0" name="Straight Connector 299">
            <a:extLst>
              <a:ext uri="{FF2B5EF4-FFF2-40B4-BE49-F238E27FC236}">
                <a16:creationId xmlns:a16="http://schemas.microsoft.com/office/drawing/2014/main" id="{7F5C2564-EDDC-4209-93D4-D9912000B9B4}"/>
              </a:ext>
            </a:extLst>
          </xdr:cNvPr>
          <xdr:cNvCxnSpPr/>
        </xdr:nvCxnSpPr>
        <xdr:spPr>
          <a:xfrm rot="5400000">
            <a:off x="4564678" y="31174510"/>
            <a:ext cx="428046" cy="0"/>
          </a:xfrm>
          <a:prstGeom prst="line">
            <a:avLst/>
          </a:prstGeom>
          <a:ln>
            <a:solidFill>
              <a:srgbClr val="7030A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1" name="Straight Connector 300">
            <a:extLst>
              <a:ext uri="{FF2B5EF4-FFF2-40B4-BE49-F238E27FC236}">
                <a16:creationId xmlns:a16="http://schemas.microsoft.com/office/drawing/2014/main" id="{106265DF-FDE2-44A8-BBED-3C6B6417C8CF}"/>
              </a:ext>
            </a:extLst>
          </xdr:cNvPr>
          <xdr:cNvCxnSpPr/>
        </xdr:nvCxnSpPr>
        <xdr:spPr>
          <a:xfrm rot="5400000">
            <a:off x="639546" y="31174510"/>
            <a:ext cx="428046" cy="0"/>
          </a:xfrm>
          <a:prstGeom prst="line">
            <a:avLst/>
          </a:prstGeom>
          <a:ln>
            <a:solidFill>
              <a:srgbClr val="7030A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2" name="Straight Connector 301">
            <a:extLst>
              <a:ext uri="{FF2B5EF4-FFF2-40B4-BE49-F238E27FC236}">
                <a16:creationId xmlns:a16="http://schemas.microsoft.com/office/drawing/2014/main" id="{2C32E9BB-EB0A-45D0-9DED-28CE03847571}"/>
              </a:ext>
            </a:extLst>
          </xdr:cNvPr>
          <xdr:cNvCxnSpPr/>
        </xdr:nvCxnSpPr>
        <xdr:spPr>
          <a:xfrm rot="5400000">
            <a:off x="902283" y="31174510"/>
            <a:ext cx="428046" cy="0"/>
          </a:xfrm>
          <a:prstGeom prst="line">
            <a:avLst/>
          </a:prstGeom>
          <a:ln>
            <a:solidFill>
              <a:srgbClr val="7030A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3" name="Straight Connector 302">
            <a:extLst>
              <a:ext uri="{FF2B5EF4-FFF2-40B4-BE49-F238E27FC236}">
                <a16:creationId xmlns:a16="http://schemas.microsoft.com/office/drawing/2014/main" id="{23A4928F-44C2-4B9C-880F-420200CB0BD8}"/>
              </a:ext>
            </a:extLst>
          </xdr:cNvPr>
          <xdr:cNvCxnSpPr/>
        </xdr:nvCxnSpPr>
        <xdr:spPr>
          <a:xfrm rot="5400000">
            <a:off x="4684122" y="31158639"/>
            <a:ext cx="435973" cy="7962"/>
          </a:xfrm>
          <a:prstGeom prst="line">
            <a:avLst/>
          </a:prstGeom>
          <a:ln>
            <a:solidFill>
              <a:srgbClr val="7030A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4" name="Straight Connector 303">
            <a:extLst>
              <a:ext uri="{FF2B5EF4-FFF2-40B4-BE49-F238E27FC236}">
                <a16:creationId xmlns:a16="http://schemas.microsoft.com/office/drawing/2014/main" id="{807BD99E-8CAE-4E05-AB01-4020824593C7}"/>
              </a:ext>
            </a:extLst>
          </xdr:cNvPr>
          <xdr:cNvCxnSpPr/>
        </xdr:nvCxnSpPr>
        <xdr:spPr>
          <a:xfrm rot="5400000">
            <a:off x="4409442" y="31162620"/>
            <a:ext cx="435973" cy="0"/>
          </a:xfrm>
          <a:prstGeom prst="line">
            <a:avLst/>
          </a:prstGeom>
          <a:ln>
            <a:solidFill>
              <a:srgbClr val="7030A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6" name="Straight Arrow Connector 235">
            <a:extLst>
              <a:ext uri="{FF2B5EF4-FFF2-40B4-BE49-F238E27FC236}">
                <a16:creationId xmlns:a16="http://schemas.microsoft.com/office/drawing/2014/main" id="{6CDEE8BC-1426-4B0D-A9C0-198E8BBDAA46}"/>
              </a:ext>
            </a:extLst>
          </xdr:cNvPr>
          <xdr:cNvCxnSpPr/>
        </xdr:nvCxnSpPr>
        <xdr:spPr>
          <a:xfrm flipV="1">
            <a:off x="503253" y="30556221"/>
            <a:ext cx="4753152" cy="0"/>
          </a:xfrm>
          <a:prstGeom prst="straightConnector1">
            <a:avLst/>
          </a:prstGeom>
          <a:ln>
            <a:solidFill>
              <a:sysClr val="windowText" lastClr="000000"/>
            </a:solidFill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37" name="TextBox 236">
            <a:extLst>
              <a:ext uri="{FF2B5EF4-FFF2-40B4-BE49-F238E27FC236}">
                <a16:creationId xmlns:a16="http://schemas.microsoft.com/office/drawing/2014/main" id="{AC556337-FFBB-44C8-BA04-EF3C891522F0}"/>
              </a:ext>
            </a:extLst>
          </xdr:cNvPr>
          <xdr:cNvSpPr txBox="1"/>
        </xdr:nvSpPr>
        <xdr:spPr>
          <a:xfrm>
            <a:off x="2732537" y="30310491"/>
            <a:ext cx="1074833" cy="29329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/>
              <a:t>L = Span</a:t>
            </a:r>
          </a:p>
        </xdr:txBody>
      </xdr:sp>
      <xdr:cxnSp macro="">
        <xdr:nvCxnSpPr>
          <xdr:cNvPr id="245" name="Straight Connector 244">
            <a:extLst>
              <a:ext uri="{FF2B5EF4-FFF2-40B4-BE49-F238E27FC236}">
                <a16:creationId xmlns:a16="http://schemas.microsoft.com/office/drawing/2014/main" id="{9D0B819B-013F-4DCA-8C61-E47889BE710F}"/>
              </a:ext>
            </a:extLst>
          </xdr:cNvPr>
          <xdr:cNvCxnSpPr/>
        </xdr:nvCxnSpPr>
        <xdr:spPr>
          <a:xfrm rot="16200000" flipH="1">
            <a:off x="-491506" y="31384518"/>
            <a:ext cx="2013403" cy="23885"/>
          </a:xfrm>
          <a:prstGeom prst="line">
            <a:avLst/>
          </a:prstGeom>
          <a:ln>
            <a:solidFill>
              <a:sysClr val="windowText" lastClr="000000"/>
            </a:solidFill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6" name="Straight Connector 245">
            <a:extLst>
              <a:ext uri="{FF2B5EF4-FFF2-40B4-BE49-F238E27FC236}">
                <a16:creationId xmlns:a16="http://schemas.microsoft.com/office/drawing/2014/main" id="{68A499A3-4574-4D02-A632-B20977C1FCC1}"/>
              </a:ext>
            </a:extLst>
          </xdr:cNvPr>
          <xdr:cNvCxnSpPr/>
        </xdr:nvCxnSpPr>
        <xdr:spPr>
          <a:xfrm rot="16200000" flipH="1">
            <a:off x="4253685" y="31487566"/>
            <a:ext cx="2013403" cy="23885"/>
          </a:xfrm>
          <a:prstGeom prst="line">
            <a:avLst/>
          </a:prstGeom>
          <a:ln>
            <a:solidFill>
              <a:sysClr val="windowText" lastClr="000000"/>
            </a:solidFill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0" name="Straight Arrow Connector 249">
            <a:extLst>
              <a:ext uri="{FF2B5EF4-FFF2-40B4-BE49-F238E27FC236}">
                <a16:creationId xmlns:a16="http://schemas.microsoft.com/office/drawing/2014/main" id="{C5DE82A8-EA36-4A1D-8B92-58A49F4C76A8}"/>
              </a:ext>
            </a:extLst>
          </xdr:cNvPr>
          <xdr:cNvCxnSpPr/>
        </xdr:nvCxnSpPr>
        <xdr:spPr>
          <a:xfrm>
            <a:off x="503253" y="30770244"/>
            <a:ext cx="1313685" cy="7927"/>
          </a:xfrm>
          <a:prstGeom prst="straightConnector1">
            <a:avLst/>
          </a:prstGeom>
          <a:ln>
            <a:solidFill>
              <a:sysClr val="windowText" lastClr="000000"/>
            </a:solidFill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8" name="Straight Arrow Connector 257">
            <a:extLst>
              <a:ext uri="{FF2B5EF4-FFF2-40B4-BE49-F238E27FC236}">
                <a16:creationId xmlns:a16="http://schemas.microsoft.com/office/drawing/2014/main" id="{2BCBCEFC-A9C9-4555-BA88-CA373263AFCB}"/>
              </a:ext>
            </a:extLst>
          </xdr:cNvPr>
          <xdr:cNvCxnSpPr/>
        </xdr:nvCxnSpPr>
        <xdr:spPr>
          <a:xfrm flipV="1">
            <a:off x="527138" y="31642191"/>
            <a:ext cx="1186298" cy="0"/>
          </a:xfrm>
          <a:prstGeom prst="straightConnector1">
            <a:avLst/>
          </a:prstGeom>
          <a:ln>
            <a:solidFill>
              <a:sysClr val="windowText" lastClr="000000"/>
            </a:solidFill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64" name="Straight Connector 263">
            <a:extLst>
              <a:ext uri="{FF2B5EF4-FFF2-40B4-BE49-F238E27FC236}">
                <a16:creationId xmlns:a16="http://schemas.microsoft.com/office/drawing/2014/main" id="{CB2D12DB-632B-4522-BE53-B683B135DF14}"/>
              </a:ext>
            </a:extLst>
          </xdr:cNvPr>
          <xdr:cNvCxnSpPr/>
        </xdr:nvCxnSpPr>
        <xdr:spPr>
          <a:xfrm rot="5400000" flipH="1" flipV="1">
            <a:off x="1563264" y="30833641"/>
            <a:ext cx="499387" cy="7962"/>
          </a:xfrm>
          <a:prstGeom prst="line">
            <a:avLst/>
          </a:prstGeom>
          <a:ln>
            <a:solidFill>
              <a:sysClr val="windowText" lastClr="000000"/>
            </a:solidFill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7" name="Straight Connector 276">
            <a:extLst>
              <a:ext uri="{FF2B5EF4-FFF2-40B4-BE49-F238E27FC236}">
                <a16:creationId xmlns:a16="http://schemas.microsoft.com/office/drawing/2014/main" id="{416ED52F-B97F-4583-968A-0F5ED475D6E6}"/>
              </a:ext>
            </a:extLst>
          </xdr:cNvPr>
          <xdr:cNvCxnSpPr/>
        </xdr:nvCxnSpPr>
        <xdr:spPr>
          <a:xfrm rot="5400000" flipH="1" flipV="1">
            <a:off x="1455781" y="31527217"/>
            <a:ext cx="499387" cy="15923"/>
          </a:xfrm>
          <a:prstGeom prst="line">
            <a:avLst/>
          </a:prstGeom>
          <a:ln>
            <a:solidFill>
              <a:sysClr val="windowText" lastClr="000000"/>
            </a:solidFill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165435</xdr:colOff>
      <xdr:row>144</xdr:row>
      <xdr:rowOff>83892</xdr:rowOff>
    </xdr:from>
    <xdr:to>
      <xdr:col>0</xdr:col>
      <xdr:colOff>170448</xdr:colOff>
      <xdr:row>146</xdr:row>
      <xdr:rowOff>12503</xdr:rowOff>
    </xdr:to>
    <xdr:cxnSp macro="">
      <xdr:nvCxnSpPr>
        <xdr:cNvPr id="282" name="Straight Connector 281">
          <a:extLst>
            <a:ext uri="{FF2B5EF4-FFF2-40B4-BE49-F238E27FC236}">
              <a16:creationId xmlns:a16="http://schemas.microsoft.com/office/drawing/2014/main" id="{48A337A0-9FE4-4104-A7E3-68186B7D85A0}"/>
            </a:ext>
          </a:extLst>
        </xdr:cNvPr>
        <xdr:cNvCxnSpPr/>
      </xdr:nvCxnSpPr>
      <xdr:spPr>
        <a:xfrm rot="5400000">
          <a:off x="12534" y="27750340"/>
          <a:ext cx="310816" cy="5013"/>
        </a:xfrm>
        <a:prstGeom prst="line">
          <a:avLst/>
        </a:prstGeom>
        <a:ln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137362</xdr:colOff>
      <xdr:row>144</xdr:row>
      <xdr:rowOff>77209</xdr:rowOff>
    </xdr:from>
    <xdr:to>
      <xdr:col>3</xdr:col>
      <xdr:colOff>142375</xdr:colOff>
      <xdr:row>146</xdr:row>
      <xdr:rowOff>814</xdr:rowOff>
    </xdr:to>
    <xdr:cxnSp macro="">
      <xdr:nvCxnSpPr>
        <xdr:cNvPr id="283" name="Straight Connector 282">
          <a:extLst>
            <a:ext uri="{FF2B5EF4-FFF2-40B4-BE49-F238E27FC236}">
              <a16:creationId xmlns:a16="http://schemas.microsoft.com/office/drawing/2014/main" id="{C650F256-7380-44C7-A740-0F8E8D31F292}"/>
            </a:ext>
          </a:extLst>
        </xdr:cNvPr>
        <xdr:cNvCxnSpPr/>
      </xdr:nvCxnSpPr>
      <xdr:spPr>
        <a:xfrm rot="5400000">
          <a:off x="1924553" y="27737307"/>
          <a:ext cx="310816" cy="5013"/>
        </a:xfrm>
        <a:prstGeom prst="line">
          <a:avLst/>
        </a:prstGeom>
        <a:ln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67003</xdr:colOff>
      <xdr:row>191</xdr:row>
      <xdr:rowOff>139481</xdr:rowOff>
    </xdr:from>
    <xdr:to>
      <xdr:col>3</xdr:col>
      <xdr:colOff>231228</xdr:colOff>
      <xdr:row>193</xdr:row>
      <xdr:rowOff>80230</xdr:rowOff>
    </xdr:to>
    <xdr:sp macro="" textlink="">
      <xdr:nvSpPr>
        <xdr:cNvPr id="284" name="Cube 283">
          <a:extLst>
            <a:ext uri="{FF2B5EF4-FFF2-40B4-BE49-F238E27FC236}">
              <a16:creationId xmlns:a16="http://schemas.microsoft.com/office/drawing/2014/main" id="{FDE08D4C-BBE2-46C2-B872-DB21FF76354D}"/>
            </a:ext>
          </a:extLst>
        </xdr:cNvPr>
        <xdr:cNvSpPr/>
      </xdr:nvSpPr>
      <xdr:spPr>
        <a:xfrm>
          <a:off x="2001311" y="27438619"/>
          <a:ext cx="164225" cy="315310"/>
        </a:xfrm>
        <a:prstGeom prst="cube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PH"/>
        </a:p>
      </xdr:txBody>
    </xdr:sp>
    <xdr:clientData/>
  </xdr:twoCellAnchor>
  <xdr:twoCellAnchor>
    <xdr:from>
      <xdr:col>0</xdr:col>
      <xdr:colOff>105103</xdr:colOff>
      <xdr:row>191</xdr:row>
      <xdr:rowOff>147848</xdr:rowOff>
    </xdr:from>
    <xdr:to>
      <xdr:col>0</xdr:col>
      <xdr:colOff>269328</xdr:colOff>
      <xdr:row>193</xdr:row>
      <xdr:rowOff>82158</xdr:rowOff>
    </xdr:to>
    <xdr:sp macro="" textlink="">
      <xdr:nvSpPr>
        <xdr:cNvPr id="305" name="Cube 304">
          <a:extLst>
            <a:ext uri="{FF2B5EF4-FFF2-40B4-BE49-F238E27FC236}">
              <a16:creationId xmlns:a16="http://schemas.microsoft.com/office/drawing/2014/main" id="{66348EE4-0692-4B7C-8E36-94AD2699C973}"/>
            </a:ext>
          </a:extLst>
        </xdr:cNvPr>
        <xdr:cNvSpPr/>
      </xdr:nvSpPr>
      <xdr:spPr>
        <a:xfrm>
          <a:off x="105103" y="27446986"/>
          <a:ext cx="164225" cy="315310"/>
        </a:xfrm>
        <a:prstGeom prst="cube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PH"/>
        </a:p>
      </xdr:txBody>
    </xdr:sp>
    <xdr:clientData/>
  </xdr:twoCellAnchor>
  <xdr:twoCellAnchor>
    <xdr:from>
      <xdr:col>0</xdr:col>
      <xdr:colOff>99060</xdr:colOff>
      <xdr:row>190</xdr:row>
      <xdr:rowOff>167640</xdr:rowOff>
    </xdr:from>
    <xdr:to>
      <xdr:col>3</xdr:col>
      <xdr:colOff>243840</xdr:colOff>
      <xdr:row>194</xdr:row>
      <xdr:rowOff>121920</xdr:rowOff>
    </xdr:to>
    <xdr:grpSp>
      <xdr:nvGrpSpPr>
        <xdr:cNvPr id="24210" name="Group 315">
          <a:extLst>
            <a:ext uri="{FF2B5EF4-FFF2-40B4-BE49-F238E27FC236}">
              <a16:creationId xmlns:a16="http://schemas.microsoft.com/office/drawing/2014/main" id="{F89F074C-AB96-47F1-9C6C-A70889B6B202}"/>
            </a:ext>
          </a:extLst>
        </xdr:cNvPr>
        <xdr:cNvGrpSpPr>
          <a:grpSpLocks/>
        </xdr:cNvGrpSpPr>
      </xdr:nvGrpSpPr>
      <xdr:grpSpPr bwMode="auto">
        <a:xfrm>
          <a:off x="99060" y="35714940"/>
          <a:ext cx="2065020" cy="685800"/>
          <a:chOff x="190500" y="15630525"/>
          <a:chExt cx="2114550" cy="918022"/>
        </a:xfrm>
      </xdr:grpSpPr>
      <xdr:sp macro="" textlink="">
        <xdr:nvSpPr>
          <xdr:cNvPr id="317" name="Cube 316">
            <a:extLst>
              <a:ext uri="{FF2B5EF4-FFF2-40B4-BE49-F238E27FC236}">
                <a16:creationId xmlns:a16="http://schemas.microsoft.com/office/drawing/2014/main" id="{45BCDB4B-9F59-4117-9D58-5D1D1F1270C8}"/>
              </a:ext>
            </a:extLst>
          </xdr:cNvPr>
          <xdr:cNvSpPr/>
        </xdr:nvSpPr>
        <xdr:spPr>
          <a:xfrm>
            <a:off x="190500" y="15630525"/>
            <a:ext cx="2114550" cy="295807"/>
          </a:xfrm>
          <a:prstGeom prst="cube">
            <a:avLst>
              <a:gd name="adj" fmla="val 25000"/>
            </a:avLst>
          </a:prstGeom>
          <a:blipFill>
            <a:blip xmlns:r="http://schemas.openxmlformats.org/officeDocument/2006/relationships" r:embed="rId1"/>
            <a:tile tx="0" ty="0" sx="100000" sy="100000" flip="none" algn="tl"/>
          </a:blipFill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cxnSp macro="">
        <xdr:nvCxnSpPr>
          <xdr:cNvPr id="318" name="Straight Arrow Connector 317">
            <a:extLst>
              <a:ext uri="{FF2B5EF4-FFF2-40B4-BE49-F238E27FC236}">
                <a16:creationId xmlns:a16="http://schemas.microsoft.com/office/drawing/2014/main" id="{29C28EA4-7190-4A7F-8FE9-A285B2020F85}"/>
              </a:ext>
            </a:extLst>
          </xdr:cNvPr>
          <xdr:cNvCxnSpPr/>
        </xdr:nvCxnSpPr>
        <xdr:spPr>
          <a:xfrm>
            <a:off x="272143" y="16150737"/>
            <a:ext cx="955221" cy="20400"/>
          </a:xfrm>
          <a:prstGeom prst="straightConnector1">
            <a:avLst/>
          </a:prstGeom>
          <a:ln>
            <a:solidFill>
              <a:sysClr val="windowText" lastClr="000000"/>
            </a:solidFill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19" name="TextBox 318">
            <a:extLst>
              <a:ext uri="{FF2B5EF4-FFF2-40B4-BE49-F238E27FC236}">
                <a16:creationId xmlns:a16="http://schemas.microsoft.com/office/drawing/2014/main" id="{4129AC4D-268B-48B8-9ED0-1B604E3C1472}"/>
              </a:ext>
            </a:extLst>
          </xdr:cNvPr>
          <xdr:cNvSpPr txBox="1"/>
        </xdr:nvSpPr>
        <xdr:spPr>
          <a:xfrm>
            <a:off x="492579" y="16201739"/>
            <a:ext cx="342900" cy="34680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/>
              <a:t>L</a:t>
            </a:r>
            <a:r>
              <a:rPr lang="en-US" sz="800"/>
              <a:t>1</a:t>
            </a:r>
          </a:p>
        </xdr:txBody>
      </xdr:sp>
    </xdr:grpSp>
    <xdr:clientData/>
  </xdr:twoCellAnchor>
  <xdr:twoCellAnchor>
    <xdr:from>
      <xdr:col>0</xdr:col>
      <xdr:colOff>129540</xdr:colOff>
      <xdr:row>194</xdr:row>
      <xdr:rowOff>167640</xdr:rowOff>
    </xdr:from>
    <xdr:to>
      <xdr:col>3</xdr:col>
      <xdr:colOff>487680</xdr:colOff>
      <xdr:row>204</xdr:row>
      <xdr:rowOff>22860</xdr:rowOff>
    </xdr:to>
    <xdr:grpSp>
      <xdr:nvGrpSpPr>
        <xdr:cNvPr id="24211" name="Group 319">
          <a:extLst>
            <a:ext uri="{FF2B5EF4-FFF2-40B4-BE49-F238E27FC236}">
              <a16:creationId xmlns:a16="http://schemas.microsoft.com/office/drawing/2014/main" id="{71249822-7A53-4A09-8B28-A1071E7314EA}"/>
            </a:ext>
          </a:extLst>
        </xdr:cNvPr>
        <xdr:cNvGrpSpPr>
          <a:grpSpLocks/>
        </xdr:cNvGrpSpPr>
      </xdr:nvGrpSpPr>
      <xdr:grpSpPr bwMode="auto">
        <a:xfrm>
          <a:off x="129540" y="36446460"/>
          <a:ext cx="2278380" cy="2095500"/>
          <a:chOff x="153229" y="28078043"/>
          <a:chExt cx="2296767" cy="1888435"/>
        </a:xfrm>
      </xdr:grpSpPr>
      <xdr:grpSp>
        <xdr:nvGrpSpPr>
          <xdr:cNvPr id="24399" name="Group 212">
            <a:extLst>
              <a:ext uri="{FF2B5EF4-FFF2-40B4-BE49-F238E27FC236}">
                <a16:creationId xmlns:a16="http://schemas.microsoft.com/office/drawing/2014/main" id="{F707149E-98B2-431D-BBEC-A94C0D5722D9}"/>
              </a:ext>
            </a:extLst>
          </xdr:cNvPr>
          <xdr:cNvGrpSpPr>
            <a:grpSpLocks/>
          </xdr:cNvGrpSpPr>
        </xdr:nvGrpSpPr>
        <xdr:grpSpPr bwMode="auto">
          <a:xfrm>
            <a:off x="153229" y="28078043"/>
            <a:ext cx="1345924" cy="1888435"/>
            <a:chOff x="220781" y="16324359"/>
            <a:chExt cx="939461" cy="1344516"/>
          </a:xfrm>
        </xdr:grpSpPr>
        <xdr:sp macro="" textlink="">
          <xdr:nvSpPr>
            <xdr:cNvPr id="327" name="Rectangle 326">
              <a:extLst>
                <a:ext uri="{FF2B5EF4-FFF2-40B4-BE49-F238E27FC236}">
                  <a16:creationId xmlns:a16="http://schemas.microsoft.com/office/drawing/2014/main" id="{5ADFFCE7-ED4B-4F5E-BD97-1BD98C29ADCB}"/>
                </a:ext>
              </a:extLst>
            </xdr:cNvPr>
            <xdr:cNvSpPr/>
          </xdr:nvSpPr>
          <xdr:spPr>
            <a:xfrm>
              <a:off x="220781" y="16324359"/>
              <a:ext cx="670308" cy="1002276"/>
            </a:xfrm>
            <a:prstGeom prst="rect">
              <a:avLst/>
            </a:prstGeom>
            <a:blipFill>
              <a:blip xmlns:r="http://schemas.openxmlformats.org/officeDocument/2006/relationships" r:embed="rId1"/>
              <a:tile tx="0" ty="0" sx="100000" sy="100000" flip="none" algn="tl"/>
            </a:blipFill>
            <a:ln w="3175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en-US"/>
            </a:p>
          </xdr:txBody>
        </xdr:sp>
        <xdr:sp macro="" textlink="">
          <xdr:nvSpPr>
            <xdr:cNvPr id="328" name="TextBox 327">
              <a:extLst>
                <a:ext uri="{FF2B5EF4-FFF2-40B4-BE49-F238E27FC236}">
                  <a16:creationId xmlns:a16="http://schemas.microsoft.com/office/drawing/2014/main" id="{C5306731-7777-405E-A022-15A875C8DDF4}"/>
                </a:ext>
              </a:extLst>
            </xdr:cNvPr>
            <xdr:cNvSpPr txBox="1"/>
          </xdr:nvSpPr>
          <xdr:spPr>
            <a:xfrm>
              <a:off x="449803" y="17326635"/>
              <a:ext cx="245780" cy="34224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200"/>
                <a:t>W</a:t>
              </a:r>
            </a:p>
          </xdr:txBody>
        </xdr:sp>
        <xdr:sp macro="" textlink="">
          <xdr:nvSpPr>
            <xdr:cNvPr id="329" name="TextBox 328">
              <a:extLst>
                <a:ext uri="{FF2B5EF4-FFF2-40B4-BE49-F238E27FC236}">
                  <a16:creationId xmlns:a16="http://schemas.microsoft.com/office/drawing/2014/main" id="{B91525C4-90E6-4B9B-AE15-F66133D805B6}"/>
                </a:ext>
              </a:extLst>
            </xdr:cNvPr>
            <xdr:cNvSpPr txBox="1"/>
          </xdr:nvSpPr>
          <xdr:spPr>
            <a:xfrm>
              <a:off x="919019" y="16612819"/>
              <a:ext cx="240194" cy="34224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200"/>
                <a:t>D</a:t>
              </a:r>
            </a:p>
          </xdr:txBody>
        </xdr:sp>
        <xdr:sp macro="" textlink="">
          <xdr:nvSpPr>
            <xdr:cNvPr id="330" name="Rounded Rectangle 329">
              <a:extLst>
                <a:ext uri="{FF2B5EF4-FFF2-40B4-BE49-F238E27FC236}">
                  <a16:creationId xmlns:a16="http://schemas.microsoft.com/office/drawing/2014/main" id="{0B1441EA-E0C3-492B-8643-DE9E11ABE561}"/>
                </a:ext>
              </a:extLst>
            </xdr:cNvPr>
            <xdr:cNvSpPr/>
          </xdr:nvSpPr>
          <xdr:spPr>
            <a:xfrm>
              <a:off x="332499" y="16451477"/>
              <a:ext cx="463630" cy="782264"/>
            </a:xfrm>
            <a:prstGeom prst="roundRect">
              <a:avLst/>
            </a:prstGeom>
            <a:noFill/>
            <a:ln>
              <a:solidFill>
                <a:srgbClr val="7030A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en-US"/>
            </a:p>
          </xdr:txBody>
        </xdr:sp>
        <xdr:sp macro="" textlink="">
          <xdr:nvSpPr>
            <xdr:cNvPr id="331" name="Oval 330">
              <a:extLst>
                <a:ext uri="{FF2B5EF4-FFF2-40B4-BE49-F238E27FC236}">
                  <a16:creationId xmlns:a16="http://schemas.microsoft.com/office/drawing/2014/main" id="{B5D08951-B03B-458D-8434-3BABA5B2FE41}"/>
                </a:ext>
              </a:extLst>
            </xdr:cNvPr>
            <xdr:cNvSpPr/>
          </xdr:nvSpPr>
          <xdr:spPr>
            <a:xfrm>
              <a:off x="371600" y="16466144"/>
              <a:ext cx="78203" cy="78226"/>
            </a:xfrm>
            <a:prstGeom prst="ellipse">
              <a:avLst/>
            </a:prstGeom>
            <a:solidFill>
              <a:srgbClr val="FF0000"/>
            </a:solidFill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en-US"/>
            </a:p>
          </xdr:txBody>
        </xdr:sp>
        <xdr:sp macro="" textlink="">
          <xdr:nvSpPr>
            <xdr:cNvPr id="332" name="Oval 331">
              <a:extLst>
                <a:ext uri="{FF2B5EF4-FFF2-40B4-BE49-F238E27FC236}">
                  <a16:creationId xmlns:a16="http://schemas.microsoft.com/office/drawing/2014/main" id="{5607F2E8-E663-48D0-92D8-23816C596360}"/>
                </a:ext>
              </a:extLst>
            </xdr:cNvPr>
            <xdr:cNvSpPr/>
          </xdr:nvSpPr>
          <xdr:spPr>
            <a:xfrm>
              <a:off x="528006" y="16466144"/>
              <a:ext cx="72617" cy="78226"/>
            </a:xfrm>
            <a:prstGeom prst="ellipse">
              <a:avLst/>
            </a:prstGeom>
            <a:solidFill>
              <a:srgbClr val="00B050"/>
            </a:solidFill>
            <a:ln>
              <a:solidFill>
                <a:srgbClr val="00B05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en-US"/>
            </a:p>
          </xdr:txBody>
        </xdr:sp>
        <xdr:sp macro="" textlink="">
          <xdr:nvSpPr>
            <xdr:cNvPr id="333" name="Oval 332">
              <a:extLst>
                <a:ext uri="{FF2B5EF4-FFF2-40B4-BE49-F238E27FC236}">
                  <a16:creationId xmlns:a16="http://schemas.microsoft.com/office/drawing/2014/main" id="{6F6F9444-3E78-4D95-8A8B-EC296EB82173}"/>
                </a:ext>
              </a:extLst>
            </xdr:cNvPr>
            <xdr:cNvSpPr/>
          </xdr:nvSpPr>
          <xdr:spPr>
            <a:xfrm>
              <a:off x="701169" y="16466144"/>
              <a:ext cx="78203" cy="78226"/>
            </a:xfrm>
            <a:prstGeom prst="ellipse">
              <a:avLst/>
            </a:prstGeom>
            <a:solidFill>
              <a:srgbClr val="FF0000"/>
            </a:solidFill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en-US"/>
            </a:p>
          </xdr:txBody>
        </xdr:sp>
        <xdr:sp macro="" textlink="">
          <xdr:nvSpPr>
            <xdr:cNvPr id="334" name="Oval 333">
              <a:extLst>
                <a:ext uri="{FF2B5EF4-FFF2-40B4-BE49-F238E27FC236}">
                  <a16:creationId xmlns:a16="http://schemas.microsoft.com/office/drawing/2014/main" id="{349B0B3D-BCC0-4308-8564-287FF766DE16}"/>
                </a:ext>
              </a:extLst>
            </xdr:cNvPr>
            <xdr:cNvSpPr/>
          </xdr:nvSpPr>
          <xdr:spPr>
            <a:xfrm>
              <a:off x="695583" y="17135958"/>
              <a:ext cx="72617" cy="73337"/>
            </a:xfrm>
            <a:prstGeom prst="ellipse">
              <a:avLst/>
            </a:prstGeom>
            <a:solidFill>
              <a:srgbClr val="FF0000"/>
            </a:solidFill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en-US"/>
            </a:p>
          </xdr:txBody>
        </xdr:sp>
        <xdr:sp macro="" textlink="">
          <xdr:nvSpPr>
            <xdr:cNvPr id="335" name="Oval 334">
              <a:extLst>
                <a:ext uri="{FF2B5EF4-FFF2-40B4-BE49-F238E27FC236}">
                  <a16:creationId xmlns:a16="http://schemas.microsoft.com/office/drawing/2014/main" id="{E662A6FF-1216-4847-88BF-45F4C71A92FF}"/>
                </a:ext>
              </a:extLst>
            </xdr:cNvPr>
            <xdr:cNvSpPr/>
          </xdr:nvSpPr>
          <xdr:spPr>
            <a:xfrm>
              <a:off x="360429" y="17135958"/>
              <a:ext cx="72617" cy="73337"/>
            </a:xfrm>
            <a:prstGeom prst="ellipse">
              <a:avLst/>
            </a:prstGeom>
            <a:solidFill>
              <a:srgbClr val="FF0000"/>
            </a:solidFill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en-US"/>
            </a:p>
          </xdr:txBody>
        </xdr:sp>
      </xdr:grpSp>
      <xdr:sp macro="" textlink="">
        <xdr:nvSpPr>
          <xdr:cNvPr id="322" name="TextBox 321">
            <a:extLst>
              <a:ext uri="{FF2B5EF4-FFF2-40B4-BE49-F238E27FC236}">
                <a16:creationId xmlns:a16="http://schemas.microsoft.com/office/drawing/2014/main" id="{D638423E-F91F-4910-B7FC-666889E7C223}"/>
              </a:ext>
            </a:extLst>
          </xdr:cNvPr>
          <xdr:cNvSpPr txBox="1"/>
        </xdr:nvSpPr>
        <xdr:spPr>
          <a:xfrm>
            <a:off x="1233590" y="28222251"/>
            <a:ext cx="1200401" cy="19914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r>
              <a:rPr lang="en-US" sz="1100" b="1"/>
              <a:t>Top Bars</a:t>
            </a:r>
          </a:p>
        </xdr:txBody>
      </xdr:sp>
      <xdr:sp macro="" textlink="">
        <xdr:nvSpPr>
          <xdr:cNvPr id="323" name="TextBox 322">
            <a:extLst>
              <a:ext uri="{FF2B5EF4-FFF2-40B4-BE49-F238E27FC236}">
                <a16:creationId xmlns:a16="http://schemas.microsoft.com/office/drawing/2014/main" id="{99A80BA0-BFC5-4423-ABD5-194FE215A4F8}"/>
              </a:ext>
            </a:extLst>
          </xdr:cNvPr>
          <xdr:cNvSpPr txBox="1"/>
        </xdr:nvSpPr>
        <xdr:spPr>
          <a:xfrm>
            <a:off x="1225587" y="29156168"/>
            <a:ext cx="1192398" cy="19914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r>
              <a:rPr lang="en-US" sz="1100" b="1"/>
              <a:t>Bottom Bars</a:t>
            </a:r>
          </a:p>
        </xdr:txBody>
      </xdr:sp>
      <xdr:sp macro="" textlink="">
        <xdr:nvSpPr>
          <xdr:cNvPr id="324" name="TextBox 323">
            <a:extLst>
              <a:ext uri="{FF2B5EF4-FFF2-40B4-BE49-F238E27FC236}">
                <a16:creationId xmlns:a16="http://schemas.microsoft.com/office/drawing/2014/main" id="{1A4DCA51-685B-4349-9D65-7B934EED9890}"/>
              </a:ext>
            </a:extLst>
          </xdr:cNvPr>
          <xdr:cNvSpPr txBox="1"/>
        </xdr:nvSpPr>
        <xdr:spPr>
          <a:xfrm>
            <a:off x="1249595" y="28751013"/>
            <a:ext cx="1200401" cy="24034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r>
              <a:rPr lang="en-US" sz="1100" b="1"/>
              <a:t>Web Bars</a:t>
            </a:r>
          </a:p>
        </xdr:txBody>
      </xdr:sp>
      <xdr:sp macro="" textlink="">
        <xdr:nvSpPr>
          <xdr:cNvPr id="325" name="Oval 324">
            <a:extLst>
              <a:ext uri="{FF2B5EF4-FFF2-40B4-BE49-F238E27FC236}">
                <a16:creationId xmlns:a16="http://schemas.microsoft.com/office/drawing/2014/main" id="{AD053C8B-E5BD-4461-A5BD-9D202FC797F2}"/>
              </a:ext>
            </a:extLst>
          </xdr:cNvPr>
          <xdr:cNvSpPr/>
        </xdr:nvSpPr>
        <xdr:spPr>
          <a:xfrm>
            <a:off x="329288" y="28785348"/>
            <a:ext cx="112037" cy="103006"/>
          </a:xfrm>
          <a:prstGeom prst="ellipse">
            <a:avLst/>
          </a:prstGeom>
          <a:solidFill>
            <a:srgbClr val="0070C0"/>
          </a:solidFill>
          <a:ln>
            <a:solidFill>
              <a:srgbClr val="0070C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326" name="Oval 325">
            <a:extLst>
              <a:ext uri="{FF2B5EF4-FFF2-40B4-BE49-F238E27FC236}">
                <a16:creationId xmlns:a16="http://schemas.microsoft.com/office/drawing/2014/main" id="{529FB89A-EB23-40A2-B6D1-9E8763BC6A56}"/>
              </a:ext>
            </a:extLst>
          </xdr:cNvPr>
          <xdr:cNvSpPr/>
        </xdr:nvSpPr>
        <xdr:spPr>
          <a:xfrm>
            <a:off x="865467" y="28785348"/>
            <a:ext cx="104035" cy="103006"/>
          </a:xfrm>
          <a:prstGeom prst="ellipse">
            <a:avLst/>
          </a:prstGeom>
          <a:solidFill>
            <a:srgbClr val="0070C0"/>
          </a:solidFill>
          <a:ln>
            <a:solidFill>
              <a:srgbClr val="0070C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</xdr:grpSp>
    <xdr:clientData/>
  </xdr:twoCellAnchor>
  <xdr:twoCellAnchor>
    <xdr:from>
      <xdr:col>7</xdr:col>
      <xdr:colOff>39538</xdr:colOff>
      <xdr:row>208</xdr:row>
      <xdr:rowOff>3176</xdr:rowOff>
    </xdr:from>
    <xdr:to>
      <xdr:col>8</xdr:col>
      <xdr:colOff>253604</xdr:colOff>
      <xdr:row>208</xdr:row>
      <xdr:rowOff>4433</xdr:rowOff>
    </xdr:to>
    <xdr:cxnSp macro="">
      <xdr:nvCxnSpPr>
        <xdr:cNvPr id="341" name="Straight Connector 340">
          <a:extLst>
            <a:ext uri="{FF2B5EF4-FFF2-40B4-BE49-F238E27FC236}">
              <a16:creationId xmlns:a16="http://schemas.microsoft.com/office/drawing/2014/main" id="{252386A4-66CB-4E4A-80C2-E074D382C952}"/>
            </a:ext>
          </a:extLst>
        </xdr:cNvPr>
        <xdr:cNvCxnSpPr/>
      </xdr:nvCxnSpPr>
      <xdr:spPr>
        <a:xfrm flipV="1">
          <a:off x="4568406" y="39964205"/>
          <a:ext cx="871830" cy="1257"/>
        </a:xfrm>
        <a:prstGeom prst="line">
          <a:avLst/>
        </a:prstGeom>
        <a:ln>
          <a:solidFill>
            <a:srgbClr val="00B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558041</xdr:colOff>
      <xdr:row>199</xdr:row>
      <xdr:rowOff>178197</xdr:rowOff>
    </xdr:from>
    <xdr:to>
      <xdr:col>1</xdr:col>
      <xdr:colOff>18724</xdr:colOff>
      <xdr:row>200</xdr:row>
      <xdr:rowOff>86724</xdr:rowOff>
    </xdr:to>
    <xdr:sp macro="" textlink="">
      <xdr:nvSpPr>
        <xdr:cNvPr id="352" name="Oval 351">
          <a:extLst>
            <a:ext uri="{FF2B5EF4-FFF2-40B4-BE49-F238E27FC236}">
              <a16:creationId xmlns:a16="http://schemas.microsoft.com/office/drawing/2014/main" id="{96C6D1C2-CDC4-42DC-898E-391516F495BB}"/>
            </a:ext>
          </a:extLst>
        </xdr:cNvPr>
        <xdr:cNvSpPr/>
      </xdr:nvSpPr>
      <xdr:spPr>
        <a:xfrm>
          <a:off x="558041" y="29367682"/>
          <a:ext cx="105452" cy="106058"/>
        </a:xfrm>
        <a:prstGeom prst="ellipse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</xdr:col>
      <xdr:colOff>467591</xdr:colOff>
      <xdr:row>208</xdr:row>
      <xdr:rowOff>2021</xdr:rowOff>
    </xdr:from>
    <xdr:to>
      <xdr:col>1</xdr:col>
      <xdr:colOff>469179</xdr:colOff>
      <xdr:row>210</xdr:row>
      <xdr:rowOff>37092</xdr:rowOff>
    </xdr:to>
    <xdr:cxnSp macro="">
      <xdr:nvCxnSpPr>
        <xdr:cNvPr id="372" name="Straight Connector 371">
          <a:extLst>
            <a:ext uri="{FF2B5EF4-FFF2-40B4-BE49-F238E27FC236}">
              <a16:creationId xmlns:a16="http://schemas.microsoft.com/office/drawing/2014/main" id="{6580E565-9B0C-46D4-8F0D-869D128228D8}"/>
            </a:ext>
          </a:extLst>
        </xdr:cNvPr>
        <xdr:cNvCxnSpPr/>
      </xdr:nvCxnSpPr>
      <xdr:spPr>
        <a:xfrm rot="5400000">
          <a:off x="898840" y="31143460"/>
          <a:ext cx="428627" cy="1588"/>
        </a:xfrm>
        <a:prstGeom prst="line">
          <a:avLst/>
        </a:prstGeom>
        <a:ln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488156</xdr:colOff>
      <xdr:row>205</xdr:row>
      <xdr:rowOff>166291</xdr:rowOff>
    </xdr:from>
    <xdr:to>
      <xdr:col>4</xdr:col>
      <xdr:colOff>410765</xdr:colOff>
      <xdr:row>205</xdr:row>
      <xdr:rowOff>166291</xdr:rowOff>
    </xdr:to>
    <xdr:cxnSp macro="">
      <xdr:nvCxnSpPr>
        <xdr:cNvPr id="375" name="Straight Arrow Connector 374">
          <a:extLst>
            <a:ext uri="{FF2B5EF4-FFF2-40B4-BE49-F238E27FC236}">
              <a16:creationId xmlns:a16="http://schemas.microsoft.com/office/drawing/2014/main" id="{AC54620D-B793-463E-9B76-5D864CC2FF06}"/>
            </a:ext>
          </a:extLst>
        </xdr:cNvPr>
        <xdr:cNvCxnSpPr/>
      </xdr:nvCxnSpPr>
      <xdr:spPr>
        <a:xfrm flipV="1">
          <a:off x="488156" y="39528750"/>
          <a:ext cx="2518172" cy="5953"/>
        </a:xfrm>
        <a:prstGeom prst="straightConnector1">
          <a:avLst/>
        </a:prstGeom>
        <a:ln>
          <a:solidFill>
            <a:sysClr val="windowText" lastClr="00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256190</xdr:colOff>
      <xdr:row>217</xdr:row>
      <xdr:rowOff>190500</xdr:rowOff>
    </xdr:from>
    <xdr:to>
      <xdr:col>1</xdr:col>
      <xdr:colOff>131379</xdr:colOff>
      <xdr:row>218</xdr:row>
      <xdr:rowOff>1588</xdr:rowOff>
    </xdr:to>
    <xdr:cxnSp macro="">
      <xdr:nvCxnSpPr>
        <xdr:cNvPr id="377" name="Straight Arrow Connector 376">
          <a:extLst>
            <a:ext uri="{FF2B5EF4-FFF2-40B4-BE49-F238E27FC236}">
              <a16:creationId xmlns:a16="http://schemas.microsoft.com/office/drawing/2014/main" id="{BB685F56-8F8F-45E4-9B04-F94BD95F708E}"/>
            </a:ext>
          </a:extLst>
        </xdr:cNvPr>
        <xdr:cNvCxnSpPr/>
      </xdr:nvCxnSpPr>
      <xdr:spPr>
        <a:xfrm>
          <a:off x="256190" y="33029769"/>
          <a:ext cx="519958" cy="1588"/>
        </a:xfrm>
        <a:prstGeom prst="straightConnector1">
          <a:avLst/>
        </a:prstGeom>
        <a:ln>
          <a:solidFill>
            <a:sysClr val="windowText" lastClr="00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197036</xdr:colOff>
      <xdr:row>218</xdr:row>
      <xdr:rowOff>48092</xdr:rowOff>
    </xdr:from>
    <xdr:to>
      <xdr:col>1</xdr:col>
      <xdr:colOff>243052</xdr:colOff>
      <xdr:row>220</xdr:row>
      <xdr:rowOff>163460</xdr:rowOff>
    </xdr:to>
    <xdr:sp macro="" textlink="">
      <xdr:nvSpPr>
        <xdr:cNvPr id="378" name="TextBox 377">
          <a:extLst>
            <a:ext uri="{FF2B5EF4-FFF2-40B4-BE49-F238E27FC236}">
              <a16:creationId xmlns:a16="http://schemas.microsoft.com/office/drawing/2014/main" id="{ACD254F2-3D7D-4075-AA0B-6F2CF5946A61}"/>
            </a:ext>
          </a:extLst>
        </xdr:cNvPr>
        <xdr:cNvSpPr txBox="1"/>
      </xdr:nvSpPr>
      <xdr:spPr>
        <a:xfrm>
          <a:off x="197036" y="42414825"/>
          <a:ext cx="703241" cy="3678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lnSpc>
              <a:spcPts val="1000"/>
            </a:lnSpc>
          </a:pPr>
          <a:r>
            <a:rPr lang="en-US" sz="1200"/>
            <a:t>Column Width</a:t>
          </a:r>
        </a:p>
      </xdr:txBody>
    </xdr:sp>
    <xdr:clientData/>
  </xdr:twoCellAnchor>
  <xdr:twoCellAnchor>
    <xdr:from>
      <xdr:col>0</xdr:col>
      <xdr:colOff>165435</xdr:colOff>
      <xdr:row>192</xdr:row>
      <xdr:rowOff>83892</xdr:rowOff>
    </xdr:from>
    <xdr:to>
      <xdr:col>0</xdr:col>
      <xdr:colOff>170448</xdr:colOff>
      <xdr:row>194</xdr:row>
      <xdr:rowOff>12503</xdr:rowOff>
    </xdr:to>
    <xdr:cxnSp macro="">
      <xdr:nvCxnSpPr>
        <xdr:cNvPr id="387" name="Straight Connector 386">
          <a:extLst>
            <a:ext uri="{FF2B5EF4-FFF2-40B4-BE49-F238E27FC236}">
              <a16:creationId xmlns:a16="http://schemas.microsoft.com/office/drawing/2014/main" id="{EF8D2545-2B64-4961-9FC3-B8C2A8CB2073}"/>
            </a:ext>
          </a:extLst>
        </xdr:cNvPr>
        <xdr:cNvCxnSpPr/>
      </xdr:nvCxnSpPr>
      <xdr:spPr>
        <a:xfrm rot="5400000">
          <a:off x="12534" y="27726431"/>
          <a:ext cx="310816" cy="5013"/>
        </a:xfrm>
        <a:prstGeom prst="line">
          <a:avLst/>
        </a:prstGeom>
        <a:ln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137362</xdr:colOff>
      <xdr:row>192</xdr:row>
      <xdr:rowOff>77209</xdr:rowOff>
    </xdr:from>
    <xdr:to>
      <xdr:col>3</xdr:col>
      <xdr:colOff>142375</xdr:colOff>
      <xdr:row>194</xdr:row>
      <xdr:rowOff>814</xdr:rowOff>
    </xdr:to>
    <xdr:cxnSp macro="">
      <xdr:nvCxnSpPr>
        <xdr:cNvPr id="388" name="Straight Connector 387">
          <a:extLst>
            <a:ext uri="{FF2B5EF4-FFF2-40B4-BE49-F238E27FC236}">
              <a16:creationId xmlns:a16="http://schemas.microsoft.com/office/drawing/2014/main" id="{0C4AFC17-CA98-43B6-B641-C220D367946E}"/>
            </a:ext>
          </a:extLst>
        </xdr:cNvPr>
        <xdr:cNvCxnSpPr/>
      </xdr:nvCxnSpPr>
      <xdr:spPr>
        <a:xfrm rot="5400000">
          <a:off x="1918769" y="27713398"/>
          <a:ext cx="310816" cy="5013"/>
        </a:xfrm>
        <a:prstGeom prst="line">
          <a:avLst/>
        </a:prstGeom>
        <a:ln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443020</xdr:colOff>
      <xdr:row>192</xdr:row>
      <xdr:rowOff>90369</xdr:rowOff>
    </xdr:from>
    <xdr:to>
      <xdr:col>1</xdr:col>
      <xdr:colOff>448033</xdr:colOff>
      <xdr:row>194</xdr:row>
      <xdr:rowOff>13974</xdr:rowOff>
    </xdr:to>
    <xdr:cxnSp macro="">
      <xdr:nvCxnSpPr>
        <xdr:cNvPr id="395" name="Straight Connector 394">
          <a:extLst>
            <a:ext uri="{FF2B5EF4-FFF2-40B4-BE49-F238E27FC236}">
              <a16:creationId xmlns:a16="http://schemas.microsoft.com/office/drawing/2014/main" id="{4FD75FB6-E63B-457C-857F-4AA925DF55AB}"/>
            </a:ext>
          </a:extLst>
        </xdr:cNvPr>
        <xdr:cNvCxnSpPr/>
      </xdr:nvCxnSpPr>
      <xdr:spPr>
        <a:xfrm rot="5400000">
          <a:off x="937819" y="36734361"/>
          <a:ext cx="310816" cy="5013"/>
        </a:xfrm>
        <a:prstGeom prst="line">
          <a:avLst/>
        </a:prstGeom>
        <a:ln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128950</xdr:colOff>
      <xdr:row>193</xdr:row>
      <xdr:rowOff>36766</xdr:rowOff>
    </xdr:from>
    <xdr:to>
      <xdr:col>2</xdr:col>
      <xdr:colOff>461336</xdr:colOff>
      <xdr:row>194</xdr:row>
      <xdr:rowOff>106616</xdr:rowOff>
    </xdr:to>
    <xdr:sp macro="" textlink="">
      <xdr:nvSpPr>
        <xdr:cNvPr id="396" name="TextBox 395">
          <a:extLst>
            <a:ext uri="{FF2B5EF4-FFF2-40B4-BE49-F238E27FC236}">
              <a16:creationId xmlns:a16="http://schemas.microsoft.com/office/drawing/2014/main" id="{364D9FC3-4995-40F5-9341-850CB659605E}"/>
            </a:ext>
          </a:extLst>
        </xdr:cNvPr>
        <xdr:cNvSpPr txBox="1"/>
      </xdr:nvSpPr>
      <xdr:spPr>
        <a:xfrm>
          <a:off x="1424350" y="36710737"/>
          <a:ext cx="332386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/>
            <a:t>L</a:t>
          </a:r>
          <a:r>
            <a:rPr lang="en-US" sz="800"/>
            <a:t>2</a:t>
          </a:r>
        </a:p>
      </xdr:txBody>
    </xdr:sp>
    <xdr:clientData/>
  </xdr:twoCellAnchor>
  <xdr:twoCellAnchor>
    <xdr:from>
      <xdr:col>1</xdr:col>
      <xdr:colOff>444635</xdr:colOff>
      <xdr:row>192</xdr:row>
      <xdr:rowOff>182815</xdr:rowOff>
    </xdr:from>
    <xdr:to>
      <xdr:col>3</xdr:col>
      <xdr:colOff>130629</xdr:colOff>
      <xdr:row>193</xdr:row>
      <xdr:rowOff>2054</xdr:rowOff>
    </xdr:to>
    <xdr:cxnSp macro="">
      <xdr:nvCxnSpPr>
        <xdr:cNvPr id="397" name="Straight Arrow Connector 396">
          <a:extLst>
            <a:ext uri="{FF2B5EF4-FFF2-40B4-BE49-F238E27FC236}">
              <a16:creationId xmlns:a16="http://schemas.microsoft.com/office/drawing/2014/main" id="{65C1C890-9F77-4586-925F-2D41F0E75C7C}"/>
            </a:ext>
          </a:extLst>
        </xdr:cNvPr>
        <xdr:cNvCxnSpPr/>
      </xdr:nvCxnSpPr>
      <xdr:spPr>
        <a:xfrm>
          <a:off x="1092335" y="36672636"/>
          <a:ext cx="981394" cy="6778"/>
        </a:xfrm>
        <a:prstGeom prst="straightConnector1">
          <a:avLst/>
        </a:prstGeom>
        <a:ln>
          <a:solidFill>
            <a:sysClr val="windowText" lastClr="00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259080</xdr:colOff>
      <xdr:row>204</xdr:row>
      <xdr:rowOff>7620</xdr:rowOff>
    </xdr:from>
    <xdr:to>
      <xdr:col>8</xdr:col>
      <xdr:colOff>342900</xdr:colOff>
      <xdr:row>217</xdr:row>
      <xdr:rowOff>137160</xdr:rowOff>
    </xdr:to>
    <xdr:grpSp>
      <xdr:nvGrpSpPr>
        <xdr:cNvPr id="24223" name="Group 423">
          <a:extLst>
            <a:ext uri="{FF2B5EF4-FFF2-40B4-BE49-F238E27FC236}">
              <a16:creationId xmlns:a16="http://schemas.microsoft.com/office/drawing/2014/main" id="{A2B8C87F-3668-459A-B53B-05D704346E3D}"/>
            </a:ext>
          </a:extLst>
        </xdr:cNvPr>
        <xdr:cNvGrpSpPr>
          <a:grpSpLocks/>
        </xdr:cNvGrpSpPr>
      </xdr:nvGrpSpPr>
      <xdr:grpSpPr bwMode="auto">
        <a:xfrm>
          <a:off x="259080" y="38526720"/>
          <a:ext cx="5295900" cy="2506980"/>
          <a:chOff x="248478" y="39190676"/>
          <a:chExt cx="5278626" cy="2797088"/>
        </a:xfrm>
      </xdr:grpSpPr>
      <xdr:sp macro="" textlink="">
        <xdr:nvSpPr>
          <xdr:cNvPr id="399" name="Freeform 398">
            <a:extLst>
              <a:ext uri="{FF2B5EF4-FFF2-40B4-BE49-F238E27FC236}">
                <a16:creationId xmlns:a16="http://schemas.microsoft.com/office/drawing/2014/main" id="{163115B3-51A4-4315-8CC6-B05E5AE118D0}"/>
              </a:ext>
            </a:extLst>
          </xdr:cNvPr>
          <xdr:cNvSpPr/>
        </xdr:nvSpPr>
        <xdr:spPr>
          <a:xfrm>
            <a:off x="2716614" y="40321414"/>
            <a:ext cx="533436" cy="1666350"/>
          </a:xfrm>
          <a:custGeom>
            <a:avLst/>
            <a:gdLst>
              <a:gd name="connsiteX0" fmla="*/ 0 w 513522"/>
              <a:gd name="connsiteY0" fmla="*/ 16565 h 1664804"/>
              <a:gd name="connsiteX1" fmla="*/ 8283 w 513522"/>
              <a:gd name="connsiteY1" fmla="*/ 1664804 h 1664804"/>
              <a:gd name="connsiteX2" fmla="*/ 207065 w 513522"/>
              <a:gd name="connsiteY2" fmla="*/ 1557130 h 1664804"/>
              <a:gd name="connsiteX3" fmla="*/ 438978 w 513522"/>
              <a:gd name="connsiteY3" fmla="*/ 1581978 h 1664804"/>
              <a:gd name="connsiteX4" fmla="*/ 513522 w 513522"/>
              <a:gd name="connsiteY4" fmla="*/ 1482587 h 1664804"/>
              <a:gd name="connsiteX5" fmla="*/ 513522 w 513522"/>
              <a:gd name="connsiteY5" fmla="*/ 0 h 1664804"/>
              <a:gd name="connsiteX6" fmla="*/ 0 w 513522"/>
              <a:gd name="connsiteY6" fmla="*/ 16565 h 166480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</a:cxnLst>
            <a:rect l="l" t="t" r="r" b="b"/>
            <a:pathLst>
              <a:path w="513522" h="1664804">
                <a:moveTo>
                  <a:pt x="0" y="16565"/>
                </a:moveTo>
                <a:lnTo>
                  <a:pt x="8283" y="1664804"/>
                </a:lnTo>
                <a:lnTo>
                  <a:pt x="207065" y="1557130"/>
                </a:lnTo>
                <a:lnTo>
                  <a:pt x="438978" y="1581978"/>
                </a:lnTo>
                <a:lnTo>
                  <a:pt x="513522" y="1482587"/>
                </a:lnTo>
                <a:lnTo>
                  <a:pt x="513522" y="0"/>
                </a:lnTo>
                <a:lnTo>
                  <a:pt x="0" y="16565"/>
                </a:lnTo>
                <a:close/>
              </a:path>
            </a:pathLst>
          </a:custGeom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en-US"/>
          </a:p>
        </xdr:txBody>
      </xdr:sp>
      <xdr:sp macro="" textlink="">
        <xdr:nvSpPr>
          <xdr:cNvPr id="314" name="Freeform 313">
            <a:extLst>
              <a:ext uri="{FF2B5EF4-FFF2-40B4-BE49-F238E27FC236}">
                <a16:creationId xmlns:a16="http://schemas.microsoft.com/office/drawing/2014/main" id="{47E539E5-3492-4991-958C-81978DDD5AD5}"/>
              </a:ext>
            </a:extLst>
          </xdr:cNvPr>
          <xdr:cNvSpPr/>
        </xdr:nvSpPr>
        <xdr:spPr>
          <a:xfrm>
            <a:off x="4993668" y="40261901"/>
            <a:ext cx="533436" cy="1666350"/>
          </a:xfrm>
          <a:custGeom>
            <a:avLst/>
            <a:gdLst>
              <a:gd name="connsiteX0" fmla="*/ 0 w 513522"/>
              <a:gd name="connsiteY0" fmla="*/ 16565 h 1664804"/>
              <a:gd name="connsiteX1" fmla="*/ 8283 w 513522"/>
              <a:gd name="connsiteY1" fmla="*/ 1664804 h 1664804"/>
              <a:gd name="connsiteX2" fmla="*/ 207065 w 513522"/>
              <a:gd name="connsiteY2" fmla="*/ 1557130 h 1664804"/>
              <a:gd name="connsiteX3" fmla="*/ 438978 w 513522"/>
              <a:gd name="connsiteY3" fmla="*/ 1581978 h 1664804"/>
              <a:gd name="connsiteX4" fmla="*/ 513522 w 513522"/>
              <a:gd name="connsiteY4" fmla="*/ 1482587 h 1664804"/>
              <a:gd name="connsiteX5" fmla="*/ 513522 w 513522"/>
              <a:gd name="connsiteY5" fmla="*/ 0 h 1664804"/>
              <a:gd name="connsiteX6" fmla="*/ 0 w 513522"/>
              <a:gd name="connsiteY6" fmla="*/ 16565 h 166480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</a:cxnLst>
            <a:rect l="l" t="t" r="r" b="b"/>
            <a:pathLst>
              <a:path w="513522" h="1664804">
                <a:moveTo>
                  <a:pt x="0" y="16565"/>
                </a:moveTo>
                <a:lnTo>
                  <a:pt x="8283" y="1664804"/>
                </a:lnTo>
                <a:lnTo>
                  <a:pt x="207065" y="1557130"/>
                </a:lnTo>
                <a:lnTo>
                  <a:pt x="438978" y="1581978"/>
                </a:lnTo>
                <a:lnTo>
                  <a:pt x="513522" y="1482587"/>
                </a:lnTo>
                <a:lnTo>
                  <a:pt x="513522" y="0"/>
                </a:lnTo>
                <a:lnTo>
                  <a:pt x="0" y="16565"/>
                </a:lnTo>
                <a:close/>
              </a:path>
            </a:pathLst>
          </a:custGeom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en-US"/>
          </a:p>
        </xdr:txBody>
      </xdr:sp>
      <xdr:sp macro="" textlink="">
        <xdr:nvSpPr>
          <xdr:cNvPr id="315" name="Freeform 314">
            <a:extLst>
              <a:ext uri="{FF2B5EF4-FFF2-40B4-BE49-F238E27FC236}">
                <a16:creationId xmlns:a16="http://schemas.microsoft.com/office/drawing/2014/main" id="{A38FFE51-7EB2-461E-A834-38BE0692450E}"/>
              </a:ext>
            </a:extLst>
          </xdr:cNvPr>
          <xdr:cNvSpPr/>
        </xdr:nvSpPr>
        <xdr:spPr>
          <a:xfrm>
            <a:off x="248478" y="40210890"/>
            <a:ext cx="517512" cy="1666350"/>
          </a:xfrm>
          <a:custGeom>
            <a:avLst/>
            <a:gdLst>
              <a:gd name="connsiteX0" fmla="*/ 0 w 513522"/>
              <a:gd name="connsiteY0" fmla="*/ 16565 h 1664804"/>
              <a:gd name="connsiteX1" fmla="*/ 8283 w 513522"/>
              <a:gd name="connsiteY1" fmla="*/ 1664804 h 1664804"/>
              <a:gd name="connsiteX2" fmla="*/ 207065 w 513522"/>
              <a:gd name="connsiteY2" fmla="*/ 1557130 h 1664804"/>
              <a:gd name="connsiteX3" fmla="*/ 438978 w 513522"/>
              <a:gd name="connsiteY3" fmla="*/ 1581978 h 1664804"/>
              <a:gd name="connsiteX4" fmla="*/ 513522 w 513522"/>
              <a:gd name="connsiteY4" fmla="*/ 1482587 h 1664804"/>
              <a:gd name="connsiteX5" fmla="*/ 513522 w 513522"/>
              <a:gd name="connsiteY5" fmla="*/ 0 h 1664804"/>
              <a:gd name="connsiteX6" fmla="*/ 0 w 513522"/>
              <a:gd name="connsiteY6" fmla="*/ 16565 h 166480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</a:cxnLst>
            <a:rect l="l" t="t" r="r" b="b"/>
            <a:pathLst>
              <a:path w="513522" h="1664804">
                <a:moveTo>
                  <a:pt x="0" y="16565"/>
                </a:moveTo>
                <a:lnTo>
                  <a:pt x="8283" y="1664804"/>
                </a:lnTo>
                <a:lnTo>
                  <a:pt x="207065" y="1557130"/>
                </a:lnTo>
                <a:lnTo>
                  <a:pt x="438978" y="1581978"/>
                </a:lnTo>
                <a:lnTo>
                  <a:pt x="513522" y="1482587"/>
                </a:lnTo>
                <a:lnTo>
                  <a:pt x="513522" y="0"/>
                </a:lnTo>
                <a:lnTo>
                  <a:pt x="0" y="16565"/>
                </a:lnTo>
                <a:close/>
              </a:path>
            </a:pathLst>
          </a:custGeom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en-US"/>
          </a:p>
        </xdr:txBody>
      </xdr:sp>
      <xdr:sp macro="" textlink="">
        <xdr:nvSpPr>
          <xdr:cNvPr id="336" name="Rectangle 335">
            <a:extLst>
              <a:ext uri="{FF2B5EF4-FFF2-40B4-BE49-F238E27FC236}">
                <a16:creationId xmlns:a16="http://schemas.microsoft.com/office/drawing/2014/main" id="{514CAA74-6B66-4EEA-A1B7-1C2FDCFA5E71}"/>
              </a:ext>
            </a:extLst>
          </xdr:cNvPr>
          <xdr:cNvSpPr/>
        </xdr:nvSpPr>
        <xdr:spPr>
          <a:xfrm>
            <a:off x="248478" y="39904826"/>
            <a:ext cx="5278626" cy="510107"/>
          </a:xfrm>
          <a:prstGeom prst="rect">
            <a:avLst/>
          </a:prstGeom>
          <a:solidFill>
            <a:schemeClr val="bg2"/>
          </a:solidFill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en-PH"/>
          </a:p>
        </xdr:txBody>
      </xdr:sp>
      <xdr:cxnSp macro="">
        <xdr:nvCxnSpPr>
          <xdr:cNvPr id="337" name="Straight Connector 336">
            <a:extLst>
              <a:ext uri="{FF2B5EF4-FFF2-40B4-BE49-F238E27FC236}">
                <a16:creationId xmlns:a16="http://schemas.microsoft.com/office/drawing/2014/main" id="{98DCC23C-3AB0-42FB-BC9A-BBE62D3D65FA}"/>
              </a:ext>
            </a:extLst>
          </xdr:cNvPr>
          <xdr:cNvCxnSpPr/>
        </xdr:nvCxnSpPr>
        <xdr:spPr>
          <a:xfrm rot="16200000" flipV="1">
            <a:off x="249419" y="40091865"/>
            <a:ext cx="221046" cy="0"/>
          </a:xfrm>
          <a:prstGeom prst="line">
            <a:avLst/>
          </a:prstGeom>
          <a:ln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38" name="Straight Connector 337">
            <a:extLst>
              <a:ext uri="{FF2B5EF4-FFF2-40B4-BE49-F238E27FC236}">
                <a16:creationId xmlns:a16="http://schemas.microsoft.com/office/drawing/2014/main" id="{D06AC5E7-9C6F-45D5-94B7-B53E40D9C6EF}"/>
              </a:ext>
            </a:extLst>
          </xdr:cNvPr>
          <xdr:cNvCxnSpPr/>
        </xdr:nvCxnSpPr>
        <xdr:spPr>
          <a:xfrm flipV="1">
            <a:off x="344019" y="39981342"/>
            <a:ext cx="5047736" cy="17004"/>
          </a:xfrm>
          <a:prstGeom prst="line">
            <a:avLst/>
          </a:prstGeom>
          <a:ln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39" name="Straight Connector 338">
            <a:extLst>
              <a:ext uri="{FF2B5EF4-FFF2-40B4-BE49-F238E27FC236}">
                <a16:creationId xmlns:a16="http://schemas.microsoft.com/office/drawing/2014/main" id="{9E55AB9A-18E4-4C95-A988-1E69F0095072}"/>
              </a:ext>
            </a:extLst>
          </xdr:cNvPr>
          <xdr:cNvCxnSpPr/>
        </xdr:nvCxnSpPr>
        <xdr:spPr>
          <a:xfrm rot="16200000" flipV="1">
            <a:off x="145847" y="40138625"/>
            <a:ext cx="348573" cy="0"/>
          </a:xfrm>
          <a:prstGeom prst="line">
            <a:avLst/>
          </a:prstGeom>
          <a:ln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40" name="Straight Connector 339">
            <a:extLst>
              <a:ext uri="{FF2B5EF4-FFF2-40B4-BE49-F238E27FC236}">
                <a16:creationId xmlns:a16="http://schemas.microsoft.com/office/drawing/2014/main" id="{11A37306-0DFA-4A19-9778-7440EDDFC0AF}"/>
              </a:ext>
            </a:extLst>
          </xdr:cNvPr>
          <xdr:cNvCxnSpPr/>
        </xdr:nvCxnSpPr>
        <xdr:spPr>
          <a:xfrm>
            <a:off x="304210" y="39955837"/>
            <a:ext cx="891714" cy="0"/>
          </a:xfrm>
          <a:prstGeom prst="line">
            <a:avLst/>
          </a:prstGeom>
          <a:ln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42" name="Straight Connector 341">
            <a:extLst>
              <a:ext uri="{FF2B5EF4-FFF2-40B4-BE49-F238E27FC236}">
                <a16:creationId xmlns:a16="http://schemas.microsoft.com/office/drawing/2014/main" id="{9BC816D2-B622-428F-88E3-D0489553C074}"/>
              </a:ext>
            </a:extLst>
          </xdr:cNvPr>
          <xdr:cNvCxnSpPr/>
        </xdr:nvCxnSpPr>
        <xdr:spPr>
          <a:xfrm rot="16200000" flipV="1">
            <a:off x="5264698" y="40121622"/>
            <a:ext cx="365577" cy="0"/>
          </a:xfrm>
          <a:prstGeom prst="line">
            <a:avLst/>
          </a:prstGeom>
          <a:ln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43" name="Straight Connector 342">
            <a:extLst>
              <a:ext uri="{FF2B5EF4-FFF2-40B4-BE49-F238E27FC236}">
                <a16:creationId xmlns:a16="http://schemas.microsoft.com/office/drawing/2014/main" id="{252F5882-EBFC-49A1-A042-77FB8F80BDDE}"/>
              </a:ext>
            </a:extLst>
          </xdr:cNvPr>
          <xdr:cNvCxnSpPr/>
        </xdr:nvCxnSpPr>
        <xdr:spPr>
          <a:xfrm rot="16200000" flipV="1">
            <a:off x="5289733" y="40083364"/>
            <a:ext cx="204043" cy="0"/>
          </a:xfrm>
          <a:prstGeom prst="line">
            <a:avLst/>
          </a:prstGeom>
          <a:ln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44" name="Straight Connector 343">
            <a:extLst>
              <a:ext uri="{FF2B5EF4-FFF2-40B4-BE49-F238E27FC236}">
                <a16:creationId xmlns:a16="http://schemas.microsoft.com/office/drawing/2014/main" id="{44FEF763-DE3E-4851-A722-9B672D737E9F}"/>
              </a:ext>
            </a:extLst>
          </xdr:cNvPr>
          <xdr:cNvCxnSpPr/>
        </xdr:nvCxnSpPr>
        <xdr:spPr>
          <a:xfrm rot="5400000" flipH="1" flipV="1">
            <a:off x="242468" y="40181134"/>
            <a:ext cx="314566" cy="0"/>
          </a:xfrm>
          <a:prstGeom prst="line">
            <a:avLst/>
          </a:prstGeom>
          <a:ln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45" name="Straight Connector 344">
            <a:extLst>
              <a:ext uri="{FF2B5EF4-FFF2-40B4-BE49-F238E27FC236}">
                <a16:creationId xmlns:a16="http://schemas.microsoft.com/office/drawing/2014/main" id="{1D85FF66-6655-45B5-8869-F5ED469FF189}"/>
              </a:ext>
            </a:extLst>
          </xdr:cNvPr>
          <xdr:cNvCxnSpPr/>
        </xdr:nvCxnSpPr>
        <xdr:spPr>
          <a:xfrm flipV="1">
            <a:off x="399751" y="40321414"/>
            <a:ext cx="4952195" cy="17004"/>
          </a:xfrm>
          <a:prstGeom prst="line">
            <a:avLst/>
          </a:prstGeom>
          <a:ln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46" name="Straight Connector 345">
            <a:extLst>
              <a:ext uri="{FF2B5EF4-FFF2-40B4-BE49-F238E27FC236}">
                <a16:creationId xmlns:a16="http://schemas.microsoft.com/office/drawing/2014/main" id="{5C1581EA-E43D-4290-88DA-5169C3D7BF0F}"/>
              </a:ext>
            </a:extLst>
          </xdr:cNvPr>
          <xdr:cNvCxnSpPr/>
        </xdr:nvCxnSpPr>
        <xdr:spPr>
          <a:xfrm rot="16200000" flipV="1">
            <a:off x="5215917" y="40185385"/>
            <a:ext cx="272057" cy="0"/>
          </a:xfrm>
          <a:prstGeom prst="line">
            <a:avLst/>
          </a:prstGeom>
          <a:ln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47" name="Straight Connector 346">
            <a:extLst>
              <a:ext uri="{FF2B5EF4-FFF2-40B4-BE49-F238E27FC236}">
                <a16:creationId xmlns:a16="http://schemas.microsoft.com/office/drawing/2014/main" id="{C3526FBA-22E1-4EA5-BB30-182104F9F9B0}"/>
              </a:ext>
            </a:extLst>
          </xdr:cNvPr>
          <xdr:cNvCxnSpPr/>
        </xdr:nvCxnSpPr>
        <xdr:spPr>
          <a:xfrm rot="16200000" flipH="1">
            <a:off x="1196934" y="39954826"/>
            <a:ext cx="93520" cy="95541"/>
          </a:xfrm>
          <a:prstGeom prst="line">
            <a:avLst/>
          </a:prstGeom>
          <a:ln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48" name="Straight Connector 347">
            <a:extLst>
              <a:ext uri="{FF2B5EF4-FFF2-40B4-BE49-F238E27FC236}">
                <a16:creationId xmlns:a16="http://schemas.microsoft.com/office/drawing/2014/main" id="{9BD0FD86-4BD2-4DC1-8303-C8C2F36B6CF1}"/>
              </a:ext>
            </a:extLst>
          </xdr:cNvPr>
          <xdr:cNvCxnSpPr/>
        </xdr:nvCxnSpPr>
        <xdr:spPr>
          <a:xfrm rot="5400000">
            <a:off x="4480877" y="39942074"/>
            <a:ext cx="102021" cy="95541"/>
          </a:xfrm>
          <a:prstGeom prst="line">
            <a:avLst/>
          </a:prstGeom>
          <a:ln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49" name="Straight Connector 348">
            <a:extLst>
              <a:ext uri="{FF2B5EF4-FFF2-40B4-BE49-F238E27FC236}">
                <a16:creationId xmlns:a16="http://schemas.microsoft.com/office/drawing/2014/main" id="{2A772342-2DDF-4FAB-A978-C6F9B62CAA8D}"/>
              </a:ext>
            </a:extLst>
          </xdr:cNvPr>
          <xdr:cNvCxnSpPr/>
        </xdr:nvCxnSpPr>
        <xdr:spPr>
          <a:xfrm rot="16200000" flipH="1">
            <a:off x="1013814" y="40209880"/>
            <a:ext cx="93520" cy="95541"/>
          </a:xfrm>
          <a:prstGeom prst="line">
            <a:avLst/>
          </a:prstGeom>
          <a:ln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50" name="Straight Connector 349">
            <a:extLst>
              <a:ext uri="{FF2B5EF4-FFF2-40B4-BE49-F238E27FC236}">
                <a16:creationId xmlns:a16="http://schemas.microsoft.com/office/drawing/2014/main" id="{008EBA51-8687-4651-9308-E4C080207C9A}"/>
              </a:ext>
            </a:extLst>
          </xdr:cNvPr>
          <xdr:cNvCxnSpPr/>
        </xdr:nvCxnSpPr>
        <xdr:spPr>
          <a:xfrm flipV="1">
            <a:off x="1092421" y="40304410"/>
            <a:ext cx="1226106" cy="0"/>
          </a:xfrm>
          <a:prstGeom prst="line">
            <a:avLst/>
          </a:prstGeom>
          <a:ln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51" name="Straight Connector 350">
            <a:extLst>
              <a:ext uri="{FF2B5EF4-FFF2-40B4-BE49-F238E27FC236}">
                <a16:creationId xmlns:a16="http://schemas.microsoft.com/office/drawing/2014/main" id="{B2B57115-387A-4930-B7C7-F22174700980}"/>
              </a:ext>
            </a:extLst>
          </xdr:cNvPr>
          <xdr:cNvCxnSpPr/>
        </xdr:nvCxnSpPr>
        <xdr:spPr>
          <a:xfrm rot="5400000">
            <a:off x="2307595" y="40213861"/>
            <a:ext cx="93520" cy="87579"/>
          </a:xfrm>
          <a:prstGeom prst="line">
            <a:avLst/>
          </a:prstGeom>
          <a:ln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53" name="Straight Connector 352">
            <a:extLst>
              <a:ext uri="{FF2B5EF4-FFF2-40B4-BE49-F238E27FC236}">
                <a16:creationId xmlns:a16="http://schemas.microsoft.com/office/drawing/2014/main" id="{B2ECC0A8-051F-4916-BA7A-0744872005D1}"/>
              </a:ext>
            </a:extLst>
          </xdr:cNvPr>
          <xdr:cNvCxnSpPr/>
        </xdr:nvCxnSpPr>
        <xdr:spPr>
          <a:xfrm flipV="1">
            <a:off x="367904" y="40151378"/>
            <a:ext cx="5023851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54" name="Straight Connector 353">
            <a:extLst>
              <a:ext uri="{FF2B5EF4-FFF2-40B4-BE49-F238E27FC236}">
                <a16:creationId xmlns:a16="http://schemas.microsoft.com/office/drawing/2014/main" id="{CB6BB121-3403-4AB2-BA71-FBF0B8066777}"/>
              </a:ext>
            </a:extLst>
          </xdr:cNvPr>
          <xdr:cNvCxnSpPr/>
        </xdr:nvCxnSpPr>
        <xdr:spPr>
          <a:xfrm rot="5400000">
            <a:off x="2663304" y="40151378"/>
            <a:ext cx="425089" cy="0"/>
          </a:xfrm>
          <a:prstGeom prst="line">
            <a:avLst/>
          </a:prstGeom>
          <a:ln>
            <a:solidFill>
              <a:srgbClr val="7030A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55" name="Straight Connector 354">
            <a:extLst>
              <a:ext uri="{FF2B5EF4-FFF2-40B4-BE49-F238E27FC236}">
                <a16:creationId xmlns:a16="http://schemas.microsoft.com/office/drawing/2014/main" id="{58B6B173-9F87-4ED0-B193-B17BF0F4DE0F}"/>
              </a:ext>
            </a:extLst>
          </xdr:cNvPr>
          <xdr:cNvCxnSpPr/>
        </xdr:nvCxnSpPr>
        <xdr:spPr>
          <a:xfrm rot="5400000">
            <a:off x="497714" y="40143416"/>
            <a:ext cx="425089" cy="15923"/>
          </a:xfrm>
          <a:prstGeom prst="line">
            <a:avLst/>
          </a:prstGeom>
          <a:ln>
            <a:solidFill>
              <a:srgbClr val="7030A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56" name="Straight Connector 355">
            <a:extLst>
              <a:ext uri="{FF2B5EF4-FFF2-40B4-BE49-F238E27FC236}">
                <a16:creationId xmlns:a16="http://schemas.microsoft.com/office/drawing/2014/main" id="{16388FA4-FA0C-4FD7-8972-61F3EFB9EBED}"/>
              </a:ext>
            </a:extLst>
          </xdr:cNvPr>
          <xdr:cNvCxnSpPr/>
        </xdr:nvCxnSpPr>
        <xdr:spPr>
          <a:xfrm rot="5400000">
            <a:off x="1588470" y="40151378"/>
            <a:ext cx="425089" cy="0"/>
          </a:xfrm>
          <a:prstGeom prst="line">
            <a:avLst/>
          </a:prstGeom>
          <a:ln>
            <a:solidFill>
              <a:srgbClr val="7030A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57" name="Straight Connector 356">
            <a:extLst>
              <a:ext uri="{FF2B5EF4-FFF2-40B4-BE49-F238E27FC236}">
                <a16:creationId xmlns:a16="http://schemas.microsoft.com/office/drawing/2014/main" id="{210FB1B6-19F3-45D9-A846-7B058155FAA8}"/>
              </a:ext>
            </a:extLst>
          </xdr:cNvPr>
          <xdr:cNvCxnSpPr/>
        </xdr:nvCxnSpPr>
        <xdr:spPr>
          <a:xfrm rot="5400000">
            <a:off x="1039111" y="40151378"/>
            <a:ext cx="425089" cy="0"/>
          </a:xfrm>
          <a:prstGeom prst="line">
            <a:avLst/>
          </a:prstGeom>
          <a:ln>
            <a:solidFill>
              <a:srgbClr val="7030A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58" name="Straight Connector 357">
            <a:extLst>
              <a:ext uri="{FF2B5EF4-FFF2-40B4-BE49-F238E27FC236}">
                <a16:creationId xmlns:a16="http://schemas.microsoft.com/office/drawing/2014/main" id="{F6629B9B-C303-4A9A-B792-EEFDB921D3C4}"/>
              </a:ext>
            </a:extLst>
          </xdr:cNvPr>
          <xdr:cNvCxnSpPr/>
        </xdr:nvCxnSpPr>
        <xdr:spPr>
          <a:xfrm rot="5400000">
            <a:off x="2121906" y="40151378"/>
            <a:ext cx="425089" cy="0"/>
          </a:xfrm>
          <a:prstGeom prst="line">
            <a:avLst/>
          </a:prstGeom>
          <a:ln>
            <a:solidFill>
              <a:srgbClr val="7030A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59" name="Straight Connector 358">
            <a:extLst>
              <a:ext uri="{FF2B5EF4-FFF2-40B4-BE49-F238E27FC236}">
                <a16:creationId xmlns:a16="http://schemas.microsoft.com/office/drawing/2014/main" id="{E646B1AF-CB6D-4BAC-8D27-05093614BBD1}"/>
              </a:ext>
            </a:extLst>
          </xdr:cNvPr>
          <xdr:cNvCxnSpPr/>
        </xdr:nvCxnSpPr>
        <xdr:spPr>
          <a:xfrm rot="5400000">
            <a:off x="4836856" y="40151378"/>
            <a:ext cx="425089" cy="0"/>
          </a:xfrm>
          <a:prstGeom prst="line">
            <a:avLst/>
          </a:prstGeom>
          <a:ln>
            <a:solidFill>
              <a:srgbClr val="7030A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60" name="Straight Connector 359">
            <a:extLst>
              <a:ext uri="{FF2B5EF4-FFF2-40B4-BE49-F238E27FC236}">
                <a16:creationId xmlns:a16="http://schemas.microsoft.com/office/drawing/2014/main" id="{6E5B6F2E-5C63-4273-B9E2-11356F2C0163}"/>
              </a:ext>
            </a:extLst>
          </xdr:cNvPr>
          <xdr:cNvCxnSpPr/>
        </xdr:nvCxnSpPr>
        <xdr:spPr>
          <a:xfrm rot="5400000">
            <a:off x="3746099" y="40151378"/>
            <a:ext cx="425089" cy="0"/>
          </a:xfrm>
          <a:prstGeom prst="line">
            <a:avLst/>
          </a:prstGeom>
          <a:ln>
            <a:solidFill>
              <a:srgbClr val="7030A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61" name="Straight Connector 360">
            <a:extLst>
              <a:ext uri="{FF2B5EF4-FFF2-40B4-BE49-F238E27FC236}">
                <a16:creationId xmlns:a16="http://schemas.microsoft.com/office/drawing/2014/main" id="{876A66BF-37F8-419F-9904-EB61DDC588CA}"/>
              </a:ext>
            </a:extLst>
          </xdr:cNvPr>
          <xdr:cNvCxnSpPr/>
        </xdr:nvCxnSpPr>
        <xdr:spPr>
          <a:xfrm rot="5400000">
            <a:off x="3204701" y="40151378"/>
            <a:ext cx="425089" cy="0"/>
          </a:xfrm>
          <a:prstGeom prst="line">
            <a:avLst/>
          </a:prstGeom>
          <a:ln>
            <a:solidFill>
              <a:srgbClr val="7030A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62" name="Straight Connector 361">
            <a:extLst>
              <a:ext uri="{FF2B5EF4-FFF2-40B4-BE49-F238E27FC236}">
                <a16:creationId xmlns:a16="http://schemas.microsoft.com/office/drawing/2014/main" id="{7212D681-4306-48E2-A0C6-59DDFA24EDCA}"/>
              </a:ext>
            </a:extLst>
          </xdr:cNvPr>
          <xdr:cNvCxnSpPr/>
        </xdr:nvCxnSpPr>
        <xdr:spPr>
          <a:xfrm rot="5400000">
            <a:off x="4295458" y="40151378"/>
            <a:ext cx="425089" cy="0"/>
          </a:xfrm>
          <a:prstGeom prst="line">
            <a:avLst/>
          </a:prstGeom>
          <a:ln>
            <a:solidFill>
              <a:srgbClr val="7030A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63" name="Straight Connector 362">
            <a:extLst>
              <a:ext uri="{FF2B5EF4-FFF2-40B4-BE49-F238E27FC236}">
                <a16:creationId xmlns:a16="http://schemas.microsoft.com/office/drawing/2014/main" id="{6A330A82-342D-48B3-9FC8-BAE3282DE5BE}"/>
              </a:ext>
            </a:extLst>
          </xdr:cNvPr>
          <xdr:cNvCxnSpPr/>
        </xdr:nvCxnSpPr>
        <xdr:spPr>
          <a:xfrm rot="5400000">
            <a:off x="776374" y="40151378"/>
            <a:ext cx="425089" cy="0"/>
          </a:xfrm>
          <a:prstGeom prst="line">
            <a:avLst/>
          </a:prstGeom>
          <a:ln>
            <a:solidFill>
              <a:srgbClr val="7030A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64" name="Straight Connector 363">
            <a:extLst>
              <a:ext uri="{FF2B5EF4-FFF2-40B4-BE49-F238E27FC236}">
                <a16:creationId xmlns:a16="http://schemas.microsoft.com/office/drawing/2014/main" id="{18E87D3A-C89E-4741-9032-013F33CAFA5E}"/>
              </a:ext>
            </a:extLst>
          </xdr:cNvPr>
          <xdr:cNvCxnSpPr/>
        </xdr:nvCxnSpPr>
        <xdr:spPr>
          <a:xfrm rot="5400000">
            <a:off x="1317772" y="40151378"/>
            <a:ext cx="425089" cy="0"/>
          </a:xfrm>
          <a:prstGeom prst="line">
            <a:avLst/>
          </a:prstGeom>
          <a:ln>
            <a:solidFill>
              <a:srgbClr val="7030A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65" name="Straight Connector 364">
            <a:extLst>
              <a:ext uri="{FF2B5EF4-FFF2-40B4-BE49-F238E27FC236}">
                <a16:creationId xmlns:a16="http://schemas.microsoft.com/office/drawing/2014/main" id="{B97988A6-E651-4860-ACD8-7F624E4F06BA}"/>
              </a:ext>
            </a:extLst>
          </xdr:cNvPr>
          <xdr:cNvCxnSpPr/>
        </xdr:nvCxnSpPr>
        <xdr:spPr>
          <a:xfrm rot="5400000">
            <a:off x="1859169" y="40151378"/>
            <a:ext cx="425089" cy="0"/>
          </a:xfrm>
          <a:prstGeom prst="line">
            <a:avLst/>
          </a:prstGeom>
          <a:ln>
            <a:solidFill>
              <a:srgbClr val="7030A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66" name="Straight Connector 365">
            <a:extLst>
              <a:ext uri="{FF2B5EF4-FFF2-40B4-BE49-F238E27FC236}">
                <a16:creationId xmlns:a16="http://schemas.microsoft.com/office/drawing/2014/main" id="{45B80796-1743-4F19-AA6D-C73885DAFD6B}"/>
              </a:ext>
            </a:extLst>
          </xdr:cNvPr>
          <xdr:cNvCxnSpPr/>
        </xdr:nvCxnSpPr>
        <xdr:spPr>
          <a:xfrm rot="5400000">
            <a:off x="2392605" y="40151378"/>
            <a:ext cx="425089" cy="0"/>
          </a:xfrm>
          <a:prstGeom prst="line">
            <a:avLst/>
          </a:prstGeom>
          <a:ln>
            <a:solidFill>
              <a:srgbClr val="7030A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67" name="Straight Connector 366">
            <a:extLst>
              <a:ext uri="{FF2B5EF4-FFF2-40B4-BE49-F238E27FC236}">
                <a16:creationId xmlns:a16="http://schemas.microsoft.com/office/drawing/2014/main" id="{292FA8D0-2832-447B-B0B2-89D80469D22D}"/>
              </a:ext>
            </a:extLst>
          </xdr:cNvPr>
          <xdr:cNvCxnSpPr/>
        </xdr:nvCxnSpPr>
        <xdr:spPr>
          <a:xfrm rot="5400000">
            <a:off x="2934002" y="40151378"/>
            <a:ext cx="425089" cy="0"/>
          </a:xfrm>
          <a:prstGeom prst="line">
            <a:avLst/>
          </a:prstGeom>
          <a:ln>
            <a:solidFill>
              <a:srgbClr val="7030A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68" name="Straight Connector 367">
            <a:extLst>
              <a:ext uri="{FF2B5EF4-FFF2-40B4-BE49-F238E27FC236}">
                <a16:creationId xmlns:a16="http://schemas.microsoft.com/office/drawing/2014/main" id="{F7A0A97C-7BA7-4EDF-A79A-7331792B895A}"/>
              </a:ext>
            </a:extLst>
          </xdr:cNvPr>
          <xdr:cNvCxnSpPr/>
        </xdr:nvCxnSpPr>
        <xdr:spPr>
          <a:xfrm rot="5400000">
            <a:off x="3479381" y="40147397"/>
            <a:ext cx="425089" cy="7962"/>
          </a:xfrm>
          <a:prstGeom prst="line">
            <a:avLst/>
          </a:prstGeom>
          <a:ln>
            <a:solidFill>
              <a:srgbClr val="7030A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69" name="Straight Connector 368">
            <a:extLst>
              <a:ext uri="{FF2B5EF4-FFF2-40B4-BE49-F238E27FC236}">
                <a16:creationId xmlns:a16="http://schemas.microsoft.com/office/drawing/2014/main" id="{7E38F2EF-3AAB-49F0-B676-4071B9FECBBA}"/>
              </a:ext>
            </a:extLst>
          </xdr:cNvPr>
          <xdr:cNvCxnSpPr/>
        </xdr:nvCxnSpPr>
        <xdr:spPr>
          <a:xfrm rot="5400000">
            <a:off x="4020778" y="40147397"/>
            <a:ext cx="425089" cy="7962"/>
          </a:xfrm>
          <a:prstGeom prst="line">
            <a:avLst/>
          </a:prstGeom>
          <a:ln>
            <a:solidFill>
              <a:srgbClr val="7030A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70" name="Straight Connector 369">
            <a:extLst>
              <a:ext uri="{FF2B5EF4-FFF2-40B4-BE49-F238E27FC236}">
                <a16:creationId xmlns:a16="http://schemas.microsoft.com/office/drawing/2014/main" id="{974CE06B-1C2E-44BD-A374-CCBB16DD7838}"/>
              </a:ext>
            </a:extLst>
          </xdr:cNvPr>
          <xdr:cNvCxnSpPr/>
        </xdr:nvCxnSpPr>
        <xdr:spPr>
          <a:xfrm rot="5400000">
            <a:off x="4566157" y="40151378"/>
            <a:ext cx="425089" cy="0"/>
          </a:xfrm>
          <a:prstGeom prst="line">
            <a:avLst/>
          </a:prstGeom>
          <a:ln>
            <a:solidFill>
              <a:srgbClr val="7030A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71" name="Straight Connector 370">
            <a:extLst>
              <a:ext uri="{FF2B5EF4-FFF2-40B4-BE49-F238E27FC236}">
                <a16:creationId xmlns:a16="http://schemas.microsoft.com/office/drawing/2014/main" id="{B1FB1876-545C-46CA-A5F5-1DA7144D3FB9}"/>
              </a:ext>
            </a:extLst>
          </xdr:cNvPr>
          <xdr:cNvCxnSpPr/>
        </xdr:nvCxnSpPr>
        <xdr:spPr>
          <a:xfrm rot="5400000">
            <a:off x="641025" y="40151378"/>
            <a:ext cx="425089" cy="0"/>
          </a:xfrm>
          <a:prstGeom prst="line">
            <a:avLst/>
          </a:prstGeom>
          <a:ln>
            <a:solidFill>
              <a:srgbClr val="7030A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73" name="Straight Connector 372">
            <a:extLst>
              <a:ext uri="{FF2B5EF4-FFF2-40B4-BE49-F238E27FC236}">
                <a16:creationId xmlns:a16="http://schemas.microsoft.com/office/drawing/2014/main" id="{FB0D8F92-4530-4F20-9E4A-430C16A4D5AC}"/>
              </a:ext>
            </a:extLst>
          </xdr:cNvPr>
          <xdr:cNvCxnSpPr/>
        </xdr:nvCxnSpPr>
        <xdr:spPr>
          <a:xfrm rot="5400000">
            <a:off x="4689564" y="40138895"/>
            <a:ext cx="425089" cy="7962"/>
          </a:xfrm>
          <a:prstGeom prst="line">
            <a:avLst/>
          </a:prstGeom>
          <a:ln>
            <a:solidFill>
              <a:srgbClr val="7030A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74" name="Straight Connector 373">
            <a:extLst>
              <a:ext uri="{FF2B5EF4-FFF2-40B4-BE49-F238E27FC236}">
                <a16:creationId xmlns:a16="http://schemas.microsoft.com/office/drawing/2014/main" id="{549A56F5-C884-47A4-A282-8735A2DAE5B4}"/>
              </a:ext>
            </a:extLst>
          </xdr:cNvPr>
          <xdr:cNvCxnSpPr/>
        </xdr:nvCxnSpPr>
        <xdr:spPr>
          <a:xfrm rot="5400000">
            <a:off x="4414884" y="40151378"/>
            <a:ext cx="425089" cy="0"/>
          </a:xfrm>
          <a:prstGeom prst="line">
            <a:avLst/>
          </a:prstGeom>
          <a:ln>
            <a:solidFill>
              <a:srgbClr val="7030A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76" name="TextBox 375">
            <a:extLst>
              <a:ext uri="{FF2B5EF4-FFF2-40B4-BE49-F238E27FC236}">
                <a16:creationId xmlns:a16="http://schemas.microsoft.com/office/drawing/2014/main" id="{172D3D31-A207-4A98-8DC4-B40A9289551F}"/>
              </a:ext>
            </a:extLst>
          </xdr:cNvPr>
          <xdr:cNvSpPr txBox="1"/>
        </xdr:nvSpPr>
        <xdr:spPr>
          <a:xfrm>
            <a:off x="1387005" y="39190676"/>
            <a:ext cx="1242030" cy="29756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/>
              <a:t>L = Span1</a:t>
            </a:r>
          </a:p>
        </xdr:txBody>
      </xdr:sp>
      <xdr:cxnSp macro="">
        <xdr:nvCxnSpPr>
          <xdr:cNvPr id="379" name="Straight Connector 378">
            <a:extLst>
              <a:ext uri="{FF2B5EF4-FFF2-40B4-BE49-F238E27FC236}">
                <a16:creationId xmlns:a16="http://schemas.microsoft.com/office/drawing/2014/main" id="{5EDF4A79-8EC3-4601-8BFB-B80F9A5F7A0B}"/>
              </a:ext>
            </a:extLst>
          </xdr:cNvPr>
          <xdr:cNvCxnSpPr/>
        </xdr:nvCxnSpPr>
        <xdr:spPr>
          <a:xfrm rot="16200000" flipH="1">
            <a:off x="1963387" y="40377215"/>
            <a:ext cx="2031927" cy="15923"/>
          </a:xfrm>
          <a:prstGeom prst="line">
            <a:avLst/>
          </a:prstGeom>
          <a:ln>
            <a:solidFill>
              <a:sysClr val="windowText" lastClr="000000"/>
            </a:solidFill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80" name="Straight Arrow Connector 379">
            <a:extLst>
              <a:ext uri="{FF2B5EF4-FFF2-40B4-BE49-F238E27FC236}">
                <a16:creationId xmlns:a16="http://schemas.microsoft.com/office/drawing/2014/main" id="{71004D2C-A4A7-4E26-83BB-2D1A1333B3B4}"/>
              </a:ext>
            </a:extLst>
          </xdr:cNvPr>
          <xdr:cNvCxnSpPr/>
        </xdr:nvCxnSpPr>
        <xdr:spPr>
          <a:xfrm flipV="1">
            <a:off x="487330" y="39777299"/>
            <a:ext cx="748402" cy="0"/>
          </a:xfrm>
          <a:prstGeom prst="straightConnector1">
            <a:avLst/>
          </a:prstGeom>
          <a:ln>
            <a:solidFill>
              <a:sysClr val="windowText" lastClr="000000"/>
            </a:solidFill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81" name="TextBox 380">
            <a:extLst>
              <a:ext uri="{FF2B5EF4-FFF2-40B4-BE49-F238E27FC236}">
                <a16:creationId xmlns:a16="http://schemas.microsoft.com/office/drawing/2014/main" id="{950B84CA-D015-407D-BDC5-DD42F7E25343}"/>
              </a:ext>
            </a:extLst>
          </xdr:cNvPr>
          <xdr:cNvSpPr txBox="1"/>
        </xdr:nvSpPr>
        <xdr:spPr>
          <a:xfrm>
            <a:off x="726182" y="39539249"/>
            <a:ext cx="525474" cy="2805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/>
              <a:t>L/4</a:t>
            </a:r>
          </a:p>
        </xdr:txBody>
      </xdr:sp>
      <xdr:sp macro="" textlink="">
        <xdr:nvSpPr>
          <xdr:cNvPr id="382" name="TextBox 381">
            <a:extLst>
              <a:ext uri="{FF2B5EF4-FFF2-40B4-BE49-F238E27FC236}">
                <a16:creationId xmlns:a16="http://schemas.microsoft.com/office/drawing/2014/main" id="{D9754C91-CB66-435C-B419-34D5790DD805}"/>
              </a:ext>
            </a:extLst>
          </xdr:cNvPr>
          <xdr:cNvSpPr txBox="1"/>
        </xdr:nvSpPr>
        <xdr:spPr>
          <a:xfrm>
            <a:off x="606756" y="40618976"/>
            <a:ext cx="684709" cy="29756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/>
              <a:t>0.15 L</a:t>
            </a:r>
          </a:p>
        </xdr:txBody>
      </xdr:sp>
      <xdr:cxnSp macro="">
        <xdr:nvCxnSpPr>
          <xdr:cNvPr id="383" name="Straight Arrow Connector 382">
            <a:extLst>
              <a:ext uri="{FF2B5EF4-FFF2-40B4-BE49-F238E27FC236}">
                <a16:creationId xmlns:a16="http://schemas.microsoft.com/office/drawing/2014/main" id="{C4332934-724C-4CA4-86E8-BC57D481A2A3}"/>
              </a:ext>
            </a:extLst>
          </xdr:cNvPr>
          <xdr:cNvCxnSpPr/>
        </xdr:nvCxnSpPr>
        <xdr:spPr>
          <a:xfrm flipV="1">
            <a:off x="503253" y="40542460"/>
            <a:ext cx="613053" cy="8502"/>
          </a:xfrm>
          <a:prstGeom prst="straightConnector1">
            <a:avLst/>
          </a:prstGeom>
          <a:ln>
            <a:solidFill>
              <a:sysClr val="windowText" lastClr="000000"/>
            </a:solidFill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84" name="Straight Connector 383">
            <a:extLst>
              <a:ext uri="{FF2B5EF4-FFF2-40B4-BE49-F238E27FC236}">
                <a16:creationId xmlns:a16="http://schemas.microsoft.com/office/drawing/2014/main" id="{78D4167C-2913-40D7-B575-C48534DFBD51}"/>
              </a:ext>
            </a:extLst>
          </xdr:cNvPr>
          <xdr:cNvCxnSpPr/>
        </xdr:nvCxnSpPr>
        <xdr:spPr>
          <a:xfrm rot="5400000" flipH="1" flipV="1">
            <a:off x="989181" y="39845314"/>
            <a:ext cx="493104" cy="0"/>
          </a:xfrm>
          <a:prstGeom prst="line">
            <a:avLst/>
          </a:prstGeom>
          <a:ln>
            <a:solidFill>
              <a:sysClr val="windowText" lastClr="000000"/>
            </a:solidFill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05" name="Straight Connector 404">
            <a:extLst>
              <a:ext uri="{FF2B5EF4-FFF2-40B4-BE49-F238E27FC236}">
                <a16:creationId xmlns:a16="http://schemas.microsoft.com/office/drawing/2014/main" id="{582F66E2-641C-40BA-BAE4-DD1890EA09C2}"/>
              </a:ext>
            </a:extLst>
          </xdr:cNvPr>
          <xdr:cNvCxnSpPr/>
        </xdr:nvCxnSpPr>
        <xdr:spPr>
          <a:xfrm rot="5400000">
            <a:off x="2216035" y="39954826"/>
            <a:ext cx="93520" cy="95541"/>
          </a:xfrm>
          <a:prstGeom prst="line">
            <a:avLst/>
          </a:prstGeom>
          <a:ln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06" name="Straight Connector 405">
            <a:extLst>
              <a:ext uri="{FF2B5EF4-FFF2-40B4-BE49-F238E27FC236}">
                <a16:creationId xmlns:a16="http://schemas.microsoft.com/office/drawing/2014/main" id="{00EAE761-AFBA-470F-BB26-33B99C54D8E2}"/>
              </a:ext>
            </a:extLst>
          </xdr:cNvPr>
          <xdr:cNvCxnSpPr/>
        </xdr:nvCxnSpPr>
        <xdr:spPr>
          <a:xfrm>
            <a:off x="2310566" y="39955837"/>
            <a:ext cx="1313685" cy="0"/>
          </a:xfrm>
          <a:prstGeom prst="line">
            <a:avLst/>
          </a:prstGeom>
          <a:ln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07" name="Straight Connector 406">
            <a:extLst>
              <a:ext uri="{FF2B5EF4-FFF2-40B4-BE49-F238E27FC236}">
                <a16:creationId xmlns:a16="http://schemas.microsoft.com/office/drawing/2014/main" id="{555FA1F1-498E-450F-8EC1-F3D72550C59C}"/>
              </a:ext>
            </a:extLst>
          </xdr:cNvPr>
          <xdr:cNvCxnSpPr/>
        </xdr:nvCxnSpPr>
        <xdr:spPr>
          <a:xfrm rot="16200000" flipH="1">
            <a:off x="3625261" y="39954826"/>
            <a:ext cx="93520" cy="95541"/>
          </a:xfrm>
          <a:prstGeom prst="line">
            <a:avLst/>
          </a:prstGeom>
          <a:ln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10" name="Straight Connector 409">
            <a:extLst>
              <a:ext uri="{FF2B5EF4-FFF2-40B4-BE49-F238E27FC236}">
                <a16:creationId xmlns:a16="http://schemas.microsoft.com/office/drawing/2014/main" id="{6E2FCD91-1E73-4295-8DE1-4A83A350DA49}"/>
              </a:ext>
            </a:extLst>
          </xdr:cNvPr>
          <xdr:cNvCxnSpPr/>
        </xdr:nvCxnSpPr>
        <xdr:spPr>
          <a:xfrm rot="16200000" flipH="1">
            <a:off x="3525740" y="40213861"/>
            <a:ext cx="93520" cy="87579"/>
          </a:xfrm>
          <a:prstGeom prst="line">
            <a:avLst/>
          </a:prstGeom>
          <a:ln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11" name="Straight Connector 410">
            <a:extLst>
              <a:ext uri="{FF2B5EF4-FFF2-40B4-BE49-F238E27FC236}">
                <a16:creationId xmlns:a16="http://schemas.microsoft.com/office/drawing/2014/main" id="{26616982-840E-4A92-8AC0-DFF5C7D639DC}"/>
              </a:ext>
            </a:extLst>
          </xdr:cNvPr>
          <xdr:cNvCxnSpPr/>
        </xdr:nvCxnSpPr>
        <xdr:spPr>
          <a:xfrm flipV="1">
            <a:off x="3608327" y="40304410"/>
            <a:ext cx="1035025" cy="0"/>
          </a:xfrm>
          <a:prstGeom prst="line">
            <a:avLst/>
          </a:prstGeom>
          <a:ln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12" name="Straight Connector 411">
            <a:extLst>
              <a:ext uri="{FF2B5EF4-FFF2-40B4-BE49-F238E27FC236}">
                <a16:creationId xmlns:a16="http://schemas.microsoft.com/office/drawing/2014/main" id="{230A6BDB-6E6C-458D-BB17-2CA3EC706E37}"/>
              </a:ext>
            </a:extLst>
          </xdr:cNvPr>
          <xdr:cNvCxnSpPr/>
        </xdr:nvCxnSpPr>
        <xdr:spPr>
          <a:xfrm rot="5400000">
            <a:off x="4652864" y="40218382"/>
            <a:ext cx="76516" cy="95541"/>
          </a:xfrm>
          <a:prstGeom prst="line">
            <a:avLst/>
          </a:prstGeom>
          <a:ln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19" name="Straight Connector 418">
            <a:extLst>
              <a:ext uri="{FF2B5EF4-FFF2-40B4-BE49-F238E27FC236}">
                <a16:creationId xmlns:a16="http://schemas.microsoft.com/office/drawing/2014/main" id="{7EE35092-AD64-490E-9809-5D1F33B6F63B}"/>
              </a:ext>
            </a:extLst>
          </xdr:cNvPr>
          <xdr:cNvCxnSpPr/>
        </xdr:nvCxnSpPr>
        <xdr:spPr>
          <a:xfrm rot="16200000" flipH="1">
            <a:off x="-512170" y="40232685"/>
            <a:ext cx="2014924" cy="15923"/>
          </a:xfrm>
          <a:prstGeom prst="line">
            <a:avLst/>
          </a:prstGeom>
          <a:ln>
            <a:solidFill>
              <a:sysClr val="windowText" lastClr="000000"/>
            </a:solidFill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20" name="Straight Connector 419">
            <a:extLst>
              <a:ext uri="{FF2B5EF4-FFF2-40B4-BE49-F238E27FC236}">
                <a16:creationId xmlns:a16="http://schemas.microsoft.com/office/drawing/2014/main" id="{57E8015A-9BA3-4A7C-9C10-1918E2D8220B}"/>
              </a:ext>
            </a:extLst>
          </xdr:cNvPr>
          <xdr:cNvCxnSpPr/>
        </xdr:nvCxnSpPr>
        <xdr:spPr>
          <a:xfrm rot="5400000">
            <a:off x="2253005" y="40155629"/>
            <a:ext cx="433591" cy="0"/>
          </a:xfrm>
          <a:prstGeom prst="line">
            <a:avLst/>
          </a:prstGeom>
          <a:ln>
            <a:solidFill>
              <a:srgbClr val="7030A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21" name="Straight Connector 420">
            <a:extLst>
              <a:ext uri="{FF2B5EF4-FFF2-40B4-BE49-F238E27FC236}">
                <a16:creationId xmlns:a16="http://schemas.microsoft.com/office/drawing/2014/main" id="{BCE3CF33-DD71-42B3-AAD8-02F59FB2B16C}"/>
              </a:ext>
            </a:extLst>
          </xdr:cNvPr>
          <xdr:cNvCxnSpPr/>
        </xdr:nvCxnSpPr>
        <xdr:spPr>
          <a:xfrm rot="5400000">
            <a:off x="1990268" y="40155629"/>
            <a:ext cx="433591" cy="0"/>
          </a:xfrm>
          <a:prstGeom prst="line">
            <a:avLst/>
          </a:prstGeom>
          <a:ln>
            <a:solidFill>
              <a:srgbClr val="7030A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22" name="Straight Connector 421">
            <a:extLst>
              <a:ext uri="{FF2B5EF4-FFF2-40B4-BE49-F238E27FC236}">
                <a16:creationId xmlns:a16="http://schemas.microsoft.com/office/drawing/2014/main" id="{46CBBB07-AF7A-4128-8899-D84120687F87}"/>
              </a:ext>
            </a:extLst>
          </xdr:cNvPr>
          <xdr:cNvCxnSpPr/>
        </xdr:nvCxnSpPr>
        <xdr:spPr>
          <a:xfrm rot="5400000">
            <a:off x="3057139" y="40155629"/>
            <a:ext cx="433591" cy="0"/>
          </a:xfrm>
          <a:prstGeom prst="line">
            <a:avLst/>
          </a:prstGeom>
          <a:ln>
            <a:solidFill>
              <a:srgbClr val="7030A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23" name="Straight Connector 422">
            <a:extLst>
              <a:ext uri="{FF2B5EF4-FFF2-40B4-BE49-F238E27FC236}">
                <a16:creationId xmlns:a16="http://schemas.microsoft.com/office/drawing/2014/main" id="{B046BC4D-AE46-4D1F-BEBD-922DAB529F18}"/>
              </a:ext>
            </a:extLst>
          </xdr:cNvPr>
          <xdr:cNvCxnSpPr/>
        </xdr:nvCxnSpPr>
        <xdr:spPr>
          <a:xfrm rot="5400000">
            <a:off x="3348012" y="40151378"/>
            <a:ext cx="425089" cy="0"/>
          </a:xfrm>
          <a:prstGeom prst="line">
            <a:avLst/>
          </a:prstGeom>
          <a:ln>
            <a:solidFill>
              <a:srgbClr val="7030A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0</xdr:col>
      <xdr:colOff>266700</xdr:colOff>
      <xdr:row>235</xdr:row>
      <xdr:rowOff>167640</xdr:rowOff>
    </xdr:from>
    <xdr:to>
      <xdr:col>8</xdr:col>
      <xdr:colOff>243840</xdr:colOff>
      <xdr:row>256</xdr:row>
      <xdr:rowOff>106680</xdr:rowOff>
    </xdr:to>
    <xdr:pic>
      <xdr:nvPicPr>
        <xdr:cNvPr id="24224" name="Picture 424">
          <a:extLst>
            <a:ext uri="{FF2B5EF4-FFF2-40B4-BE49-F238E27FC236}">
              <a16:creationId xmlns:a16="http://schemas.microsoft.com/office/drawing/2014/main" id="{EB45A4FF-0439-484E-A1D0-D07952ED0B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44356020"/>
          <a:ext cx="4945380" cy="37795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91440</xdr:colOff>
      <xdr:row>268</xdr:row>
      <xdr:rowOff>0</xdr:rowOff>
    </xdr:from>
    <xdr:to>
      <xdr:col>3</xdr:col>
      <xdr:colOff>601980</xdr:colOff>
      <xdr:row>276</xdr:row>
      <xdr:rowOff>0</xdr:rowOff>
    </xdr:to>
    <xdr:grpSp>
      <xdr:nvGrpSpPr>
        <xdr:cNvPr id="24225" name="Group 425">
          <a:extLst>
            <a:ext uri="{FF2B5EF4-FFF2-40B4-BE49-F238E27FC236}">
              <a16:creationId xmlns:a16="http://schemas.microsoft.com/office/drawing/2014/main" id="{15F4D901-64B6-49D6-A62D-B5A63C4B326B}"/>
            </a:ext>
          </a:extLst>
        </xdr:cNvPr>
        <xdr:cNvGrpSpPr>
          <a:grpSpLocks/>
        </xdr:cNvGrpSpPr>
      </xdr:nvGrpSpPr>
      <xdr:grpSpPr bwMode="auto">
        <a:xfrm>
          <a:off x="91440" y="50231040"/>
          <a:ext cx="2430780" cy="1463040"/>
          <a:chOff x="-17439" y="7086600"/>
          <a:chExt cx="3503589" cy="1466850"/>
        </a:xfrm>
      </xdr:grpSpPr>
      <xdr:sp macro="" textlink="">
        <xdr:nvSpPr>
          <xdr:cNvPr id="427" name="Cube 426">
            <a:extLst>
              <a:ext uri="{FF2B5EF4-FFF2-40B4-BE49-F238E27FC236}">
                <a16:creationId xmlns:a16="http://schemas.microsoft.com/office/drawing/2014/main" id="{3E41FFAC-2ADA-45E7-A7D9-21FB36A26534}"/>
              </a:ext>
            </a:extLst>
          </xdr:cNvPr>
          <xdr:cNvSpPr/>
        </xdr:nvSpPr>
        <xdr:spPr>
          <a:xfrm>
            <a:off x="187983" y="7124799"/>
            <a:ext cx="2761787" cy="870942"/>
          </a:xfrm>
          <a:prstGeom prst="cube">
            <a:avLst>
              <a:gd name="adj" fmla="val 79944"/>
            </a:avLst>
          </a:prstGeom>
          <a:blipFill>
            <a:blip xmlns:r="http://schemas.openxmlformats.org/officeDocument/2006/relationships" r:embed="rId1"/>
            <a:tile tx="0" ty="0" sx="100000" sy="100000" flip="none" algn="tl"/>
          </a:blipFill>
          <a:ln w="3175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cxnSp macro="">
        <xdr:nvCxnSpPr>
          <xdr:cNvPr id="428" name="Straight Arrow Connector 427">
            <a:extLst>
              <a:ext uri="{FF2B5EF4-FFF2-40B4-BE49-F238E27FC236}">
                <a16:creationId xmlns:a16="http://schemas.microsoft.com/office/drawing/2014/main" id="{ED524C5C-07BF-4A41-9C1E-D1F4A66C4163}"/>
              </a:ext>
            </a:extLst>
          </xdr:cNvPr>
          <xdr:cNvCxnSpPr/>
        </xdr:nvCxnSpPr>
        <xdr:spPr>
          <a:xfrm>
            <a:off x="3063893" y="7086600"/>
            <a:ext cx="0" cy="236835"/>
          </a:xfrm>
          <a:prstGeom prst="straightConnector1">
            <a:avLst/>
          </a:prstGeom>
          <a:ln>
            <a:solidFill>
              <a:sysClr val="windowText" lastClr="000000"/>
            </a:solidFill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29" name="Straight Arrow Connector 428">
            <a:extLst>
              <a:ext uri="{FF2B5EF4-FFF2-40B4-BE49-F238E27FC236}">
                <a16:creationId xmlns:a16="http://schemas.microsoft.com/office/drawing/2014/main" id="{8AF40373-F4D8-48E8-99A0-53DB2C6E3077}"/>
              </a:ext>
            </a:extLst>
          </xdr:cNvPr>
          <xdr:cNvCxnSpPr/>
        </xdr:nvCxnSpPr>
        <xdr:spPr>
          <a:xfrm rot="5400000" flipH="1" flipV="1">
            <a:off x="131385" y="6953056"/>
            <a:ext cx="695226" cy="992874"/>
          </a:xfrm>
          <a:prstGeom prst="straightConnector1">
            <a:avLst/>
          </a:prstGeom>
          <a:ln>
            <a:solidFill>
              <a:sysClr val="windowText" lastClr="000000"/>
            </a:solidFill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30" name="Straight Arrow Connector 429">
            <a:extLst>
              <a:ext uri="{FF2B5EF4-FFF2-40B4-BE49-F238E27FC236}">
                <a16:creationId xmlns:a16="http://schemas.microsoft.com/office/drawing/2014/main" id="{6BB879F2-15B3-47C9-B4A9-D8CA78E1CCAC}"/>
              </a:ext>
            </a:extLst>
          </xdr:cNvPr>
          <xdr:cNvCxnSpPr/>
        </xdr:nvCxnSpPr>
        <xdr:spPr>
          <a:xfrm>
            <a:off x="187983" y="8110339"/>
            <a:ext cx="1677614" cy="0"/>
          </a:xfrm>
          <a:prstGeom prst="straightConnector1">
            <a:avLst/>
          </a:prstGeom>
          <a:ln>
            <a:solidFill>
              <a:sysClr val="windowText" lastClr="000000"/>
            </a:solidFill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31" name="TextBox 430">
            <a:extLst>
              <a:ext uri="{FF2B5EF4-FFF2-40B4-BE49-F238E27FC236}">
                <a16:creationId xmlns:a16="http://schemas.microsoft.com/office/drawing/2014/main" id="{512C64FB-3BA4-41E4-8C9F-09E7B29898A4}"/>
              </a:ext>
            </a:extLst>
          </xdr:cNvPr>
          <xdr:cNvSpPr txBox="1"/>
        </xdr:nvSpPr>
        <xdr:spPr>
          <a:xfrm>
            <a:off x="3166604" y="7109520"/>
            <a:ext cx="319546" cy="18335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/>
              <a:t>T</a:t>
            </a:r>
          </a:p>
        </xdr:txBody>
      </xdr:sp>
      <xdr:sp macro="" textlink="">
        <xdr:nvSpPr>
          <xdr:cNvPr id="432" name="TextBox 431">
            <a:extLst>
              <a:ext uri="{FF2B5EF4-FFF2-40B4-BE49-F238E27FC236}">
                <a16:creationId xmlns:a16="http://schemas.microsoft.com/office/drawing/2014/main" id="{2C0E1DDD-2996-4D2E-BC7B-69A581C694A3}"/>
              </a:ext>
            </a:extLst>
          </xdr:cNvPr>
          <xdr:cNvSpPr txBox="1"/>
        </xdr:nvSpPr>
        <xdr:spPr>
          <a:xfrm>
            <a:off x="108097" y="7170638"/>
            <a:ext cx="330958" cy="18335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/>
              <a:t>W</a:t>
            </a:r>
          </a:p>
        </xdr:txBody>
      </xdr:sp>
      <xdr:sp macro="" textlink="">
        <xdr:nvSpPr>
          <xdr:cNvPr id="433" name="TextBox 432">
            <a:extLst>
              <a:ext uri="{FF2B5EF4-FFF2-40B4-BE49-F238E27FC236}">
                <a16:creationId xmlns:a16="http://schemas.microsoft.com/office/drawing/2014/main" id="{DA14B90B-95B3-4407-A54B-D05E2ED15116}"/>
              </a:ext>
            </a:extLst>
          </xdr:cNvPr>
          <xdr:cNvSpPr txBox="1"/>
        </xdr:nvSpPr>
        <xdr:spPr>
          <a:xfrm>
            <a:off x="906961" y="8194377"/>
            <a:ext cx="342370" cy="3590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/>
              <a:t>L</a:t>
            </a:r>
          </a:p>
        </xdr:txBody>
      </xdr:sp>
    </xdr:grpSp>
    <xdr:clientData/>
  </xdr:twoCellAnchor>
  <xdr:twoCellAnchor editAs="oneCell">
    <xdr:from>
      <xdr:col>1</xdr:col>
      <xdr:colOff>129540</xdr:colOff>
      <xdr:row>280</xdr:row>
      <xdr:rowOff>175260</xdr:rowOff>
    </xdr:from>
    <xdr:to>
      <xdr:col>7</xdr:col>
      <xdr:colOff>411480</xdr:colOff>
      <xdr:row>302</xdr:row>
      <xdr:rowOff>106680</xdr:rowOff>
    </xdr:to>
    <xdr:pic>
      <xdr:nvPicPr>
        <xdr:cNvPr id="24226" name="Picture 436">
          <a:extLst>
            <a:ext uri="{FF2B5EF4-FFF2-40B4-BE49-F238E27FC236}">
              <a16:creationId xmlns:a16="http://schemas.microsoft.com/office/drawing/2014/main" id="{2EC42C2E-B24F-4FCD-8E9C-EEF874338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9140" y="52600860"/>
          <a:ext cx="3939540" cy="3954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91440</xdr:colOff>
      <xdr:row>314</xdr:row>
      <xdr:rowOff>0</xdr:rowOff>
    </xdr:from>
    <xdr:to>
      <xdr:col>3</xdr:col>
      <xdr:colOff>601980</xdr:colOff>
      <xdr:row>322</xdr:row>
      <xdr:rowOff>0</xdr:rowOff>
    </xdr:to>
    <xdr:grpSp>
      <xdr:nvGrpSpPr>
        <xdr:cNvPr id="24227" name="Group 437">
          <a:extLst>
            <a:ext uri="{FF2B5EF4-FFF2-40B4-BE49-F238E27FC236}">
              <a16:creationId xmlns:a16="http://schemas.microsoft.com/office/drawing/2014/main" id="{4F08A8E8-EC98-411B-A9C0-A8618E34CF7C}"/>
            </a:ext>
          </a:extLst>
        </xdr:cNvPr>
        <xdr:cNvGrpSpPr>
          <a:grpSpLocks/>
        </xdr:cNvGrpSpPr>
      </xdr:nvGrpSpPr>
      <xdr:grpSpPr bwMode="auto">
        <a:xfrm>
          <a:off x="91440" y="58643520"/>
          <a:ext cx="2430780" cy="1463040"/>
          <a:chOff x="-17439" y="7086600"/>
          <a:chExt cx="3503589" cy="1466850"/>
        </a:xfrm>
      </xdr:grpSpPr>
      <xdr:sp macro="" textlink="">
        <xdr:nvSpPr>
          <xdr:cNvPr id="439" name="Cube 438">
            <a:extLst>
              <a:ext uri="{FF2B5EF4-FFF2-40B4-BE49-F238E27FC236}">
                <a16:creationId xmlns:a16="http://schemas.microsoft.com/office/drawing/2014/main" id="{6771A27D-4327-4982-981A-E741537EBD65}"/>
              </a:ext>
            </a:extLst>
          </xdr:cNvPr>
          <xdr:cNvSpPr/>
        </xdr:nvSpPr>
        <xdr:spPr>
          <a:xfrm>
            <a:off x="187983" y="7124799"/>
            <a:ext cx="2761787" cy="870942"/>
          </a:xfrm>
          <a:prstGeom prst="cube">
            <a:avLst>
              <a:gd name="adj" fmla="val 79944"/>
            </a:avLst>
          </a:prstGeom>
          <a:blipFill>
            <a:blip xmlns:r="http://schemas.openxmlformats.org/officeDocument/2006/relationships" r:embed="rId1"/>
            <a:tile tx="0" ty="0" sx="100000" sy="100000" flip="none" algn="tl"/>
          </a:blipFill>
          <a:ln w="3175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cxnSp macro="">
        <xdr:nvCxnSpPr>
          <xdr:cNvPr id="440" name="Straight Arrow Connector 439">
            <a:extLst>
              <a:ext uri="{FF2B5EF4-FFF2-40B4-BE49-F238E27FC236}">
                <a16:creationId xmlns:a16="http://schemas.microsoft.com/office/drawing/2014/main" id="{6AE3680D-562B-4C09-A6A5-AB08E0800BC1}"/>
              </a:ext>
            </a:extLst>
          </xdr:cNvPr>
          <xdr:cNvCxnSpPr/>
        </xdr:nvCxnSpPr>
        <xdr:spPr>
          <a:xfrm>
            <a:off x="3063893" y="7086600"/>
            <a:ext cx="0" cy="236835"/>
          </a:xfrm>
          <a:prstGeom prst="straightConnector1">
            <a:avLst/>
          </a:prstGeom>
          <a:ln>
            <a:solidFill>
              <a:sysClr val="windowText" lastClr="000000"/>
            </a:solidFill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41" name="Straight Arrow Connector 440">
            <a:extLst>
              <a:ext uri="{FF2B5EF4-FFF2-40B4-BE49-F238E27FC236}">
                <a16:creationId xmlns:a16="http://schemas.microsoft.com/office/drawing/2014/main" id="{32A5E792-B76A-45B8-B518-5E523612BF56}"/>
              </a:ext>
            </a:extLst>
          </xdr:cNvPr>
          <xdr:cNvCxnSpPr/>
        </xdr:nvCxnSpPr>
        <xdr:spPr>
          <a:xfrm rot="5400000" flipH="1" flipV="1">
            <a:off x="131385" y="6953056"/>
            <a:ext cx="695226" cy="992874"/>
          </a:xfrm>
          <a:prstGeom prst="straightConnector1">
            <a:avLst/>
          </a:prstGeom>
          <a:ln>
            <a:solidFill>
              <a:sysClr val="windowText" lastClr="000000"/>
            </a:solidFill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42" name="Straight Arrow Connector 441">
            <a:extLst>
              <a:ext uri="{FF2B5EF4-FFF2-40B4-BE49-F238E27FC236}">
                <a16:creationId xmlns:a16="http://schemas.microsoft.com/office/drawing/2014/main" id="{997A2F18-5583-458E-89E2-E037B4A3A90F}"/>
              </a:ext>
            </a:extLst>
          </xdr:cNvPr>
          <xdr:cNvCxnSpPr/>
        </xdr:nvCxnSpPr>
        <xdr:spPr>
          <a:xfrm>
            <a:off x="187983" y="8110339"/>
            <a:ext cx="1677614" cy="0"/>
          </a:xfrm>
          <a:prstGeom prst="straightConnector1">
            <a:avLst/>
          </a:prstGeom>
          <a:ln>
            <a:solidFill>
              <a:sysClr val="windowText" lastClr="000000"/>
            </a:solidFill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43" name="TextBox 442">
            <a:extLst>
              <a:ext uri="{FF2B5EF4-FFF2-40B4-BE49-F238E27FC236}">
                <a16:creationId xmlns:a16="http://schemas.microsoft.com/office/drawing/2014/main" id="{EDBEF221-F4EA-4CB9-A14D-FEB0417068B5}"/>
              </a:ext>
            </a:extLst>
          </xdr:cNvPr>
          <xdr:cNvSpPr txBox="1"/>
        </xdr:nvSpPr>
        <xdr:spPr>
          <a:xfrm>
            <a:off x="3166604" y="7109520"/>
            <a:ext cx="319546" cy="18335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/>
              <a:t>T</a:t>
            </a:r>
          </a:p>
        </xdr:txBody>
      </xdr:sp>
      <xdr:sp macro="" textlink="">
        <xdr:nvSpPr>
          <xdr:cNvPr id="444" name="TextBox 443">
            <a:extLst>
              <a:ext uri="{FF2B5EF4-FFF2-40B4-BE49-F238E27FC236}">
                <a16:creationId xmlns:a16="http://schemas.microsoft.com/office/drawing/2014/main" id="{F06115D1-DD3C-4A63-BE9D-3A958F616E2A}"/>
              </a:ext>
            </a:extLst>
          </xdr:cNvPr>
          <xdr:cNvSpPr txBox="1"/>
        </xdr:nvSpPr>
        <xdr:spPr>
          <a:xfrm>
            <a:off x="108097" y="7170638"/>
            <a:ext cx="330958" cy="18335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/>
              <a:t>W</a:t>
            </a:r>
          </a:p>
        </xdr:txBody>
      </xdr:sp>
      <xdr:sp macro="" textlink="">
        <xdr:nvSpPr>
          <xdr:cNvPr id="445" name="TextBox 444">
            <a:extLst>
              <a:ext uri="{FF2B5EF4-FFF2-40B4-BE49-F238E27FC236}">
                <a16:creationId xmlns:a16="http://schemas.microsoft.com/office/drawing/2014/main" id="{6802DD3F-C8ED-4FB1-AA4B-375A42327CC6}"/>
              </a:ext>
            </a:extLst>
          </xdr:cNvPr>
          <xdr:cNvSpPr txBox="1"/>
        </xdr:nvSpPr>
        <xdr:spPr>
          <a:xfrm>
            <a:off x="906961" y="8194377"/>
            <a:ext cx="342370" cy="3590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/>
              <a:t>L</a:t>
            </a:r>
          </a:p>
        </xdr:txBody>
      </xdr:sp>
    </xdr:grpSp>
    <xdr:clientData/>
  </xdr:twoCellAnchor>
  <xdr:twoCellAnchor>
    <xdr:from>
      <xdr:col>0</xdr:col>
      <xdr:colOff>182880</xdr:colOff>
      <xdr:row>328</xdr:row>
      <xdr:rowOff>167640</xdr:rowOff>
    </xdr:from>
    <xdr:to>
      <xdr:col>4</xdr:col>
      <xdr:colOff>53340</xdr:colOff>
      <xdr:row>337</xdr:row>
      <xdr:rowOff>15240</xdr:rowOff>
    </xdr:to>
    <xdr:grpSp>
      <xdr:nvGrpSpPr>
        <xdr:cNvPr id="24228" name="Group 445">
          <a:extLst>
            <a:ext uri="{FF2B5EF4-FFF2-40B4-BE49-F238E27FC236}">
              <a16:creationId xmlns:a16="http://schemas.microsoft.com/office/drawing/2014/main" id="{2AD9E651-098A-4054-BB7C-5679E290BFB8}"/>
            </a:ext>
          </a:extLst>
        </xdr:cNvPr>
        <xdr:cNvGrpSpPr>
          <a:grpSpLocks/>
        </xdr:cNvGrpSpPr>
      </xdr:nvGrpSpPr>
      <xdr:grpSpPr bwMode="auto">
        <a:xfrm>
          <a:off x="182880" y="61371480"/>
          <a:ext cx="2430780" cy="1493520"/>
          <a:chOff x="-17439" y="7086600"/>
          <a:chExt cx="3503589" cy="1466850"/>
        </a:xfrm>
      </xdr:grpSpPr>
      <xdr:sp macro="" textlink="">
        <xdr:nvSpPr>
          <xdr:cNvPr id="447" name="Cube 446">
            <a:extLst>
              <a:ext uri="{FF2B5EF4-FFF2-40B4-BE49-F238E27FC236}">
                <a16:creationId xmlns:a16="http://schemas.microsoft.com/office/drawing/2014/main" id="{93DE7628-9938-4DCB-B707-D0268EBE0910}"/>
              </a:ext>
            </a:extLst>
          </xdr:cNvPr>
          <xdr:cNvSpPr/>
        </xdr:nvSpPr>
        <xdr:spPr>
          <a:xfrm>
            <a:off x="190695" y="7124020"/>
            <a:ext cx="2775120" cy="868136"/>
          </a:xfrm>
          <a:prstGeom prst="cube">
            <a:avLst>
              <a:gd name="adj" fmla="val 79944"/>
            </a:avLst>
          </a:prstGeom>
          <a:blipFill>
            <a:blip xmlns:r="http://schemas.openxmlformats.org/officeDocument/2006/relationships" r:embed="rId1"/>
            <a:tile tx="0" ty="0" sx="100000" sy="100000" flip="none" algn="tl"/>
          </a:blipFill>
          <a:ln w="3175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cxnSp macro="">
        <xdr:nvCxnSpPr>
          <xdr:cNvPr id="448" name="Straight Arrow Connector 447">
            <a:extLst>
              <a:ext uri="{FF2B5EF4-FFF2-40B4-BE49-F238E27FC236}">
                <a16:creationId xmlns:a16="http://schemas.microsoft.com/office/drawing/2014/main" id="{34943A25-8AEE-4FB8-8373-2629AB6ADDC8}"/>
              </a:ext>
            </a:extLst>
          </xdr:cNvPr>
          <xdr:cNvCxnSpPr/>
        </xdr:nvCxnSpPr>
        <xdr:spPr>
          <a:xfrm>
            <a:off x="3081445" y="7086600"/>
            <a:ext cx="0" cy="239486"/>
          </a:xfrm>
          <a:prstGeom prst="straightConnector1">
            <a:avLst/>
          </a:prstGeom>
          <a:ln>
            <a:solidFill>
              <a:sysClr val="windowText" lastClr="000000"/>
            </a:solidFill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49" name="Straight Arrow Connector 448">
            <a:extLst>
              <a:ext uri="{FF2B5EF4-FFF2-40B4-BE49-F238E27FC236}">
                <a16:creationId xmlns:a16="http://schemas.microsoft.com/office/drawing/2014/main" id="{23E301B2-3191-4A29-A441-8AE95F60F482}"/>
              </a:ext>
            </a:extLst>
          </xdr:cNvPr>
          <xdr:cNvCxnSpPr/>
        </xdr:nvCxnSpPr>
        <xdr:spPr>
          <a:xfrm rot="5400000" flipH="1" flipV="1">
            <a:off x="131767" y="6952362"/>
            <a:ext cx="696005" cy="994418"/>
          </a:xfrm>
          <a:prstGeom prst="straightConnector1">
            <a:avLst/>
          </a:prstGeom>
          <a:ln>
            <a:solidFill>
              <a:sysClr val="windowText" lastClr="000000"/>
            </a:solidFill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50" name="Straight Arrow Connector 449">
            <a:extLst>
              <a:ext uri="{FF2B5EF4-FFF2-40B4-BE49-F238E27FC236}">
                <a16:creationId xmlns:a16="http://schemas.microsoft.com/office/drawing/2014/main" id="{6EE251F4-BCF0-4CF2-BEB9-87B65AE5CEF7}"/>
              </a:ext>
            </a:extLst>
          </xdr:cNvPr>
          <xdr:cNvCxnSpPr/>
        </xdr:nvCxnSpPr>
        <xdr:spPr>
          <a:xfrm>
            <a:off x="190695" y="8119382"/>
            <a:ext cx="1665072" cy="0"/>
          </a:xfrm>
          <a:prstGeom prst="straightConnector1">
            <a:avLst/>
          </a:prstGeom>
          <a:ln>
            <a:solidFill>
              <a:sysClr val="windowText" lastClr="000000"/>
            </a:solidFill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51" name="TextBox 450">
            <a:extLst>
              <a:ext uri="{FF2B5EF4-FFF2-40B4-BE49-F238E27FC236}">
                <a16:creationId xmlns:a16="http://schemas.microsoft.com/office/drawing/2014/main" id="{4B4C7E72-E697-4808-8110-7FE64F1FAFDD}"/>
              </a:ext>
            </a:extLst>
          </xdr:cNvPr>
          <xdr:cNvSpPr txBox="1"/>
        </xdr:nvSpPr>
        <xdr:spPr>
          <a:xfrm>
            <a:off x="3150823" y="7109052"/>
            <a:ext cx="335327" cy="1796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/>
              <a:t>T</a:t>
            </a:r>
          </a:p>
        </xdr:txBody>
      </xdr:sp>
      <xdr:sp macro="" textlink="">
        <xdr:nvSpPr>
          <xdr:cNvPr id="452" name="TextBox 451">
            <a:extLst>
              <a:ext uri="{FF2B5EF4-FFF2-40B4-BE49-F238E27FC236}">
                <a16:creationId xmlns:a16="http://schemas.microsoft.com/office/drawing/2014/main" id="{F9D07C2D-AA20-47AC-89CB-AEC0890946C7}"/>
              </a:ext>
            </a:extLst>
          </xdr:cNvPr>
          <xdr:cNvSpPr txBox="1"/>
        </xdr:nvSpPr>
        <xdr:spPr>
          <a:xfrm>
            <a:off x="98191" y="7176407"/>
            <a:ext cx="335327" cy="1796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/>
              <a:t>W</a:t>
            </a:r>
          </a:p>
        </xdr:txBody>
      </xdr:sp>
      <xdr:sp macro="" textlink="">
        <xdr:nvSpPr>
          <xdr:cNvPr id="453" name="TextBox 452">
            <a:extLst>
              <a:ext uri="{FF2B5EF4-FFF2-40B4-BE49-F238E27FC236}">
                <a16:creationId xmlns:a16="http://schemas.microsoft.com/office/drawing/2014/main" id="{23E456F5-A2AA-4812-A7D3-4554776127C7}"/>
              </a:ext>
            </a:extLst>
          </xdr:cNvPr>
          <xdr:cNvSpPr txBox="1"/>
        </xdr:nvSpPr>
        <xdr:spPr>
          <a:xfrm>
            <a:off x="907601" y="8194221"/>
            <a:ext cx="335327" cy="35922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/>
              <a:t>L</a:t>
            </a:r>
          </a:p>
        </xdr:txBody>
      </xdr:sp>
    </xdr:grpSp>
    <xdr:clientData/>
  </xdr:twoCellAnchor>
  <xdr:twoCellAnchor>
    <xdr:from>
      <xdr:col>0</xdr:col>
      <xdr:colOff>182880</xdr:colOff>
      <xdr:row>341</xdr:row>
      <xdr:rowOff>38100</xdr:rowOff>
    </xdr:from>
    <xdr:to>
      <xdr:col>4</xdr:col>
      <xdr:colOff>358140</xdr:colOff>
      <xdr:row>352</xdr:row>
      <xdr:rowOff>83820</xdr:rowOff>
    </xdr:to>
    <xdr:grpSp>
      <xdr:nvGrpSpPr>
        <xdr:cNvPr id="24229" name="Group 384">
          <a:extLst>
            <a:ext uri="{FF2B5EF4-FFF2-40B4-BE49-F238E27FC236}">
              <a16:creationId xmlns:a16="http://schemas.microsoft.com/office/drawing/2014/main" id="{A27C232D-DAF3-41C8-92B6-EC72E0EFC029}"/>
            </a:ext>
          </a:extLst>
        </xdr:cNvPr>
        <xdr:cNvGrpSpPr>
          <a:grpSpLocks/>
        </xdr:cNvGrpSpPr>
      </xdr:nvGrpSpPr>
      <xdr:grpSpPr bwMode="auto">
        <a:xfrm>
          <a:off x="182880" y="63619380"/>
          <a:ext cx="2735580" cy="2057400"/>
          <a:chOff x="209872" y="20553343"/>
          <a:chExt cx="3342953" cy="2640032"/>
        </a:xfrm>
      </xdr:grpSpPr>
      <xdr:grpSp>
        <xdr:nvGrpSpPr>
          <xdr:cNvPr id="24301" name="Group 194">
            <a:extLst>
              <a:ext uri="{FF2B5EF4-FFF2-40B4-BE49-F238E27FC236}">
                <a16:creationId xmlns:a16="http://schemas.microsoft.com/office/drawing/2014/main" id="{B8DF22DC-6705-497A-8B76-C29B4FEBABAA}"/>
              </a:ext>
            </a:extLst>
          </xdr:cNvPr>
          <xdr:cNvGrpSpPr>
            <a:grpSpLocks/>
          </xdr:cNvGrpSpPr>
        </xdr:nvGrpSpPr>
        <xdr:grpSpPr bwMode="auto">
          <a:xfrm>
            <a:off x="419099" y="20640676"/>
            <a:ext cx="3133726" cy="2095499"/>
            <a:chOff x="657224" y="20383501"/>
            <a:chExt cx="3133726" cy="2095499"/>
          </a:xfrm>
        </xdr:grpSpPr>
        <xdr:sp macro="" textlink="">
          <xdr:nvSpPr>
            <xdr:cNvPr id="408" name="Cube 407">
              <a:extLst>
                <a:ext uri="{FF2B5EF4-FFF2-40B4-BE49-F238E27FC236}">
                  <a16:creationId xmlns:a16="http://schemas.microsoft.com/office/drawing/2014/main" id="{8524F733-3430-4709-A835-0AB037E5F7EA}"/>
                </a:ext>
              </a:extLst>
            </xdr:cNvPr>
            <xdr:cNvSpPr/>
          </xdr:nvSpPr>
          <xdr:spPr>
            <a:xfrm>
              <a:off x="662414" y="20374392"/>
              <a:ext cx="1169546" cy="938678"/>
            </a:xfrm>
            <a:prstGeom prst="cube">
              <a:avLst>
                <a:gd name="adj" fmla="val 55526"/>
              </a:avLst>
            </a:prstGeom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en-US"/>
            </a:p>
          </xdr:txBody>
        </xdr:sp>
        <xdr:sp macro="" textlink="">
          <xdr:nvSpPr>
            <xdr:cNvPr id="409" name="Cube 408">
              <a:extLst>
                <a:ext uri="{FF2B5EF4-FFF2-40B4-BE49-F238E27FC236}">
                  <a16:creationId xmlns:a16="http://schemas.microsoft.com/office/drawing/2014/main" id="{584B785D-9530-4562-B36C-5F70B9B04261}"/>
                </a:ext>
              </a:extLst>
            </xdr:cNvPr>
            <xdr:cNvSpPr/>
          </xdr:nvSpPr>
          <xdr:spPr>
            <a:xfrm>
              <a:off x="1315411" y="20794841"/>
              <a:ext cx="1169546" cy="928900"/>
            </a:xfrm>
            <a:prstGeom prst="cube">
              <a:avLst>
                <a:gd name="adj" fmla="val 55526"/>
              </a:avLst>
            </a:prstGeom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en-US"/>
            </a:p>
          </xdr:txBody>
        </xdr:sp>
        <xdr:sp macro="" textlink="">
          <xdr:nvSpPr>
            <xdr:cNvPr id="413" name="Right Triangle 412">
              <a:extLst>
                <a:ext uri="{FF2B5EF4-FFF2-40B4-BE49-F238E27FC236}">
                  <a16:creationId xmlns:a16="http://schemas.microsoft.com/office/drawing/2014/main" id="{23694826-CBC2-4692-89FC-3B8A8C81CDE3}"/>
                </a:ext>
              </a:extLst>
            </xdr:cNvPr>
            <xdr:cNvSpPr/>
          </xdr:nvSpPr>
          <xdr:spPr>
            <a:xfrm rot="10800000">
              <a:off x="652668" y="20921954"/>
              <a:ext cx="662743" cy="371560"/>
            </a:xfrm>
            <a:prstGeom prst="rtTriangle">
              <a:avLst/>
            </a:prstGeom>
            <a:blipFill>
              <a:blip xmlns:r="http://schemas.openxmlformats.org/officeDocument/2006/relationships" r:embed="rId1"/>
              <a:tile tx="0" ty="0" sx="100000" sy="100000" flip="none" algn="tl"/>
            </a:blip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en-US"/>
            </a:p>
          </xdr:txBody>
        </xdr:sp>
        <xdr:sp macro="" textlink="">
          <xdr:nvSpPr>
            <xdr:cNvPr id="414" name="Right Triangle 413">
              <a:extLst>
                <a:ext uri="{FF2B5EF4-FFF2-40B4-BE49-F238E27FC236}">
                  <a16:creationId xmlns:a16="http://schemas.microsoft.com/office/drawing/2014/main" id="{A5318DA3-3DE0-4E47-BFE0-B97914A844AC}"/>
                </a:ext>
              </a:extLst>
            </xdr:cNvPr>
            <xdr:cNvSpPr/>
          </xdr:nvSpPr>
          <xdr:spPr>
            <a:xfrm rot="10800000">
              <a:off x="1315411" y="21283736"/>
              <a:ext cx="662743" cy="391116"/>
            </a:xfrm>
            <a:prstGeom prst="rtTriangle">
              <a:avLst/>
            </a:prstGeom>
            <a:blipFill>
              <a:blip xmlns:r="http://schemas.openxmlformats.org/officeDocument/2006/relationships" r:embed="rId1"/>
              <a:tile tx="0" ty="0" sx="100000" sy="100000" flip="none" algn="tl"/>
            </a:blip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en-US"/>
            </a:p>
          </xdr:txBody>
        </xdr:sp>
        <xdr:sp macro="" textlink="">
          <xdr:nvSpPr>
            <xdr:cNvPr id="415" name="Cube 414">
              <a:extLst>
                <a:ext uri="{FF2B5EF4-FFF2-40B4-BE49-F238E27FC236}">
                  <a16:creationId xmlns:a16="http://schemas.microsoft.com/office/drawing/2014/main" id="{B034A6D9-AB7E-4E8F-A274-E84F2AADC4EB}"/>
                </a:ext>
              </a:extLst>
            </xdr:cNvPr>
            <xdr:cNvSpPr/>
          </xdr:nvSpPr>
          <xdr:spPr>
            <a:xfrm>
              <a:off x="1958661" y="21166401"/>
              <a:ext cx="1169546" cy="928900"/>
            </a:xfrm>
            <a:prstGeom prst="cube">
              <a:avLst>
                <a:gd name="adj" fmla="val 55526"/>
              </a:avLst>
            </a:prstGeom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en-US"/>
            </a:p>
          </xdr:txBody>
        </xdr:sp>
        <xdr:sp macro="" textlink="">
          <xdr:nvSpPr>
            <xdr:cNvPr id="416" name="Right Triangle 415">
              <a:extLst>
                <a:ext uri="{FF2B5EF4-FFF2-40B4-BE49-F238E27FC236}">
                  <a16:creationId xmlns:a16="http://schemas.microsoft.com/office/drawing/2014/main" id="{EB3B3BEF-19CD-4C35-A45D-F49A2B1FCF84}"/>
                </a:ext>
              </a:extLst>
            </xdr:cNvPr>
            <xdr:cNvSpPr/>
          </xdr:nvSpPr>
          <xdr:spPr>
            <a:xfrm rot="10800000">
              <a:off x="1958661" y="21674852"/>
              <a:ext cx="662743" cy="371560"/>
            </a:xfrm>
            <a:prstGeom prst="rtTriangle">
              <a:avLst/>
            </a:prstGeom>
            <a:blipFill>
              <a:blip xmlns:r="http://schemas.openxmlformats.org/officeDocument/2006/relationships" r:embed="rId1"/>
              <a:tile tx="0" ty="0" sx="100000" sy="100000" flip="none" algn="tl"/>
            </a:blip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en-US"/>
            </a:p>
          </xdr:txBody>
        </xdr:sp>
        <xdr:sp macro="" textlink="">
          <xdr:nvSpPr>
            <xdr:cNvPr id="417" name="Cube 416">
              <a:extLst>
                <a:ext uri="{FF2B5EF4-FFF2-40B4-BE49-F238E27FC236}">
                  <a16:creationId xmlns:a16="http://schemas.microsoft.com/office/drawing/2014/main" id="{AEE0F43E-32B5-4823-A464-907FA1D6632F}"/>
                </a:ext>
              </a:extLst>
            </xdr:cNvPr>
            <xdr:cNvSpPr/>
          </xdr:nvSpPr>
          <xdr:spPr>
            <a:xfrm>
              <a:off x="2621404" y="21537961"/>
              <a:ext cx="1169546" cy="938678"/>
            </a:xfrm>
            <a:prstGeom prst="cube">
              <a:avLst>
                <a:gd name="adj" fmla="val 55526"/>
              </a:avLst>
            </a:prstGeom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en-US"/>
            </a:p>
          </xdr:txBody>
        </xdr:sp>
        <xdr:sp macro="" textlink="">
          <xdr:nvSpPr>
            <xdr:cNvPr id="418" name="Right Triangle 417">
              <a:extLst>
                <a:ext uri="{FF2B5EF4-FFF2-40B4-BE49-F238E27FC236}">
                  <a16:creationId xmlns:a16="http://schemas.microsoft.com/office/drawing/2014/main" id="{BCC86241-2F1F-416D-B195-8D14E56E4F8C}"/>
                </a:ext>
              </a:extLst>
            </xdr:cNvPr>
            <xdr:cNvSpPr/>
          </xdr:nvSpPr>
          <xdr:spPr>
            <a:xfrm rot="10800000">
              <a:off x="2631150" y="22046412"/>
              <a:ext cx="662743" cy="381338"/>
            </a:xfrm>
            <a:prstGeom prst="rtTriangle">
              <a:avLst/>
            </a:prstGeom>
            <a:blipFill>
              <a:blip xmlns:r="http://schemas.openxmlformats.org/officeDocument/2006/relationships" r:embed="rId1"/>
              <a:tile tx="0" ty="0" sx="100000" sy="100000" flip="none" algn="tl"/>
            </a:blip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en-US"/>
            </a:p>
          </xdr:txBody>
        </xdr:sp>
        <xdr:sp macro="" textlink="">
          <xdr:nvSpPr>
            <xdr:cNvPr id="434" name="Diagonal Stripe 433">
              <a:extLst>
                <a:ext uri="{FF2B5EF4-FFF2-40B4-BE49-F238E27FC236}">
                  <a16:creationId xmlns:a16="http://schemas.microsoft.com/office/drawing/2014/main" id="{D91B5676-F4F0-40E8-AD49-6BC5248A9148}"/>
                </a:ext>
              </a:extLst>
            </xdr:cNvPr>
            <xdr:cNvSpPr/>
          </xdr:nvSpPr>
          <xdr:spPr>
            <a:xfrm rot="16200000">
              <a:off x="1244685" y="20359176"/>
              <a:ext cx="1544907" cy="2670463"/>
            </a:xfrm>
            <a:prstGeom prst="diagStripe">
              <a:avLst>
                <a:gd name="adj" fmla="val 72826"/>
              </a:avLst>
            </a:prstGeom>
            <a:blipFill>
              <a:blip xmlns:r="http://schemas.openxmlformats.org/officeDocument/2006/relationships" r:embed="rId1"/>
              <a:tile tx="0" ty="0" sx="100000" sy="100000" flip="none" algn="tl"/>
            </a:blip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en-US"/>
            </a:p>
          </xdr:txBody>
        </xdr:sp>
      </xdr:grpSp>
      <xdr:cxnSp macro="">
        <xdr:nvCxnSpPr>
          <xdr:cNvPr id="389" name="Straight Connector 388">
            <a:extLst>
              <a:ext uri="{FF2B5EF4-FFF2-40B4-BE49-F238E27FC236}">
                <a16:creationId xmlns:a16="http://schemas.microsoft.com/office/drawing/2014/main" id="{060DE4CD-E287-4A8D-8ED3-FFF663A4B154}"/>
              </a:ext>
            </a:extLst>
          </xdr:cNvPr>
          <xdr:cNvCxnSpPr/>
        </xdr:nvCxnSpPr>
        <xdr:spPr>
          <a:xfrm>
            <a:off x="3016783" y="22694702"/>
            <a:ext cx="438580" cy="23467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91" name="Straight Connector 390">
            <a:extLst>
              <a:ext uri="{FF2B5EF4-FFF2-40B4-BE49-F238E27FC236}">
                <a16:creationId xmlns:a16="http://schemas.microsoft.com/office/drawing/2014/main" id="{C44C99EC-0A1A-4CD8-B327-A0F4CE6A235E}"/>
              </a:ext>
            </a:extLst>
          </xdr:cNvPr>
          <xdr:cNvCxnSpPr/>
        </xdr:nvCxnSpPr>
        <xdr:spPr>
          <a:xfrm>
            <a:off x="2402771" y="22733814"/>
            <a:ext cx="799190" cy="459561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92" name="Straight Arrow Connector 391">
            <a:extLst>
              <a:ext uri="{FF2B5EF4-FFF2-40B4-BE49-F238E27FC236}">
                <a16:creationId xmlns:a16="http://schemas.microsoft.com/office/drawing/2014/main" id="{7B577463-A55D-4BE9-B477-31343BC7348B}"/>
              </a:ext>
            </a:extLst>
          </xdr:cNvPr>
          <xdr:cNvCxnSpPr/>
        </xdr:nvCxnSpPr>
        <xdr:spPr>
          <a:xfrm flipV="1">
            <a:off x="3065514" y="22851149"/>
            <a:ext cx="233909" cy="273781"/>
          </a:xfrm>
          <a:prstGeom prst="straightConnector1">
            <a:avLst/>
          </a:prstGeom>
          <a:ln>
            <a:solidFill>
              <a:sysClr val="windowText" lastClr="000000"/>
            </a:solidFill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93" name="Straight Arrow Connector 392">
            <a:extLst>
              <a:ext uri="{FF2B5EF4-FFF2-40B4-BE49-F238E27FC236}">
                <a16:creationId xmlns:a16="http://schemas.microsoft.com/office/drawing/2014/main" id="{702E949B-CE8F-49A0-AE68-F0C8AE1DFCD9}"/>
              </a:ext>
            </a:extLst>
          </xdr:cNvPr>
          <xdr:cNvCxnSpPr/>
        </xdr:nvCxnSpPr>
        <xdr:spPr>
          <a:xfrm flipH="1">
            <a:off x="278096" y="20612010"/>
            <a:ext cx="516550" cy="567118"/>
          </a:xfrm>
          <a:prstGeom prst="straightConnector1">
            <a:avLst/>
          </a:prstGeom>
          <a:ln>
            <a:solidFill>
              <a:sysClr val="windowText" lastClr="000000"/>
            </a:solidFill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94" name="Straight Arrow Connector 393">
            <a:extLst>
              <a:ext uri="{FF2B5EF4-FFF2-40B4-BE49-F238E27FC236}">
                <a16:creationId xmlns:a16="http://schemas.microsoft.com/office/drawing/2014/main" id="{D98740DF-C66A-4A42-BBA4-D58967B126CC}"/>
              </a:ext>
            </a:extLst>
          </xdr:cNvPr>
          <xdr:cNvCxnSpPr>
            <a:stCxn id="408" idx="5"/>
          </xdr:cNvCxnSpPr>
        </xdr:nvCxnSpPr>
        <xdr:spPr>
          <a:xfrm>
            <a:off x="1603581" y="20846680"/>
            <a:ext cx="672489" cy="0"/>
          </a:xfrm>
          <a:prstGeom prst="straightConnector1">
            <a:avLst/>
          </a:prstGeom>
          <a:ln>
            <a:solidFill>
              <a:sysClr val="windowText" lastClr="000000"/>
            </a:solidFill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98" name="Straight Arrow Connector 397">
            <a:extLst>
              <a:ext uri="{FF2B5EF4-FFF2-40B4-BE49-F238E27FC236}">
                <a16:creationId xmlns:a16="http://schemas.microsoft.com/office/drawing/2014/main" id="{FFBEF250-9A55-4F65-930F-D8DD376AA215}"/>
              </a:ext>
            </a:extLst>
          </xdr:cNvPr>
          <xdr:cNvCxnSpPr>
            <a:stCxn id="415" idx="0"/>
          </xdr:cNvCxnSpPr>
        </xdr:nvCxnSpPr>
        <xdr:spPr>
          <a:xfrm flipV="1">
            <a:off x="2568457" y="21052016"/>
            <a:ext cx="9746" cy="371560"/>
          </a:xfrm>
          <a:prstGeom prst="straightConnector1">
            <a:avLst/>
          </a:prstGeom>
          <a:ln>
            <a:solidFill>
              <a:sysClr val="windowText" lastClr="000000"/>
            </a:solidFill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01" name="TextBox 400">
            <a:extLst>
              <a:ext uri="{FF2B5EF4-FFF2-40B4-BE49-F238E27FC236}">
                <a16:creationId xmlns:a16="http://schemas.microsoft.com/office/drawing/2014/main" id="{047AC41A-D698-489D-8404-79F7A5D7B26F}"/>
              </a:ext>
            </a:extLst>
          </xdr:cNvPr>
          <xdr:cNvSpPr txBox="1"/>
        </xdr:nvSpPr>
        <xdr:spPr>
          <a:xfrm>
            <a:off x="209872" y="20670678"/>
            <a:ext cx="311879" cy="33244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n-US" sz="1100"/>
              <a:t>W</a:t>
            </a:r>
          </a:p>
        </xdr:txBody>
      </xdr:sp>
      <xdr:sp macro="" textlink="">
        <xdr:nvSpPr>
          <xdr:cNvPr id="402" name="TextBox 401">
            <a:extLst>
              <a:ext uri="{FF2B5EF4-FFF2-40B4-BE49-F238E27FC236}">
                <a16:creationId xmlns:a16="http://schemas.microsoft.com/office/drawing/2014/main" id="{0143EFC1-423F-492D-B9E0-6802944727A7}"/>
              </a:ext>
            </a:extLst>
          </xdr:cNvPr>
          <xdr:cNvSpPr txBox="1"/>
        </xdr:nvSpPr>
        <xdr:spPr>
          <a:xfrm>
            <a:off x="2578203" y="21091127"/>
            <a:ext cx="428834" cy="33244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/>
              <a:t>R</a:t>
            </a:r>
            <a:r>
              <a:rPr lang="en-US" sz="800"/>
              <a:t>H</a:t>
            </a:r>
          </a:p>
        </xdr:txBody>
      </xdr:sp>
      <xdr:sp macro="" textlink="">
        <xdr:nvSpPr>
          <xdr:cNvPr id="403" name="TextBox 402">
            <a:extLst>
              <a:ext uri="{FF2B5EF4-FFF2-40B4-BE49-F238E27FC236}">
                <a16:creationId xmlns:a16="http://schemas.microsoft.com/office/drawing/2014/main" id="{2E2027C5-777F-4A43-A08C-7ACEEA7E08B1}"/>
              </a:ext>
            </a:extLst>
          </xdr:cNvPr>
          <xdr:cNvSpPr txBox="1"/>
        </xdr:nvSpPr>
        <xdr:spPr>
          <a:xfrm>
            <a:off x="1798506" y="20553343"/>
            <a:ext cx="399595" cy="3422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/>
              <a:t>T</a:t>
            </a:r>
            <a:r>
              <a:rPr lang="en-US" sz="800"/>
              <a:t>R</a:t>
            </a:r>
          </a:p>
        </xdr:txBody>
      </xdr:sp>
      <xdr:sp macro="" textlink="">
        <xdr:nvSpPr>
          <xdr:cNvPr id="404" name="TextBox 403">
            <a:extLst>
              <a:ext uri="{FF2B5EF4-FFF2-40B4-BE49-F238E27FC236}">
                <a16:creationId xmlns:a16="http://schemas.microsoft.com/office/drawing/2014/main" id="{13322310-DFF1-4BB2-BCA0-60FBEB798329}"/>
              </a:ext>
            </a:extLst>
          </xdr:cNvPr>
          <xdr:cNvSpPr txBox="1"/>
        </xdr:nvSpPr>
        <xdr:spPr>
          <a:xfrm>
            <a:off x="2812112" y="22743592"/>
            <a:ext cx="419087" cy="33244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/>
              <a:t>T</a:t>
            </a:r>
            <a:r>
              <a:rPr lang="en-US" sz="800"/>
              <a:t>S</a:t>
            </a:r>
          </a:p>
        </xdr:txBody>
      </xdr:sp>
    </xdr:grpSp>
    <xdr:clientData/>
  </xdr:twoCellAnchor>
  <xdr:twoCellAnchor>
    <xdr:from>
      <xdr:col>0</xdr:col>
      <xdr:colOff>278781</xdr:colOff>
      <xdr:row>344</xdr:row>
      <xdr:rowOff>119100</xdr:rowOff>
    </xdr:from>
    <xdr:to>
      <xdr:col>3</xdr:col>
      <xdr:colOff>356681</xdr:colOff>
      <xdr:row>350</xdr:row>
      <xdr:rowOff>167937</xdr:rowOff>
    </xdr:to>
    <xdr:cxnSp macro="">
      <xdr:nvCxnSpPr>
        <xdr:cNvPr id="435" name="Straight Connector 434">
          <a:extLst>
            <a:ext uri="{FF2B5EF4-FFF2-40B4-BE49-F238E27FC236}">
              <a16:creationId xmlns:a16="http://schemas.microsoft.com/office/drawing/2014/main" id="{D50E9C94-1EB0-4FA7-8E4D-87E4BD80E75B}"/>
            </a:ext>
          </a:extLst>
        </xdr:cNvPr>
        <xdr:cNvCxnSpPr/>
      </xdr:nvCxnSpPr>
      <xdr:spPr>
        <a:xfrm>
          <a:off x="278781" y="66162275"/>
          <a:ext cx="2021000" cy="1191837"/>
        </a:xfrm>
        <a:prstGeom prst="line">
          <a:avLst/>
        </a:prstGeom>
        <a:ln w="28575">
          <a:solidFill>
            <a:srgbClr val="00B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280560</xdr:colOff>
      <xdr:row>344</xdr:row>
      <xdr:rowOff>36554</xdr:rowOff>
    </xdr:from>
    <xdr:to>
      <xdr:col>3</xdr:col>
      <xdr:colOff>526816</xdr:colOff>
      <xdr:row>350</xdr:row>
      <xdr:rowOff>126516</xdr:rowOff>
    </xdr:to>
    <xdr:sp macro="" textlink="">
      <xdr:nvSpPr>
        <xdr:cNvPr id="436" name="Freeform 435">
          <a:extLst>
            <a:ext uri="{FF2B5EF4-FFF2-40B4-BE49-F238E27FC236}">
              <a16:creationId xmlns:a16="http://schemas.microsoft.com/office/drawing/2014/main" id="{F40B6516-E62F-441C-A1AC-3AC7B47274D3}"/>
            </a:ext>
          </a:extLst>
        </xdr:cNvPr>
        <xdr:cNvSpPr/>
      </xdr:nvSpPr>
      <xdr:spPr>
        <a:xfrm>
          <a:off x="280560" y="66079729"/>
          <a:ext cx="2189356" cy="1240573"/>
        </a:xfrm>
        <a:custGeom>
          <a:avLst/>
          <a:gdLst>
            <a:gd name="connsiteX0" fmla="*/ 0 w 2211658"/>
            <a:gd name="connsiteY0" fmla="*/ 0 h 1240573"/>
            <a:gd name="connsiteX1" fmla="*/ 557560 w 2211658"/>
            <a:gd name="connsiteY1" fmla="*/ 0 h 1240573"/>
            <a:gd name="connsiteX2" fmla="*/ 552914 w 2211658"/>
            <a:gd name="connsiteY2" fmla="*/ 306658 h 1240573"/>
            <a:gd name="connsiteX3" fmla="*/ 1105829 w 2211658"/>
            <a:gd name="connsiteY3" fmla="*/ 306658 h 1240573"/>
            <a:gd name="connsiteX4" fmla="*/ 1105829 w 2211658"/>
            <a:gd name="connsiteY4" fmla="*/ 631902 h 1240573"/>
            <a:gd name="connsiteX5" fmla="*/ 1635512 w 2211658"/>
            <a:gd name="connsiteY5" fmla="*/ 636549 h 1240573"/>
            <a:gd name="connsiteX6" fmla="*/ 1635512 w 2211658"/>
            <a:gd name="connsiteY6" fmla="*/ 924622 h 1240573"/>
            <a:gd name="connsiteX7" fmla="*/ 2207012 w 2211658"/>
            <a:gd name="connsiteY7" fmla="*/ 929268 h 1240573"/>
            <a:gd name="connsiteX8" fmla="*/ 2211658 w 2211658"/>
            <a:gd name="connsiteY8" fmla="*/ 1240573 h 124057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</a:cxnLst>
          <a:rect l="l" t="t" r="r" b="b"/>
          <a:pathLst>
            <a:path w="2211658" h="1240573">
              <a:moveTo>
                <a:pt x="0" y="0"/>
              </a:moveTo>
              <a:lnTo>
                <a:pt x="557560" y="0"/>
              </a:lnTo>
              <a:cubicBezTo>
                <a:pt x="556011" y="102219"/>
                <a:pt x="554463" y="204439"/>
                <a:pt x="552914" y="306658"/>
              </a:cubicBezTo>
              <a:lnTo>
                <a:pt x="1105829" y="306658"/>
              </a:lnTo>
              <a:lnTo>
                <a:pt x="1105829" y="631902"/>
              </a:lnTo>
              <a:lnTo>
                <a:pt x="1635512" y="636549"/>
              </a:lnTo>
              <a:lnTo>
                <a:pt x="1635512" y="924622"/>
              </a:lnTo>
              <a:lnTo>
                <a:pt x="2207012" y="929268"/>
              </a:lnTo>
              <a:cubicBezTo>
                <a:pt x="2208561" y="1033036"/>
                <a:pt x="2210109" y="1136805"/>
                <a:pt x="2211658" y="1240573"/>
              </a:cubicBezTo>
            </a:path>
          </a:pathLst>
        </a:cu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0</xdr:col>
      <xdr:colOff>409372</xdr:colOff>
      <xdr:row>344</xdr:row>
      <xdr:rowOff>139565</xdr:rowOff>
    </xdr:from>
    <xdr:to>
      <xdr:col>0</xdr:col>
      <xdr:colOff>458010</xdr:colOff>
      <xdr:row>345</xdr:row>
      <xdr:rowOff>1346</xdr:rowOff>
    </xdr:to>
    <xdr:sp macro="" textlink="">
      <xdr:nvSpPr>
        <xdr:cNvPr id="454" name="Oval 453">
          <a:extLst>
            <a:ext uri="{FF2B5EF4-FFF2-40B4-BE49-F238E27FC236}">
              <a16:creationId xmlns:a16="http://schemas.microsoft.com/office/drawing/2014/main" id="{CF78FA91-CCBB-40E5-BC54-1D1DEADE6634}"/>
            </a:ext>
          </a:extLst>
        </xdr:cNvPr>
        <xdr:cNvSpPr/>
      </xdr:nvSpPr>
      <xdr:spPr>
        <a:xfrm>
          <a:off x="409372" y="66182740"/>
          <a:ext cx="48638" cy="45719"/>
        </a:xfrm>
        <a:prstGeom prst="ellipse">
          <a:avLst/>
        </a:prstGeom>
        <a:solidFill>
          <a:srgbClr val="7030A0"/>
        </a:solidFill>
        <a:ln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</xdr:col>
      <xdr:colOff>196985</xdr:colOff>
      <xdr:row>346</xdr:row>
      <xdr:rowOff>22698</xdr:rowOff>
    </xdr:from>
    <xdr:to>
      <xdr:col>1</xdr:col>
      <xdr:colOff>260512</xdr:colOff>
      <xdr:row>346</xdr:row>
      <xdr:rowOff>62702</xdr:rowOff>
    </xdr:to>
    <xdr:sp macro="" textlink="">
      <xdr:nvSpPr>
        <xdr:cNvPr id="455" name="Oval 454">
          <a:extLst>
            <a:ext uri="{FF2B5EF4-FFF2-40B4-BE49-F238E27FC236}">
              <a16:creationId xmlns:a16="http://schemas.microsoft.com/office/drawing/2014/main" id="{A9AE05CD-C5EF-4D4F-9990-54F0776A2933}"/>
            </a:ext>
          </a:extLst>
        </xdr:cNvPr>
        <xdr:cNvSpPr/>
      </xdr:nvSpPr>
      <xdr:spPr>
        <a:xfrm>
          <a:off x="844685" y="66440523"/>
          <a:ext cx="48638" cy="45719"/>
        </a:xfrm>
        <a:prstGeom prst="ellipse">
          <a:avLst/>
        </a:prstGeom>
        <a:solidFill>
          <a:srgbClr val="7030A0"/>
        </a:solidFill>
        <a:ln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98087</xdr:colOff>
      <xdr:row>347</xdr:row>
      <xdr:rowOff>152535</xdr:rowOff>
    </xdr:from>
    <xdr:to>
      <xdr:col>2</xdr:col>
      <xdr:colOff>146725</xdr:colOff>
      <xdr:row>348</xdr:row>
      <xdr:rowOff>7754</xdr:rowOff>
    </xdr:to>
    <xdr:sp macro="" textlink="">
      <xdr:nvSpPr>
        <xdr:cNvPr id="456" name="Oval 455">
          <a:extLst>
            <a:ext uri="{FF2B5EF4-FFF2-40B4-BE49-F238E27FC236}">
              <a16:creationId xmlns:a16="http://schemas.microsoft.com/office/drawing/2014/main" id="{38D6CF33-3540-46E3-912B-DBEC5A2B843C}"/>
            </a:ext>
          </a:extLst>
        </xdr:cNvPr>
        <xdr:cNvSpPr/>
      </xdr:nvSpPr>
      <xdr:spPr>
        <a:xfrm>
          <a:off x="1393487" y="66767210"/>
          <a:ext cx="48638" cy="45719"/>
        </a:xfrm>
        <a:prstGeom prst="ellipse">
          <a:avLst/>
        </a:prstGeom>
        <a:solidFill>
          <a:srgbClr val="7030A0"/>
        </a:solidFill>
        <a:ln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607438</xdr:colOff>
      <xdr:row>349</xdr:row>
      <xdr:rowOff>74713</xdr:rowOff>
    </xdr:from>
    <xdr:to>
      <xdr:col>3</xdr:col>
      <xdr:colOff>12159</xdr:colOff>
      <xdr:row>349</xdr:row>
      <xdr:rowOff>120432</xdr:rowOff>
    </xdr:to>
    <xdr:sp macro="" textlink="">
      <xdr:nvSpPr>
        <xdr:cNvPr id="457" name="Oval 456">
          <a:extLst>
            <a:ext uri="{FF2B5EF4-FFF2-40B4-BE49-F238E27FC236}">
              <a16:creationId xmlns:a16="http://schemas.microsoft.com/office/drawing/2014/main" id="{94F70CDB-C03C-48D4-BC88-583A5A15A3FD}"/>
            </a:ext>
          </a:extLst>
        </xdr:cNvPr>
        <xdr:cNvSpPr/>
      </xdr:nvSpPr>
      <xdr:spPr>
        <a:xfrm>
          <a:off x="1915538" y="67070388"/>
          <a:ext cx="39721" cy="45719"/>
        </a:xfrm>
        <a:prstGeom prst="ellipse">
          <a:avLst/>
        </a:prstGeom>
        <a:solidFill>
          <a:srgbClr val="7030A0"/>
        </a:solidFill>
        <a:ln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0</xdr:col>
      <xdr:colOff>413426</xdr:colOff>
      <xdr:row>344</xdr:row>
      <xdr:rowOff>50882</xdr:rowOff>
    </xdr:from>
    <xdr:to>
      <xdr:col>0</xdr:col>
      <xdr:colOff>462064</xdr:colOff>
      <xdr:row>344</xdr:row>
      <xdr:rowOff>105745</xdr:rowOff>
    </xdr:to>
    <xdr:sp macro="" textlink="">
      <xdr:nvSpPr>
        <xdr:cNvPr id="458" name="Oval 457">
          <a:extLst>
            <a:ext uri="{FF2B5EF4-FFF2-40B4-BE49-F238E27FC236}">
              <a16:creationId xmlns:a16="http://schemas.microsoft.com/office/drawing/2014/main" id="{477B97CF-11E5-4F62-B2C1-A1DE7E4CFAE5}"/>
            </a:ext>
          </a:extLst>
        </xdr:cNvPr>
        <xdr:cNvSpPr/>
      </xdr:nvSpPr>
      <xdr:spPr>
        <a:xfrm>
          <a:off x="413426" y="66101677"/>
          <a:ext cx="48638" cy="45719"/>
        </a:xfrm>
        <a:prstGeom prst="ellipse">
          <a:avLst/>
        </a:prstGeom>
        <a:solidFill>
          <a:srgbClr val="00B0F0"/>
        </a:solidFill>
        <a:ln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</xdr:col>
      <xdr:colOff>115922</xdr:colOff>
      <xdr:row>344</xdr:row>
      <xdr:rowOff>49260</xdr:rowOff>
    </xdr:from>
    <xdr:to>
      <xdr:col>1</xdr:col>
      <xdr:colOff>164560</xdr:colOff>
      <xdr:row>344</xdr:row>
      <xdr:rowOff>104123</xdr:rowOff>
    </xdr:to>
    <xdr:sp macro="" textlink="">
      <xdr:nvSpPr>
        <xdr:cNvPr id="459" name="Oval 458">
          <a:extLst>
            <a:ext uri="{FF2B5EF4-FFF2-40B4-BE49-F238E27FC236}">
              <a16:creationId xmlns:a16="http://schemas.microsoft.com/office/drawing/2014/main" id="{A3B85356-349B-44C5-A9CD-49D76E5B9B83}"/>
            </a:ext>
          </a:extLst>
        </xdr:cNvPr>
        <xdr:cNvSpPr/>
      </xdr:nvSpPr>
      <xdr:spPr>
        <a:xfrm>
          <a:off x="763622" y="66100055"/>
          <a:ext cx="48638" cy="45719"/>
        </a:xfrm>
        <a:prstGeom prst="ellipse">
          <a:avLst/>
        </a:prstGeom>
        <a:solidFill>
          <a:srgbClr val="00B0F0"/>
        </a:solidFill>
        <a:ln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</xdr:col>
      <xdr:colOff>260215</xdr:colOff>
      <xdr:row>345</xdr:row>
      <xdr:rowOff>161128</xdr:rowOff>
    </xdr:from>
    <xdr:to>
      <xdr:col>1</xdr:col>
      <xdr:colOff>308853</xdr:colOff>
      <xdr:row>346</xdr:row>
      <xdr:rowOff>25872</xdr:rowOff>
    </xdr:to>
    <xdr:sp macro="" textlink="">
      <xdr:nvSpPr>
        <xdr:cNvPr id="460" name="Oval 459">
          <a:extLst>
            <a:ext uri="{FF2B5EF4-FFF2-40B4-BE49-F238E27FC236}">
              <a16:creationId xmlns:a16="http://schemas.microsoft.com/office/drawing/2014/main" id="{13D63BF7-CC1C-45E2-B38A-6CD7074411C4}"/>
            </a:ext>
          </a:extLst>
        </xdr:cNvPr>
        <xdr:cNvSpPr/>
      </xdr:nvSpPr>
      <xdr:spPr>
        <a:xfrm>
          <a:off x="907915" y="66402423"/>
          <a:ext cx="48638" cy="45719"/>
        </a:xfrm>
        <a:prstGeom prst="ellipse">
          <a:avLst/>
        </a:prstGeom>
        <a:solidFill>
          <a:srgbClr val="00B0F0"/>
        </a:solidFill>
        <a:ln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2296</xdr:colOff>
      <xdr:row>345</xdr:row>
      <xdr:rowOff>179286</xdr:rowOff>
    </xdr:from>
    <xdr:to>
      <xdr:col>2</xdr:col>
      <xdr:colOff>35667</xdr:colOff>
      <xdr:row>346</xdr:row>
      <xdr:rowOff>41067</xdr:rowOff>
    </xdr:to>
    <xdr:sp macro="" textlink="">
      <xdr:nvSpPr>
        <xdr:cNvPr id="461" name="Oval 460">
          <a:extLst>
            <a:ext uri="{FF2B5EF4-FFF2-40B4-BE49-F238E27FC236}">
              <a16:creationId xmlns:a16="http://schemas.microsoft.com/office/drawing/2014/main" id="{3DB9C4A0-27EE-4A67-9A1B-6AE0416FD55C}"/>
            </a:ext>
          </a:extLst>
        </xdr:cNvPr>
        <xdr:cNvSpPr/>
      </xdr:nvSpPr>
      <xdr:spPr>
        <a:xfrm>
          <a:off x="1291346" y="66412961"/>
          <a:ext cx="39721" cy="45719"/>
        </a:xfrm>
        <a:prstGeom prst="ellipse">
          <a:avLst/>
        </a:prstGeom>
        <a:solidFill>
          <a:srgbClr val="00B0F0"/>
        </a:solidFill>
        <a:ln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184014</xdr:colOff>
      <xdr:row>347</xdr:row>
      <xdr:rowOff>120920</xdr:rowOff>
    </xdr:from>
    <xdr:to>
      <xdr:col>2</xdr:col>
      <xdr:colOff>239600</xdr:colOff>
      <xdr:row>347</xdr:row>
      <xdr:rowOff>166639</xdr:rowOff>
    </xdr:to>
    <xdr:sp macro="" textlink="">
      <xdr:nvSpPr>
        <xdr:cNvPr id="462" name="Oval 461">
          <a:extLst>
            <a:ext uri="{FF2B5EF4-FFF2-40B4-BE49-F238E27FC236}">
              <a16:creationId xmlns:a16="http://schemas.microsoft.com/office/drawing/2014/main" id="{18D08111-3478-4E9F-ABAA-867941FF51E5}"/>
            </a:ext>
          </a:extLst>
        </xdr:cNvPr>
        <xdr:cNvSpPr/>
      </xdr:nvSpPr>
      <xdr:spPr>
        <a:xfrm>
          <a:off x="1479414" y="66735595"/>
          <a:ext cx="48638" cy="45719"/>
        </a:xfrm>
        <a:prstGeom prst="ellipse">
          <a:avLst/>
        </a:prstGeom>
        <a:solidFill>
          <a:srgbClr val="00B0F0"/>
        </a:solidFill>
        <a:ln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539074</xdr:colOff>
      <xdr:row>347</xdr:row>
      <xdr:rowOff>123353</xdr:rowOff>
    </xdr:from>
    <xdr:to>
      <xdr:col>2</xdr:col>
      <xdr:colOff>602601</xdr:colOff>
      <xdr:row>347</xdr:row>
      <xdr:rowOff>169072</xdr:rowOff>
    </xdr:to>
    <xdr:sp macro="" textlink="">
      <xdr:nvSpPr>
        <xdr:cNvPr id="463" name="Oval 462">
          <a:extLst>
            <a:ext uri="{FF2B5EF4-FFF2-40B4-BE49-F238E27FC236}">
              <a16:creationId xmlns:a16="http://schemas.microsoft.com/office/drawing/2014/main" id="{5B257B90-EFE2-4B03-8245-D268EE37C364}"/>
            </a:ext>
          </a:extLst>
        </xdr:cNvPr>
        <xdr:cNvSpPr/>
      </xdr:nvSpPr>
      <xdr:spPr>
        <a:xfrm>
          <a:off x="1834474" y="66738028"/>
          <a:ext cx="48638" cy="45719"/>
        </a:xfrm>
        <a:prstGeom prst="ellipse">
          <a:avLst/>
        </a:prstGeom>
        <a:solidFill>
          <a:srgbClr val="00B0F0"/>
        </a:solidFill>
        <a:ln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</xdr:col>
      <xdr:colOff>38910</xdr:colOff>
      <xdr:row>349</xdr:row>
      <xdr:rowOff>36613</xdr:rowOff>
    </xdr:from>
    <xdr:to>
      <xdr:col>3</xdr:col>
      <xdr:colOff>87548</xdr:colOff>
      <xdr:row>349</xdr:row>
      <xdr:rowOff>82332</xdr:rowOff>
    </xdr:to>
    <xdr:sp macro="" textlink="">
      <xdr:nvSpPr>
        <xdr:cNvPr id="464" name="Oval 463">
          <a:extLst>
            <a:ext uri="{FF2B5EF4-FFF2-40B4-BE49-F238E27FC236}">
              <a16:creationId xmlns:a16="http://schemas.microsoft.com/office/drawing/2014/main" id="{54E1AB1A-05B1-4E07-893F-C17BF46383D8}"/>
            </a:ext>
          </a:extLst>
        </xdr:cNvPr>
        <xdr:cNvSpPr/>
      </xdr:nvSpPr>
      <xdr:spPr>
        <a:xfrm>
          <a:off x="1982010" y="67032288"/>
          <a:ext cx="48638" cy="45719"/>
        </a:xfrm>
        <a:prstGeom prst="ellipse">
          <a:avLst/>
        </a:prstGeom>
        <a:solidFill>
          <a:srgbClr val="00B0F0"/>
        </a:solidFill>
        <a:ln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</xdr:col>
      <xdr:colOff>450714</xdr:colOff>
      <xdr:row>349</xdr:row>
      <xdr:rowOff>43098</xdr:rowOff>
    </xdr:from>
    <xdr:to>
      <xdr:col>3</xdr:col>
      <xdr:colOff>506300</xdr:colOff>
      <xdr:row>349</xdr:row>
      <xdr:rowOff>88817</xdr:rowOff>
    </xdr:to>
    <xdr:sp macro="" textlink="">
      <xdr:nvSpPr>
        <xdr:cNvPr id="465" name="Oval 464">
          <a:extLst>
            <a:ext uri="{FF2B5EF4-FFF2-40B4-BE49-F238E27FC236}">
              <a16:creationId xmlns:a16="http://schemas.microsoft.com/office/drawing/2014/main" id="{4A5050CD-A441-4BD0-81DE-6F3F611F6D4C}"/>
            </a:ext>
          </a:extLst>
        </xdr:cNvPr>
        <xdr:cNvSpPr/>
      </xdr:nvSpPr>
      <xdr:spPr>
        <a:xfrm>
          <a:off x="2393814" y="67038773"/>
          <a:ext cx="48638" cy="45719"/>
        </a:xfrm>
        <a:prstGeom prst="ellipse">
          <a:avLst/>
        </a:prstGeom>
        <a:solidFill>
          <a:srgbClr val="00B0F0"/>
        </a:solidFill>
        <a:ln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</xdr:col>
      <xdr:colOff>57978</xdr:colOff>
      <xdr:row>347</xdr:row>
      <xdr:rowOff>10877</xdr:rowOff>
    </xdr:from>
    <xdr:to>
      <xdr:col>1</xdr:col>
      <xdr:colOff>447261</xdr:colOff>
      <xdr:row>349</xdr:row>
      <xdr:rowOff>126834</xdr:rowOff>
    </xdr:to>
    <xdr:cxnSp macro="">
      <xdr:nvCxnSpPr>
        <xdr:cNvPr id="466" name="Straight Arrow Connector 465">
          <a:extLst>
            <a:ext uri="{FF2B5EF4-FFF2-40B4-BE49-F238E27FC236}">
              <a16:creationId xmlns:a16="http://schemas.microsoft.com/office/drawing/2014/main" id="{E18058AE-70ED-4644-8834-596BEAACF59C}"/>
            </a:ext>
          </a:extLst>
        </xdr:cNvPr>
        <xdr:cNvCxnSpPr/>
      </xdr:nvCxnSpPr>
      <xdr:spPr>
        <a:xfrm flipV="1">
          <a:off x="705678" y="66633172"/>
          <a:ext cx="389283" cy="496957"/>
        </a:xfrm>
        <a:prstGeom prst="straightConnector1">
          <a:avLst/>
        </a:prstGeom>
        <a:ln w="19050">
          <a:solidFill>
            <a:srgbClr val="00B050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215348</xdr:colOff>
      <xdr:row>347</xdr:row>
      <xdr:rowOff>50358</xdr:rowOff>
    </xdr:from>
    <xdr:to>
      <xdr:col>4</xdr:col>
      <xdr:colOff>606619</xdr:colOff>
      <xdr:row>349</xdr:row>
      <xdr:rowOff>75</xdr:rowOff>
    </xdr:to>
    <xdr:cxnSp macro="">
      <xdr:nvCxnSpPr>
        <xdr:cNvPr id="467" name="Straight Arrow Connector 466">
          <a:extLst>
            <a:ext uri="{FF2B5EF4-FFF2-40B4-BE49-F238E27FC236}">
              <a16:creationId xmlns:a16="http://schemas.microsoft.com/office/drawing/2014/main" id="{C06B110B-6D92-4A3B-8D6F-9AADDD71C85E}"/>
            </a:ext>
          </a:extLst>
        </xdr:cNvPr>
        <xdr:cNvCxnSpPr/>
      </xdr:nvCxnSpPr>
      <xdr:spPr>
        <a:xfrm flipH="1">
          <a:off x="2158448" y="66666303"/>
          <a:ext cx="1061831" cy="323022"/>
        </a:xfrm>
        <a:prstGeom prst="straightConnector1">
          <a:avLst/>
        </a:prstGeom>
        <a:ln w="12700">
          <a:solidFill>
            <a:srgbClr val="FF0000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115957</xdr:colOff>
      <xdr:row>349</xdr:row>
      <xdr:rowOff>89953</xdr:rowOff>
    </xdr:from>
    <xdr:to>
      <xdr:col>3</xdr:col>
      <xdr:colOff>12159</xdr:colOff>
      <xdr:row>354</xdr:row>
      <xdr:rowOff>109642</xdr:rowOff>
    </xdr:to>
    <xdr:cxnSp macro="">
      <xdr:nvCxnSpPr>
        <xdr:cNvPr id="468" name="Straight Arrow Connector 467">
          <a:extLst>
            <a:ext uri="{FF2B5EF4-FFF2-40B4-BE49-F238E27FC236}">
              <a16:creationId xmlns:a16="http://schemas.microsoft.com/office/drawing/2014/main" id="{65123233-EF26-4881-8737-26AFC2583ABC}"/>
            </a:ext>
          </a:extLst>
        </xdr:cNvPr>
        <xdr:cNvCxnSpPr>
          <a:endCxn id="457" idx="6"/>
        </xdr:cNvCxnSpPr>
      </xdr:nvCxnSpPr>
      <xdr:spPr>
        <a:xfrm flipV="1">
          <a:off x="763657" y="67093248"/>
          <a:ext cx="1191602" cy="964533"/>
        </a:xfrm>
        <a:prstGeom prst="straightConnector1">
          <a:avLst/>
        </a:prstGeom>
        <a:ln w="19050">
          <a:solidFill>
            <a:srgbClr val="7030A0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492229</xdr:colOff>
      <xdr:row>349</xdr:row>
      <xdr:rowOff>82122</xdr:rowOff>
    </xdr:from>
    <xdr:to>
      <xdr:col>4</xdr:col>
      <xdr:colOff>608496</xdr:colOff>
      <xdr:row>351</xdr:row>
      <xdr:rowOff>126852</xdr:rowOff>
    </xdr:to>
    <xdr:cxnSp macro="">
      <xdr:nvCxnSpPr>
        <xdr:cNvPr id="469" name="Straight Arrow Connector 468">
          <a:extLst>
            <a:ext uri="{FF2B5EF4-FFF2-40B4-BE49-F238E27FC236}">
              <a16:creationId xmlns:a16="http://schemas.microsoft.com/office/drawing/2014/main" id="{DF3C52D5-4C20-44D7-980D-5D07AA64D357}"/>
            </a:ext>
          </a:extLst>
        </xdr:cNvPr>
        <xdr:cNvCxnSpPr>
          <a:endCxn id="465" idx="5"/>
        </xdr:cNvCxnSpPr>
      </xdr:nvCxnSpPr>
      <xdr:spPr>
        <a:xfrm flipH="1" flipV="1">
          <a:off x="2435329" y="67077797"/>
          <a:ext cx="776667" cy="433332"/>
        </a:xfrm>
        <a:prstGeom prst="straightConnector1">
          <a:avLst/>
        </a:prstGeom>
        <a:ln w="19050">
          <a:solidFill>
            <a:srgbClr val="0070C0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376</xdr:row>
      <xdr:rowOff>76200</xdr:rowOff>
    </xdr:from>
    <xdr:to>
      <xdr:col>3</xdr:col>
      <xdr:colOff>533400</xdr:colOff>
      <xdr:row>394</xdr:row>
      <xdr:rowOff>76200</xdr:rowOff>
    </xdr:to>
    <xdr:grpSp>
      <xdr:nvGrpSpPr>
        <xdr:cNvPr id="24248" name="Group 469">
          <a:extLst>
            <a:ext uri="{FF2B5EF4-FFF2-40B4-BE49-F238E27FC236}">
              <a16:creationId xmlns:a16="http://schemas.microsoft.com/office/drawing/2014/main" id="{DB0F4A78-971B-423D-9359-9AF7CEE84097}"/>
            </a:ext>
          </a:extLst>
        </xdr:cNvPr>
        <xdr:cNvGrpSpPr>
          <a:grpSpLocks/>
        </xdr:cNvGrpSpPr>
      </xdr:nvGrpSpPr>
      <xdr:grpSpPr bwMode="auto">
        <a:xfrm>
          <a:off x="0" y="70058280"/>
          <a:ext cx="2453640" cy="3368040"/>
          <a:chOff x="0" y="71478912"/>
          <a:chExt cx="2497208" cy="3429001"/>
        </a:xfrm>
      </xdr:grpSpPr>
      <xdr:cxnSp macro="">
        <xdr:nvCxnSpPr>
          <xdr:cNvPr id="471" name="Straight Arrow Connector 470">
            <a:extLst>
              <a:ext uri="{FF2B5EF4-FFF2-40B4-BE49-F238E27FC236}">
                <a16:creationId xmlns:a16="http://schemas.microsoft.com/office/drawing/2014/main" id="{B2638825-0DA7-4FD5-ACC1-6AC90EDE19BD}"/>
              </a:ext>
            </a:extLst>
          </xdr:cNvPr>
          <xdr:cNvCxnSpPr/>
        </xdr:nvCxnSpPr>
        <xdr:spPr>
          <a:xfrm flipV="1">
            <a:off x="1981655" y="73480456"/>
            <a:ext cx="0" cy="310317"/>
          </a:xfrm>
          <a:prstGeom prst="straightConnector1">
            <a:avLst/>
          </a:prstGeom>
          <a:ln>
            <a:solidFill>
              <a:sysClr val="windowText" lastClr="000000"/>
            </a:solidFill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24270" name="Group 194">
            <a:extLst>
              <a:ext uri="{FF2B5EF4-FFF2-40B4-BE49-F238E27FC236}">
                <a16:creationId xmlns:a16="http://schemas.microsoft.com/office/drawing/2014/main" id="{08580728-CB37-4B85-9EA5-556192A943FD}"/>
              </a:ext>
            </a:extLst>
          </xdr:cNvPr>
          <xdr:cNvGrpSpPr>
            <a:grpSpLocks/>
          </xdr:cNvGrpSpPr>
        </xdr:nvGrpSpPr>
        <xdr:grpSpPr bwMode="auto">
          <a:xfrm>
            <a:off x="0" y="71478912"/>
            <a:ext cx="2497208" cy="3429001"/>
            <a:chOff x="62119" y="71503760"/>
            <a:chExt cx="2497208" cy="3429001"/>
          </a:xfrm>
        </xdr:grpSpPr>
        <xdr:sp macro="" textlink="">
          <xdr:nvSpPr>
            <xdr:cNvPr id="473" name="Rectangle 472">
              <a:extLst>
                <a:ext uri="{FF2B5EF4-FFF2-40B4-BE49-F238E27FC236}">
                  <a16:creationId xmlns:a16="http://schemas.microsoft.com/office/drawing/2014/main" id="{A6CB5028-6E49-46B8-AA9C-5019046A38EB}"/>
                </a:ext>
              </a:extLst>
            </xdr:cNvPr>
            <xdr:cNvSpPr/>
          </xdr:nvSpPr>
          <xdr:spPr>
            <a:xfrm>
              <a:off x="706560" y="73520819"/>
              <a:ext cx="1192215" cy="310317"/>
            </a:xfrm>
            <a:prstGeom prst="rect">
              <a:avLst/>
            </a:prstGeom>
            <a:blipFill>
              <a:blip xmlns:r="http://schemas.openxmlformats.org/officeDocument/2006/relationships" r:embed="rId1"/>
              <a:tile tx="0" ty="0" sx="100000" sy="100000" flip="none" algn="tl"/>
            </a:blipFill>
            <a:ln w="3175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en-US"/>
            </a:p>
          </xdr:txBody>
        </xdr:sp>
        <xdr:grpSp>
          <xdr:nvGrpSpPr>
            <xdr:cNvPr id="24272" name="Group 59">
              <a:extLst>
                <a:ext uri="{FF2B5EF4-FFF2-40B4-BE49-F238E27FC236}">
                  <a16:creationId xmlns:a16="http://schemas.microsoft.com/office/drawing/2014/main" id="{A1F88016-197D-426E-A3BA-A49A33BA3BD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38346" y="71937712"/>
              <a:ext cx="456175" cy="1611854"/>
              <a:chOff x="438346" y="71937712"/>
              <a:chExt cx="456175" cy="1611854"/>
            </a:xfrm>
          </xdr:grpSpPr>
          <xdr:sp macro="" textlink="">
            <xdr:nvSpPr>
              <xdr:cNvPr id="499" name="Rectangle 498">
                <a:extLst>
                  <a:ext uri="{FF2B5EF4-FFF2-40B4-BE49-F238E27FC236}">
                    <a16:creationId xmlns:a16="http://schemas.microsoft.com/office/drawing/2014/main" id="{202B57F5-3D25-4CBF-AC0F-D889C43939E1}"/>
                  </a:ext>
                </a:extLst>
              </xdr:cNvPr>
              <xdr:cNvSpPr/>
            </xdr:nvSpPr>
            <xdr:spPr>
              <a:xfrm rot="21018419">
                <a:off x="666282" y="73101892"/>
                <a:ext cx="233610" cy="449960"/>
              </a:xfrm>
              <a:prstGeom prst="rect">
                <a:avLst/>
              </a:prstGeom>
              <a:blipFill>
                <a:blip xmlns:r="http://schemas.openxmlformats.org/officeDocument/2006/relationships" r:embed="rId2"/>
                <a:tile tx="0" ty="0" sx="100000" sy="100000" flip="none" algn="tl"/>
              </a:blipFill>
              <a:ln w="3175"/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endParaRPr lang="en-US"/>
              </a:p>
            </xdr:txBody>
          </xdr:sp>
          <xdr:sp macro="" textlink="">
            <xdr:nvSpPr>
              <xdr:cNvPr id="500" name="Rectangle 499">
                <a:extLst>
                  <a:ext uri="{FF2B5EF4-FFF2-40B4-BE49-F238E27FC236}">
                    <a16:creationId xmlns:a16="http://schemas.microsoft.com/office/drawing/2014/main" id="{54310D67-9528-45B9-A7DC-96C9ACFBA9A5}"/>
                  </a:ext>
                </a:extLst>
              </xdr:cNvPr>
              <xdr:cNvSpPr/>
            </xdr:nvSpPr>
            <xdr:spPr>
              <a:xfrm rot="21018419">
                <a:off x="585727" y="72636417"/>
                <a:ext cx="225554" cy="449960"/>
              </a:xfrm>
              <a:prstGeom prst="rect">
                <a:avLst/>
              </a:prstGeom>
              <a:blipFill>
                <a:blip xmlns:r="http://schemas.openxmlformats.org/officeDocument/2006/relationships" r:embed="rId2"/>
                <a:tile tx="0" ty="0" sx="100000" sy="100000" flip="none" algn="tl"/>
              </a:blipFill>
              <a:ln w="3175"/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endParaRPr lang="en-US"/>
              </a:p>
            </xdr:txBody>
          </xdr:sp>
          <xdr:sp macro="" textlink="">
            <xdr:nvSpPr>
              <xdr:cNvPr id="501" name="Rectangle 500">
                <a:extLst>
                  <a:ext uri="{FF2B5EF4-FFF2-40B4-BE49-F238E27FC236}">
                    <a16:creationId xmlns:a16="http://schemas.microsoft.com/office/drawing/2014/main" id="{0E985350-01C1-4409-A65D-A7C6F468EE8F}"/>
                  </a:ext>
                </a:extLst>
              </xdr:cNvPr>
              <xdr:cNvSpPr/>
            </xdr:nvSpPr>
            <xdr:spPr>
              <a:xfrm rot="21018419">
                <a:off x="505172" y="72170941"/>
                <a:ext cx="225554" cy="465475"/>
              </a:xfrm>
              <a:prstGeom prst="rect">
                <a:avLst/>
              </a:prstGeom>
              <a:blipFill>
                <a:blip xmlns:r="http://schemas.openxmlformats.org/officeDocument/2006/relationships" r:embed="rId2"/>
                <a:tile tx="0" ty="0" sx="100000" sy="100000" flip="none" algn="tl"/>
              </a:blipFill>
              <a:ln w="3175"/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endParaRPr lang="en-US"/>
              </a:p>
            </xdr:txBody>
          </xdr:sp>
          <xdr:sp macro="" textlink="">
            <xdr:nvSpPr>
              <xdr:cNvPr id="502" name="Rectangle 501">
                <a:extLst>
                  <a:ext uri="{FF2B5EF4-FFF2-40B4-BE49-F238E27FC236}">
                    <a16:creationId xmlns:a16="http://schemas.microsoft.com/office/drawing/2014/main" id="{5579ED94-E7C9-4BA8-AAC6-0DBE8381258D}"/>
                  </a:ext>
                </a:extLst>
              </xdr:cNvPr>
              <xdr:cNvSpPr/>
            </xdr:nvSpPr>
            <xdr:spPr>
              <a:xfrm rot="21018419">
                <a:off x="432672" y="71938204"/>
                <a:ext cx="233610" cy="232738"/>
              </a:xfrm>
              <a:prstGeom prst="rect">
                <a:avLst/>
              </a:prstGeom>
              <a:blipFill>
                <a:blip xmlns:r="http://schemas.openxmlformats.org/officeDocument/2006/relationships" r:embed="rId1"/>
                <a:tile tx="0" ty="0" sx="100000" sy="100000" flip="none" algn="tl"/>
              </a:blipFill>
              <a:ln w="3175"/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endParaRPr lang="en-US"/>
              </a:p>
            </xdr:txBody>
          </xdr:sp>
        </xdr:grpSp>
        <xdr:grpSp>
          <xdr:nvGrpSpPr>
            <xdr:cNvPr id="24273" name="Group 477">
              <a:extLst>
                <a:ext uri="{FF2B5EF4-FFF2-40B4-BE49-F238E27FC236}">
                  <a16:creationId xmlns:a16="http://schemas.microsoft.com/office/drawing/2014/main" id="{AA85251B-66A4-43B3-8CA6-4F769157CBE3}"/>
                </a:ext>
              </a:extLst>
            </xdr:cNvPr>
            <xdr:cNvGrpSpPr>
              <a:grpSpLocks/>
            </xdr:cNvGrpSpPr>
          </xdr:nvGrpSpPr>
          <xdr:grpSpPr bwMode="auto">
            <a:xfrm flipH="1">
              <a:off x="1700616" y="71941026"/>
              <a:ext cx="456175" cy="1611854"/>
              <a:chOff x="438346" y="71937712"/>
              <a:chExt cx="456175" cy="1611854"/>
            </a:xfrm>
          </xdr:grpSpPr>
          <xdr:sp macro="" textlink="">
            <xdr:nvSpPr>
              <xdr:cNvPr id="495" name="Rectangle 494">
                <a:extLst>
                  <a:ext uri="{FF2B5EF4-FFF2-40B4-BE49-F238E27FC236}">
                    <a16:creationId xmlns:a16="http://schemas.microsoft.com/office/drawing/2014/main" id="{52237152-2E45-4D0E-8167-601A872D3211}"/>
                  </a:ext>
                </a:extLst>
              </xdr:cNvPr>
              <xdr:cNvSpPr/>
            </xdr:nvSpPr>
            <xdr:spPr>
              <a:xfrm rot="21018419">
                <a:off x="664140" y="73098578"/>
                <a:ext cx="233610" cy="449960"/>
              </a:xfrm>
              <a:prstGeom prst="rect">
                <a:avLst/>
              </a:prstGeom>
              <a:blipFill>
                <a:blip xmlns:r="http://schemas.openxmlformats.org/officeDocument/2006/relationships" r:embed="rId2"/>
                <a:tile tx="0" ty="0" sx="100000" sy="100000" flip="none" algn="tl"/>
              </a:blipFill>
              <a:ln w="3175"/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endParaRPr lang="en-US"/>
              </a:p>
            </xdr:txBody>
          </xdr:sp>
          <xdr:sp macro="" textlink="">
            <xdr:nvSpPr>
              <xdr:cNvPr id="496" name="Rectangle 495">
                <a:extLst>
                  <a:ext uri="{FF2B5EF4-FFF2-40B4-BE49-F238E27FC236}">
                    <a16:creationId xmlns:a16="http://schemas.microsoft.com/office/drawing/2014/main" id="{FCF06BA8-3402-4D4A-A20D-2F3BD3BCC1E5}"/>
                  </a:ext>
                </a:extLst>
              </xdr:cNvPr>
              <xdr:cNvSpPr/>
            </xdr:nvSpPr>
            <xdr:spPr>
              <a:xfrm rot="21018419">
                <a:off x="583585" y="72625345"/>
                <a:ext cx="233610" cy="457717"/>
              </a:xfrm>
              <a:prstGeom prst="rect">
                <a:avLst/>
              </a:prstGeom>
              <a:blipFill>
                <a:blip xmlns:r="http://schemas.openxmlformats.org/officeDocument/2006/relationships" r:embed="rId2"/>
                <a:tile tx="0" ty="0" sx="100000" sy="100000" flip="none" algn="tl"/>
              </a:blipFill>
              <a:ln w="3175"/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endParaRPr lang="en-US"/>
              </a:p>
            </xdr:txBody>
          </xdr:sp>
          <xdr:sp macro="" textlink="">
            <xdr:nvSpPr>
              <xdr:cNvPr id="497" name="Rectangle 496">
                <a:extLst>
                  <a:ext uri="{FF2B5EF4-FFF2-40B4-BE49-F238E27FC236}">
                    <a16:creationId xmlns:a16="http://schemas.microsoft.com/office/drawing/2014/main" id="{724D7329-840B-43C3-859F-C57E83DA2D4B}"/>
                  </a:ext>
                </a:extLst>
              </xdr:cNvPr>
              <xdr:cNvSpPr/>
            </xdr:nvSpPr>
            <xdr:spPr>
              <a:xfrm rot="21018419">
                <a:off x="503030" y="72167628"/>
                <a:ext cx="233610" cy="457717"/>
              </a:xfrm>
              <a:prstGeom prst="rect">
                <a:avLst/>
              </a:prstGeom>
              <a:blipFill>
                <a:blip xmlns:r="http://schemas.openxmlformats.org/officeDocument/2006/relationships" r:embed="rId2"/>
                <a:tile tx="0" ty="0" sx="100000" sy="100000" flip="none" algn="tl"/>
              </a:blipFill>
              <a:ln w="3175"/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endParaRPr lang="en-US"/>
              </a:p>
            </xdr:txBody>
          </xdr:sp>
          <xdr:sp macro="" textlink="">
            <xdr:nvSpPr>
              <xdr:cNvPr id="498" name="Rectangle 497">
                <a:extLst>
                  <a:ext uri="{FF2B5EF4-FFF2-40B4-BE49-F238E27FC236}">
                    <a16:creationId xmlns:a16="http://schemas.microsoft.com/office/drawing/2014/main" id="{99662F21-66E6-4750-9D3C-262CBC2F6886}"/>
                  </a:ext>
                </a:extLst>
              </xdr:cNvPr>
              <xdr:cNvSpPr/>
            </xdr:nvSpPr>
            <xdr:spPr>
              <a:xfrm rot="21018419">
                <a:off x="438586" y="71934890"/>
                <a:ext cx="233610" cy="232738"/>
              </a:xfrm>
              <a:prstGeom prst="rect">
                <a:avLst/>
              </a:prstGeom>
              <a:blipFill>
                <a:blip xmlns:r="http://schemas.openxmlformats.org/officeDocument/2006/relationships" r:embed="rId1"/>
                <a:tile tx="0" ty="0" sx="100000" sy="100000" flip="none" algn="tl"/>
              </a:blipFill>
              <a:ln w="3175"/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endParaRPr lang="en-US"/>
              </a:p>
            </xdr:txBody>
          </xdr:sp>
        </xdr:grpSp>
        <xdr:sp macro="" textlink="">
          <xdr:nvSpPr>
            <xdr:cNvPr id="476" name="Freeform 475">
              <a:extLst>
                <a:ext uri="{FF2B5EF4-FFF2-40B4-BE49-F238E27FC236}">
                  <a16:creationId xmlns:a16="http://schemas.microsoft.com/office/drawing/2014/main" id="{D19BBB39-87DC-4D28-A175-7B4169B4CB26}"/>
                </a:ext>
              </a:extLst>
            </xdr:cNvPr>
            <xdr:cNvSpPr/>
          </xdr:nvSpPr>
          <xdr:spPr>
            <a:xfrm>
              <a:off x="529339" y="72023541"/>
              <a:ext cx="1562769" cy="1683469"/>
            </a:xfrm>
            <a:custGeom>
              <a:avLst/>
              <a:gdLst>
                <a:gd name="connsiteX0" fmla="*/ 80211 w 1579145"/>
                <a:gd name="connsiteY0" fmla="*/ 0 h 1689434"/>
                <a:gd name="connsiteX1" fmla="*/ 0 w 1579145"/>
                <a:gd name="connsiteY1" fmla="*/ 20053 h 1689434"/>
                <a:gd name="connsiteX2" fmla="*/ 310816 w 1579145"/>
                <a:gd name="connsiteY2" fmla="*/ 1689434 h 1689434"/>
                <a:gd name="connsiteX3" fmla="*/ 1263316 w 1579145"/>
                <a:gd name="connsiteY3" fmla="*/ 1689434 h 1689434"/>
                <a:gd name="connsiteX4" fmla="*/ 1579145 w 1579145"/>
                <a:gd name="connsiteY4" fmla="*/ 15039 h 1689434"/>
                <a:gd name="connsiteX5" fmla="*/ 1498935 w 1579145"/>
                <a:gd name="connsiteY5" fmla="*/ 5013 h 1689434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</a:cxnLst>
              <a:rect l="l" t="t" r="r" b="b"/>
              <a:pathLst>
                <a:path w="1579145" h="1689434">
                  <a:moveTo>
                    <a:pt x="80211" y="0"/>
                  </a:moveTo>
                  <a:lnTo>
                    <a:pt x="0" y="20053"/>
                  </a:lnTo>
                  <a:lnTo>
                    <a:pt x="310816" y="1689434"/>
                  </a:lnTo>
                  <a:lnTo>
                    <a:pt x="1263316" y="1689434"/>
                  </a:lnTo>
                  <a:lnTo>
                    <a:pt x="1579145" y="15039"/>
                  </a:lnTo>
                  <a:lnTo>
                    <a:pt x="1498935" y="5013"/>
                  </a:lnTo>
                </a:path>
              </a:pathLst>
            </a:custGeom>
            <a:ln w="19050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endParaRPr lang="en-US"/>
            </a:p>
          </xdr:txBody>
        </xdr:sp>
        <xdr:sp macro="" textlink="">
          <xdr:nvSpPr>
            <xdr:cNvPr id="477" name="Oval 476">
              <a:extLst>
                <a:ext uri="{FF2B5EF4-FFF2-40B4-BE49-F238E27FC236}">
                  <a16:creationId xmlns:a16="http://schemas.microsoft.com/office/drawing/2014/main" id="{E19AEDFF-7168-4BB6-B830-8113C373FFFA}"/>
                </a:ext>
              </a:extLst>
            </xdr:cNvPr>
            <xdr:cNvSpPr/>
          </xdr:nvSpPr>
          <xdr:spPr>
            <a:xfrm>
              <a:off x="545450" y="72046814"/>
              <a:ext cx="64444" cy="62063"/>
            </a:xfrm>
            <a:prstGeom prst="ellipse">
              <a:avLst/>
            </a:prstGeom>
            <a:solidFill>
              <a:srgbClr val="00B050"/>
            </a:solidFill>
            <a:ln w="3175">
              <a:solidFill>
                <a:srgbClr val="00B05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en-US"/>
            </a:p>
          </xdr:txBody>
        </xdr:sp>
        <xdr:sp macro="" textlink="">
          <xdr:nvSpPr>
            <xdr:cNvPr id="478" name="Oval 477">
              <a:extLst>
                <a:ext uri="{FF2B5EF4-FFF2-40B4-BE49-F238E27FC236}">
                  <a16:creationId xmlns:a16="http://schemas.microsoft.com/office/drawing/2014/main" id="{F291AB98-0B11-4FB5-B3DC-7626A6D55341}"/>
                </a:ext>
              </a:extLst>
            </xdr:cNvPr>
            <xdr:cNvSpPr/>
          </xdr:nvSpPr>
          <xdr:spPr>
            <a:xfrm>
              <a:off x="843503" y="73637188"/>
              <a:ext cx="48333" cy="62063"/>
            </a:xfrm>
            <a:prstGeom prst="ellipse">
              <a:avLst/>
            </a:prstGeom>
            <a:solidFill>
              <a:srgbClr val="0070C0"/>
            </a:solidFill>
            <a:ln w="3175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en-US"/>
            </a:p>
          </xdr:txBody>
        </xdr:sp>
        <xdr:sp macro="" textlink="">
          <xdr:nvSpPr>
            <xdr:cNvPr id="479" name="Oval 478">
              <a:extLst>
                <a:ext uri="{FF2B5EF4-FFF2-40B4-BE49-F238E27FC236}">
                  <a16:creationId xmlns:a16="http://schemas.microsoft.com/office/drawing/2014/main" id="{58A74086-78D9-492E-88D8-2022D0FD8362}"/>
                </a:ext>
              </a:extLst>
            </xdr:cNvPr>
            <xdr:cNvSpPr/>
          </xdr:nvSpPr>
          <xdr:spPr>
            <a:xfrm>
              <a:off x="1270445" y="73621672"/>
              <a:ext cx="56389" cy="69821"/>
            </a:xfrm>
            <a:prstGeom prst="ellipse">
              <a:avLst/>
            </a:prstGeom>
            <a:solidFill>
              <a:srgbClr val="0070C0"/>
            </a:solidFill>
            <a:ln w="3175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en-US"/>
            </a:p>
          </xdr:txBody>
        </xdr:sp>
        <xdr:sp macro="" textlink="">
          <xdr:nvSpPr>
            <xdr:cNvPr id="480" name="Oval 479">
              <a:extLst>
                <a:ext uri="{FF2B5EF4-FFF2-40B4-BE49-F238E27FC236}">
                  <a16:creationId xmlns:a16="http://schemas.microsoft.com/office/drawing/2014/main" id="{4953C59A-D9AE-414B-A173-0726128BA784}"/>
                </a:ext>
              </a:extLst>
            </xdr:cNvPr>
            <xdr:cNvSpPr/>
          </xdr:nvSpPr>
          <xdr:spPr>
            <a:xfrm>
              <a:off x="1697387" y="73637188"/>
              <a:ext cx="80555" cy="62063"/>
            </a:xfrm>
            <a:prstGeom prst="ellipse">
              <a:avLst/>
            </a:prstGeom>
            <a:solidFill>
              <a:srgbClr val="0070C0"/>
            </a:solidFill>
            <a:ln w="3175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en-US"/>
            </a:p>
          </xdr:txBody>
        </xdr:sp>
        <xdr:sp macro="" textlink="">
          <xdr:nvSpPr>
            <xdr:cNvPr id="481" name="Oval 480">
              <a:extLst>
                <a:ext uri="{FF2B5EF4-FFF2-40B4-BE49-F238E27FC236}">
                  <a16:creationId xmlns:a16="http://schemas.microsoft.com/office/drawing/2014/main" id="{5A45362D-CCD5-46CE-87A9-776FCE859807}"/>
                </a:ext>
              </a:extLst>
            </xdr:cNvPr>
            <xdr:cNvSpPr/>
          </xdr:nvSpPr>
          <xdr:spPr>
            <a:xfrm>
              <a:off x="714615" y="73024312"/>
              <a:ext cx="72500" cy="62063"/>
            </a:xfrm>
            <a:prstGeom prst="ellipse">
              <a:avLst/>
            </a:prstGeom>
            <a:solidFill>
              <a:srgbClr val="00B050"/>
            </a:solidFill>
            <a:ln w="3175">
              <a:solidFill>
                <a:srgbClr val="00B05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en-US"/>
            </a:p>
          </xdr:txBody>
        </xdr:sp>
        <xdr:sp macro="" textlink="">
          <xdr:nvSpPr>
            <xdr:cNvPr id="482" name="Oval 481">
              <a:extLst>
                <a:ext uri="{FF2B5EF4-FFF2-40B4-BE49-F238E27FC236}">
                  <a16:creationId xmlns:a16="http://schemas.microsoft.com/office/drawing/2014/main" id="{E5ABEA5D-913D-4064-BFE8-E0018CA4575C}"/>
                </a:ext>
              </a:extLst>
            </xdr:cNvPr>
            <xdr:cNvSpPr/>
          </xdr:nvSpPr>
          <xdr:spPr>
            <a:xfrm>
              <a:off x="1826276" y="73024312"/>
              <a:ext cx="64444" cy="62063"/>
            </a:xfrm>
            <a:prstGeom prst="ellipse">
              <a:avLst/>
            </a:prstGeom>
            <a:solidFill>
              <a:srgbClr val="00B050"/>
            </a:solidFill>
            <a:ln w="3175">
              <a:solidFill>
                <a:srgbClr val="00B05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en-US"/>
            </a:p>
          </xdr:txBody>
        </xdr:sp>
        <xdr:sp macro="" textlink="">
          <xdr:nvSpPr>
            <xdr:cNvPr id="483" name="Oval 482">
              <a:extLst>
                <a:ext uri="{FF2B5EF4-FFF2-40B4-BE49-F238E27FC236}">
                  <a16:creationId xmlns:a16="http://schemas.microsoft.com/office/drawing/2014/main" id="{569A190D-39D7-4ED1-A6F3-900CF781CA5C}"/>
                </a:ext>
              </a:extLst>
            </xdr:cNvPr>
            <xdr:cNvSpPr/>
          </xdr:nvSpPr>
          <xdr:spPr>
            <a:xfrm>
              <a:off x="2011552" y="72046814"/>
              <a:ext cx="64444" cy="62063"/>
            </a:xfrm>
            <a:prstGeom prst="ellipse">
              <a:avLst/>
            </a:prstGeom>
            <a:solidFill>
              <a:srgbClr val="00B050"/>
            </a:solidFill>
            <a:ln w="3175">
              <a:solidFill>
                <a:srgbClr val="00B05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en-US"/>
            </a:p>
          </xdr:txBody>
        </xdr:sp>
        <xdr:cxnSp macro="">
          <xdr:nvCxnSpPr>
            <xdr:cNvPr id="484" name="Straight Arrow Connector 483">
              <a:extLst>
                <a:ext uri="{FF2B5EF4-FFF2-40B4-BE49-F238E27FC236}">
                  <a16:creationId xmlns:a16="http://schemas.microsoft.com/office/drawing/2014/main" id="{9BD0108C-462E-48F3-B9F4-FFB2C2DA40C2}"/>
                </a:ext>
              </a:extLst>
            </xdr:cNvPr>
            <xdr:cNvCxnSpPr/>
          </xdr:nvCxnSpPr>
          <xdr:spPr>
            <a:xfrm>
              <a:off x="271562" y="71930446"/>
              <a:ext cx="24167" cy="1877417"/>
            </a:xfrm>
            <a:prstGeom prst="straightConnector1">
              <a:avLst/>
            </a:prstGeom>
            <a:ln>
              <a:solidFill>
                <a:sysClr val="windowText" lastClr="000000"/>
              </a:solidFill>
              <a:headEnd type="arrow"/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85" name="Straight Arrow Connector 484">
              <a:extLst>
                <a:ext uri="{FF2B5EF4-FFF2-40B4-BE49-F238E27FC236}">
                  <a16:creationId xmlns:a16="http://schemas.microsoft.com/office/drawing/2014/main" id="{25E77213-B527-4E2A-8DC1-E04DD0F330AB}"/>
                </a:ext>
              </a:extLst>
            </xdr:cNvPr>
            <xdr:cNvCxnSpPr/>
          </xdr:nvCxnSpPr>
          <xdr:spPr>
            <a:xfrm>
              <a:off x="658227" y="71790803"/>
              <a:ext cx="1304993" cy="0"/>
            </a:xfrm>
            <a:prstGeom prst="straightConnector1">
              <a:avLst/>
            </a:prstGeom>
            <a:ln>
              <a:solidFill>
                <a:sysClr val="windowText" lastClr="000000"/>
              </a:solidFill>
              <a:headEnd type="arrow"/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86" name="Straight Arrow Connector 485">
              <a:extLst>
                <a:ext uri="{FF2B5EF4-FFF2-40B4-BE49-F238E27FC236}">
                  <a16:creationId xmlns:a16="http://schemas.microsoft.com/office/drawing/2014/main" id="{77591047-A6AD-487A-A25B-09AA45286E26}"/>
                </a:ext>
              </a:extLst>
            </xdr:cNvPr>
            <xdr:cNvCxnSpPr/>
          </xdr:nvCxnSpPr>
          <xdr:spPr>
            <a:xfrm flipV="1">
              <a:off x="948225" y="73226018"/>
              <a:ext cx="700829" cy="0"/>
            </a:xfrm>
            <a:prstGeom prst="straightConnector1">
              <a:avLst/>
            </a:prstGeom>
            <a:ln>
              <a:solidFill>
                <a:sysClr val="windowText" lastClr="000000"/>
              </a:solidFill>
              <a:headEnd type="arrow"/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487" name="TextBox 486">
              <a:extLst>
                <a:ext uri="{FF2B5EF4-FFF2-40B4-BE49-F238E27FC236}">
                  <a16:creationId xmlns:a16="http://schemas.microsoft.com/office/drawing/2014/main" id="{0470E904-DBDC-4B6C-A475-154FD6ECFBDC}"/>
                </a:ext>
              </a:extLst>
            </xdr:cNvPr>
            <xdr:cNvSpPr txBox="1"/>
          </xdr:nvSpPr>
          <xdr:spPr>
            <a:xfrm>
              <a:off x="481006" y="71503760"/>
              <a:ext cx="1611102" cy="18619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100"/>
                <a:t>TOP OPENING WIDTH</a:t>
              </a:r>
            </a:p>
          </xdr:txBody>
        </xdr:sp>
        <xdr:cxnSp macro="">
          <xdr:nvCxnSpPr>
            <xdr:cNvPr id="488" name="Straight Connector 487">
              <a:extLst>
                <a:ext uri="{FF2B5EF4-FFF2-40B4-BE49-F238E27FC236}">
                  <a16:creationId xmlns:a16="http://schemas.microsoft.com/office/drawing/2014/main" id="{D075D395-E010-4028-B72F-447FB9F45625}"/>
                </a:ext>
              </a:extLst>
            </xdr:cNvPr>
            <xdr:cNvCxnSpPr/>
          </xdr:nvCxnSpPr>
          <xdr:spPr>
            <a:xfrm flipH="1" flipV="1">
              <a:off x="948225" y="73039828"/>
              <a:ext cx="0" cy="465475"/>
            </a:xfrm>
            <a:prstGeom prst="line">
              <a:avLst/>
            </a:prstGeom>
            <a:ln>
              <a:solidFill>
                <a:sysClr val="windowText" lastClr="000000"/>
              </a:solidFill>
              <a:prstDash val="dash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89" name="Straight Connector 488">
              <a:extLst>
                <a:ext uri="{FF2B5EF4-FFF2-40B4-BE49-F238E27FC236}">
                  <a16:creationId xmlns:a16="http://schemas.microsoft.com/office/drawing/2014/main" id="{382C5CB0-3763-469E-B151-C26F984E1F99}"/>
                </a:ext>
              </a:extLst>
            </xdr:cNvPr>
            <xdr:cNvCxnSpPr/>
          </xdr:nvCxnSpPr>
          <xdr:spPr>
            <a:xfrm flipH="1" flipV="1">
              <a:off x="1649054" y="73032070"/>
              <a:ext cx="0" cy="465475"/>
            </a:xfrm>
            <a:prstGeom prst="line">
              <a:avLst/>
            </a:prstGeom>
            <a:ln>
              <a:solidFill>
                <a:sysClr val="windowText" lastClr="000000"/>
              </a:solidFill>
              <a:prstDash val="dash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90" name="Straight Arrow Connector 489">
              <a:extLst>
                <a:ext uri="{FF2B5EF4-FFF2-40B4-BE49-F238E27FC236}">
                  <a16:creationId xmlns:a16="http://schemas.microsoft.com/office/drawing/2014/main" id="{6BDA94D2-8F9C-4CDE-91CD-DDF549861BBF}"/>
                </a:ext>
              </a:extLst>
            </xdr:cNvPr>
            <xdr:cNvCxnSpPr/>
          </xdr:nvCxnSpPr>
          <xdr:spPr>
            <a:xfrm>
              <a:off x="714615" y="74102663"/>
              <a:ext cx="1184160" cy="0"/>
            </a:xfrm>
            <a:prstGeom prst="straightConnector1">
              <a:avLst/>
            </a:prstGeom>
            <a:ln>
              <a:solidFill>
                <a:sysClr val="windowText" lastClr="000000"/>
              </a:solidFill>
              <a:headEnd type="arrow"/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491" name="TextBox 490">
              <a:extLst>
                <a:ext uri="{FF2B5EF4-FFF2-40B4-BE49-F238E27FC236}">
                  <a16:creationId xmlns:a16="http://schemas.microsoft.com/office/drawing/2014/main" id="{7521C581-495C-436E-B86B-0D41A664EEF4}"/>
                </a:ext>
              </a:extLst>
            </xdr:cNvPr>
            <xdr:cNvSpPr txBox="1"/>
          </xdr:nvSpPr>
          <xdr:spPr>
            <a:xfrm>
              <a:off x="771004" y="72551079"/>
              <a:ext cx="1063327" cy="62063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100"/>
                <a:t>BOTTOM OPENING WIDTH</a:t>
              </a:r>
            </a:p>
          </xdr:txBody>
        </xdr:sp>
        <xdr:sp macro="" textlink="">
          <xdr:nvSpPr>
            <xdr:cNvPr id="492" name="TextBox 491">
              <a:extLst>
                <a:ext uri="{FF2B5EF4-FFF2-40B4-BE49-F238E27FC236}">
                  <a16:creationId xmlns:a16="http://schemas.microsoft.com/office/drawing/2014/main" id="{C65E6811-0736-4083-A958-B6E09F196AF8}"/>
                </a:ext>
              </a:extLst>
            </xdr:cNvPr>
            <xdr:cNvSpPr txBox="1"/>
          </xdr:nvSpPr>
          <xdr:spPr>
            <a:xfrm>
              <a:off x="795170" y="74079390"/>
              <a:ext cx="1063327" cy="85337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>
                <a:lnSpc>
                  <a:spcPts val="1100"/>
                </a:lnSpc>
              </a:pPr>
              <a:r>
                <a:rPr lang="en-US" sz="1100"/>
                <a:t>CANAL FLOORING</a:t>
              </a:r>
              <a:r>
                <a:rPr lang="en-US" sz="1100" baseline="0"/>
                <a:t> </a:t>
              </a:r>
              <a:r>
                <a:rPr lang="en-US" sz="1100"/>
                <a:t>BOTTOM WIDTH</a:t>
              </a:r>
            </a:p>
          </xdr:txBody>
        </xdr:sp>
        <xdr:sp macro="" textlink="">
          <xdr:nvSpPr>
            <xdr:cNvPr id="493" name="TextBox 492">
              <a:extLst>
                <a:ext uri="{FF2B5EF4-FFF2-40B4-BE49-F238E27FC236}">
                  <a16:creationId xmlns:a16="http://schemas.microsoft.com/office/drawing/2014/main" id="{5E56D859-3D78-4D22-8486-D71438BDF324}"/>
                </a:ext>
              </a:extLst>
            </xdr:cNvPr>
            <xdr:cNvSpPr txBox="1"/>
          </xdr:nvSpPr>
          <xdr:spPr>
            <a:xfrm rot="16200000">
              <a:off x="-838108" y="72822914"/>
              <a:ext cx="1993786" cy="19333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100"/>
                <a:t>CANAL TOTAL HEIGHT</a:t>
              </a:r>
            </a:p>
          </xdr:txBody>
        </xdr:sp>
        <xdr:sp macro="" textlink="">
          <xdr:nvSpPr>
            <xdr:cNvPr id="494" name="TextBox 493">
              <a:extLst>
                <a:ext uri="{FF2B5EF4-FFF2-40B4-BE49-F238E27FC236}">
                  <a16:creationId xmlns:a16="http://schemas.microsoft.com/office/drawing/2014/main" id="{B105033E-0BDD-41C3-B068-8DBAC494086D}"/>
                </a:ext>
              </a:extLst>
            </xdr:cNvPr>
            <xdr:cNvSpPr txBox="1"/>
          </xdr:nvSpPr>
          <xdr:spPr>
            <a:xfrm>
              <a:off x="2188774" y="73412209"/>
              <a:ext cx="370553" cy="48099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100"/>
                <a:t>T</a:t>
              </a:r>
              <a:r>
                <a:rPr lang="en-US" sz="800"/>
                <a:t>CF</a:t>
              </a:r>
            </a:p>
          </xdr:txBody>
        </xdr:sp>
      </xdr:grpSp>
    </xdr:grpSp>
    <xdr:clientData/>
  </xdr:twoCellAnchor>
  <xdr:twoCellAnchor>
    <xdr:from>
      <xdr:col>3</xdr:col>
      <xdr:colOff>414131</xdr:colOff>
      <xdr:row>377</xdr:row>
      <xdr:rowOff>8944</xdr:rowOff>
    </xdr:from>
    <xdr:to>
      <xdr:col>5</xdr:col>
      <xdr:colOff>57979</xdr:colOff>
      <xdr:row>378</xdr:row>
      <xdr:rowOff>50357</xdr:rowOff>
    </xdr:to>
    <xdr:sp macro="" textlink="">
      <xdr:nvSpPr>
        <xdr:cNvPr id="503" name="TextBox 502">
          <a:extLst>
            <a:ext uri="{FF2B5EF4-FFF2-40B4-BE49-F238E27FC236}">
              <a16:creationId xmlns:a16="http://schemas.microsoft.com/office/drawing/2014/main" id="{C295EC3E-B1AB-493A-B84D-59B9DA325853}"/>
            </a:ext>
          </a:extLst>
        </xdr:cNvPr>
        <xdr:cNvSpPr txBox="1"/>
      </xdr:nvSpPr>
      <xdr:spPr>
        <a:xfrm>
          <a:off x="2357231" y="71577889"/>
          <a:ext cx="939248" cy="2319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Stiffener</a:t>
          </a:r>
        </a:p>
      </xdr:txBody>
    </xdr:sp>
    <xdr:clientData/>
  </xdr:twoCellAnchor>
  <xdr:twoCellAnchor>
    <xdr:from>
      <xdr:col>3</xdr:col>
      <xdr:colOff>91110</xdr:colOff>
      <xdr:row>377</xdr:row>
      <xdr:rowOff>126171</xdr:rowOff>
    </xdr:from>
    <xdr:to>
      <xdr:col>3</xdr:col>
      <xdr:colOff>414131</xdr:colOff>
      <xdr:row>378</xdr:row>
      <xdr:rowOff>167584</xdr:rowOff>
    </xdr:to>
    <xdr:cxnSp macro="">
      <xdr:nvCxnSpPr>
        <xdr:cNvPr id="504" name="Straight Arrow Connector 503">
          <a:extLst>
            <a:ext uri="{FF2B5EF4-FFF2-40B4-BE49-F238E27FC236}">
              <a16:creationId xmlns:a16="http://schemas.microsoft.com/office/drawing/2014/main" id="{39BFA479-5FC7-414F-B610-3091356E024D}"/>
            </a:ext>
          </a:extLst>
        </xdr:cNvPr>
        <xdr:cNvCxnSpPr>
          <a:stCxn id="503" idx="1"/>
        </xdr:cNvCxnSpPr>
      </xdr:nvCxnSpPr>
      <xdr:spPr>
        <a:xfrm flipH="1">
          <a:off x="2034210" y="71693846"/>
          <a:ext cx="323021" cy="231913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198785</xdr:colOff>
      <xdr:row>160</xdr:row>
      <xdr:rowOff>41069</xdr:rowOff>
    </xdr:from>
    <xdr:to>
      <xdr:col>8</xdr:col>
      <xdr:colOff>207071</xdr:colOff>
      <xdr:row>161</xdr:row>
      <xdr:rowOff>167584</xdr:rowOff>
    </xdr:to>
    <xdr:cxnSp macro="">
      <xdr:nvCxnSpPr>
        <xdr:cNvPr id="505" name="Straight Connector 504">
          <a:extLst>
            <a:ext uri="{FF2B5EF4-FFF2-40B4-BE49-F238E27FC236}">
              <a16:creationId xmlns:a16="http://schemas.microsoft.com/office/drawing/2014/main" id="{3AF3E8A5-298E-447F-8FBD-C181F026E1A2}"/>
            </a:ext>
          </a:extLst>
        </xdr:cNvPr>
        <xdr:cNvCxnSpPr/>
      </xdr:nvCxnSpPr>
      <xdr:spPr>
        <a:xfrm rot="16200000" flipH="1">
          <a:off x="5287311" y="31178741"/>
          <a:ext cx="317015" cy="8286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149350</xdr:colOff>
      <xdr:row>160</xdr:row>
      <xdr:rowOff>79637</xdr:rowOff>
    </xdr:from>
    <xdr:to>
      <xdr:col>8</xdr:col>
      <xdr:colOff>157636</xdr:colOff>
      <xdr:row>162</xdr:row>
      <xdr:rowOff>14421</xdr:rowOff>
    </xdr:to>
    <xdr:cxnSp macro="">
      <xdr:nvCxnSpPr>
        <xdr:cNvPr id="506" name="Straight Connector 505">
          <a:extLst>
            <a:ext uri="{FF2B5EF4-FFF2-40B4-BE49-F238E27FC236}">
              <a16:creationId xmlns:a16="http://schemas.microsoft.com/office/drawing/2014/main" id="{CFA71C5E-19AB-4330-88DC-3CB358690F59}"/>
            </a:ext>
          </a:extLst>
        </xdr:cNvPr>
        <xdr:cNvCxnSpPr/>
      </xdr:nvCxnSpPr>
      <xdr:spPr>
        <a:xfrm rot="16200000" flipH="1">
          <a:off x="5263501" y="31190649"/>
          <a:ext cx="317015" cy="8286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254126</xdr:colOff>
      <xdr:row>159</xdr:row>
      <xdr:rowOff>184016</xdr:rowOff>
    </xdr:from>
    <xdr:to>
      <xdr:col>8</xdr:col>
      <xdr:colOff>262412</xdr:colOff>
      <xdr:row>161</xdr:row>
      <xdr:rowOff>126381</xdr:rowOff>
    </xdr:to>
    <xdr:cxnSp macro="">
      <xdr:nvCxnSpPr>
        <xdr:cNvPr id="507" name="Straight Connector 506">
          <a:extLst>
            <a:ext uri="{FF2B5EF4-FFF2-40B4-BE49-F238E27FC236}">
              <a16:creationId xmlns:a16="http://schemas.microsoft.com/office/drawing/2014/main" id="{89596CDD-19B5-4629-9EC2-0026E87DD35F}"/>
            </a:ext>
          </a:extLst>
        </xdr:cNvPr>
        <xdr:cNvCxnSpPr/>
      </xdr:nvCxnSpPr>
      <xdr:spPr>
        <a:xfrm rot="16200000" flipH="1">
          <a:off x="5368277" y="31110878"/>
          <a:ext cx="317015" cy="8286"/>
        </a:xfrm>
        <a:prstGeom prst="line">
          <a:avLst/>
        </a:prstGeom>
        <a:ln>
          <a:solidFill>
            <a:srgbClr val="00B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474699</xdr:colOff>
      <xdr:row>210</xdr:row>
      <xdr:rowOff>11637</xdr:rowOff>
    </xdr:from>
    <xdr:to>
      <xdr:col>1</xdr:col>
      <xdr:colOff>476255</xdr:colOff>
      <xdr:row>211</xdr:row>
      <xdr:rowOff>178345</xdr:rowOff>
    </xdr:to>
    <xdr:cxnSp macro="">
      <xdr:nvCxnSpPr>
        <xdr:cNvPr id="509" name="Straight Connector 508">
          <a:extLst>
            <a:ext uri="{FF2B5EF4-FFF2-40B4-BE49-F238E27FC236}">
              <a16:creationId xmlns:a16="http://schemas.microsoft.com/office/drawing/2014/main" id="{BE0300CE-A755-4C50-AFE3-44D48FAF53DF}"/>
            </a:ext>
          </a:extLst>
        </xdr:cNvPr>
        <xdr:cNvCxnSpPr/>
      </xdr:nvCxnSpPr>
      <xdr:spPr>
        <a:xfrm rot="16200000" flipH="1">
          <a:off x="949648" y="40508158"/>
          <a:ext cx="349439" cy="1556"/>
        </a:xfrm>
        <a:prstGeom prst="line">
          <a:avLst/>
        </a:prstGeom>
        <a:ln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398861</xdr:colOff>
      <xdr:row>209</xdr:row>
      <xdr:rowOff>178908</xdr:rowOff>
    </xdr:from>
    <xdr:to>
      <xdr:col>3</xdr:col>
      <xdr:colOff>404817</xdr:colOff>
      <xdr:row>211</xdr:row>
      <xdr:rowOff>142479</xdr:rowOff>
    </xdr:to>
    <xdr:cxnSp macro="">
      <xdr:nvCxnSpPr>
        <xdr:cNvPr id="511" name="Straight Connector 510">
          <a:extLst>
            <a:ext uri="{FF2B5EF4-FFF2-40B4-BE49-F238E27FC236}">
              <a16:creationId xmlns:a16="http://schemas.microsoft.com/office/drawing/2014/main" id="{A4DDB79E-8DFA-480A-A73C-2250BD5A124D}"/>
            </a:ext>
          </a:extLst>
        </xdr:cNvPr>
        <xdr:cNvCxnSpPr/>
      </xdr:nvCxnSpPr>
      <xdr:spPr>
        <a:xfrm rot="16200000" flipH="1">
          <a:off x="2176225" y="40472675"/>
          <a:ext cx="344571" cy="5956"/>
        </a:xfrm>
        <a:prstGeom prst="line">
          <a:avLst/>
        </a:prstGeom>
        <a:ln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409212</xdr:colOff>
      <xdr:row>211</xdr:row>
      <xdr:rowOff>11661</xdr:rowOff>
    </xdr:from>
    <xdr:to>
      <xdr:col>4</xdr:col>
      <xdr:colOff>410765</xdr:colOff>
      <xdr:row>211</xdr:row>
      <xdr:rowOff>13927</xdr:rowOff>
    </xdr:to>
    <xdr:cxnSp macro="">
      <xdr:nvCxnSpPr>
        <xdr:cNvPr id="513" name="Straight Arrow Connector 512">
          <a:extLst>
            <a:ext uri="{FF2B5EF4-FFF2-40B4-BE49-F238E27FC236}">
              <a16:creationId xmlns:a16="http://schemas.microsoft.com/office/drawing/2014/main" id="{B87B4520-35A7-4FC3-9E40-45F8E2A43A88}"/>
            </a:ext>
          </a:extLst>
        </xdr:cNvPr>
        <xdr:cNvCxnSpPr/>
      </xdr:nvCxnSpPr>
      <xdr:spPr>
        <a:xfrm>
          <a:off x="2355884" y="40518390"/>
          <a:ext cx="650444" cy="4532"/>
        </a:xfrm>
        <a:prstGeom prst="straightConnector1">
          <a:avLst/>
        </a:prstGeom>
        <a:ln>
          <a:solidFill>
            <a:sysClr val="windowText" lastClr="00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379446</xdr:colOff>
      <xdr:row>211</xdr:row>
      <xdr:rowOff>179281</xdr:rowOff>
    </xdr:from>
    <xdr:to>
      <xdr:col>4</xdr:col>
      <xdr:colOff>422323</xdr:colOff>
      <xdr:row>213</xdr:row>
      <xdr:rowOff>98425</xdr:rowOff>
    </xdr:to>
    <xdr:sp macro="" textlink="">
      <xdr:nvSpPr>
        <xdr:cNvPr id="515" name="TextBox 514">
          <a:extLst>
            <a:ext uri="{FF2B5EF4-FFF2-40B4-BE49-F238E27FC236}">
              <a16:creationId xmlns:a16="http://schemas.microsoft.com/office/drawing/2014/main" id="{0D853426-7D6F-4C32-ADEB-DD357B2BBCAB}"/>
            </a:ext>
          </a:extLst>
        </xdr:cNvPr>
        <xdr:cNvSpPr txBox="1"/>
      </xdr:nvSpPr>
      <xdr:spPr>
        <a:xfrm>
          <a:off x="2326118" y="40684740"/>
          <a:ext cx="691768" cy="2937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/>
            <a:t>0.15 L</a:t>
          </a:r>
        </a:p>
      </xdr:txBody>
    </xdr:sp>
    <xdr:clientData/>
  </xdr:twoCellAnchor>
  <xdr:twoCellAnchor>
    <xdr:from>
      <xdr:col>3</xdr:col>
      <xdr:colOff>398859</xdr:colOff>
      <xdr:row>207</xdr:row>
      <xdr:rowOff>53578</xdr:rowOff>
    </xdr:from>
    <xdr:to>
      <xdr:col>4</xdr:col>
      <xdr:colOff>422671</xdr:colOff>
      <xdr:row>207</xdr:row>
      <xdr:rowOff>53578</xdr:rowOff>
    </xdr:to>
    <xdr:cxnSp macro="">
      <xdr:nvCxnSpPr>
        <xdr:cNvPr id="517" name="Straight Arrow Connector 516">
          <a:extLst>
            <a:ext uri="{FF2B5EF4-FFF2-40B4-BE49-F238E27FC236}">
              <a16:creationId xmlns:a16="http://schemas.microsoft.com/office/drawing/2014/main" id="{86103F31-90C5-4F84-B0BF-172C925BC07C}"/>
            </a:ext>
          </a:extLst>
        </xdr:cNvPr>
        <xdr:cNvCxnSpPr/>
      </xdr:nvCxnSpPr>
      <xdr:spPr>
        <a:xfrm>
          <a:off x="2345531" y="39790687"/>
          <a:ext cx="672703" cy="5954"/>
        </a:xfrm>
        <a:prstGeom prst="straightConnector1">
          <a:avLst/>
        </a:prstGeom>
        <a:ln>
          <a:solidFill>
            <a:sysClr val="windowText" lastClr="00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385399</xdr:colOff>
      <xdr:row>206</xdr:row>
      <xdr:rowOff>25210</xdr:rowOff>
    </xdr:from>
    <xdr:to>
      <xdr:col>3</xdr:col>
      <xdr:colOff>392908</xdr:colOff>
      <xdr:row>208</xdr:row>
      <xdr:rowOff>10375</xdr:rowOff>
    </xdr:to>
    <xdr:cxnSp macro="">
      <xdr:nvCxnSpPr>
        <xdr:cNvPr id="519" name="Straight Connector 518">
          <a:extLst>
            <a:ext uri="{FF2B5EF4-FFF2-40B4-BE49-F238E27FC236}">
              <a16:creationId xmlns:a16="http://schemas.microsoft.com/office/drawing/2014/main" id="{7D821233-1DC4-45D5-9779-FEB58DB4B714}"/>
            </a:ext>
          </a:extLst>
        </xdr:cNvPr>
        <xdr:cNvCxnSpPr/>
      </xdr:nvCxnSpPr>
      <xdr:spPr>
        <a:xfrm rot="16200000" flipH="1">
          <a:off x="2152176" y="39758064"/>
          <a:ext cx="367299" cy="7509"/>
        </a:xfrm>
        <a:prstGeom prst="line">
          <a:avLst/>
        </a:prstGeom>
        <a:ln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474697</xdr:colOff>
      <xdr:row>206</xdr:row>
      <xdr:rowOff>1084</xdr:rowOff>
    </xdr:from>
    <xdr:to>
      <xdr:col>4</xdr:col>
      <xdr:colOff>362925</xdr:colOff>
      <xdr:row>207</xdr:row>
      <xdr:rowOff>90527</xdr:rowOff>
    </xdr:to>
    <xdr:sp macro="" textlink="">
      <xdr:nvSpPr>
        <xdr:cNvPr id="523" name="TextBox 522">
          <a:extLst>
            <a:ext uri="{FF2B5EF4-FFF2-40B4-BE49-F238E27FC236}">
              <a16:creationId xmlns:a16="http://schemas.microsoft.com/office/drawing/2014/main" id="{B747AAD3-5C83-4309-9FA3-357A1A8DD2E8}"/>
            </a:ext>
          </a:extLst>
        </xdr:cNvPr>
        <xdr:cNvSpPr txBox="1"/>
      </xdr:nvSpPr>
      <xdr:spPr>
        <a:xfrm>
          <a:off x="2421369" y="39547693"/>
          <a:ext cx="537119" cy="2937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/>
            <a:t>L/4</a:t>
          </a:r>
        </a:p>
      </xdr:txBody>
    </xdr:sp>
    <xdr:clientData/>
  </xdr:twoCellAnchor>
  <xdr:twoCellAnchor>
    <xdr:from>
      <xdr:col>8</xdr:col>
      <xdr:colOff>57979</xdr:colOff>
      <xdr:row>205</xdr:row>
      <xdr:rowOff>11323</xdr:rowOff>
    </xdr:from>
    <xdr:to>
      <xdr:col>8</xdr:col>
      <xdr:colOff>77395</xdr:colOff>
      <xdr:row>215</xdr:row>
      <xdr:rowOff>154425</xdr:rowOff>
    </xdr:to>
    <xdr:cxnSp macro="">
      <xdr:nvCxnSpPr>
        <xdr:cNvPr id="524" name="Straight Connector 523">
          <a:extLst>
            <a:ext uri="{FF2B5EF4-FFF2-40B4-BE49-F238E27FC236}">
              <a16:creationId xmlns:a16="http://schemas.microsoft.com/office/drawing/2014/main" id="{8E618A6A-17F8-43EF-BCE5-318F66337794}"/>
            </a:ext>
          </a:extLst>
        </xdr:cNvPr>
        <xdr:cNvCxnSpPr/>
      </xdr:nvCxnSpPr>
      <xdr:spPr>
        <a:xfrm rot="16200000" flipH="1">
          <a:off x="4312805" y="40388742"/>
          <a:ext cx="2046795" cy="19416"/>
        </a:xfrm>
        <a:prstGeom prst="line">
          <a:avLst/>
        </a:prstGeom>
        <a:ln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420290</xdr:colOff>
      <xdr:row>205</xdr:row>
      <xdr:rowOff>162244</xdr:rowOff>
    </xdr:from>
    <xdr:to>
      <xdr:col>8</xdr:col>
      <xdr:colOff>65484</xdr:colOff>
      <xdr:row>205</xdr:row>
      <xdr:rowOff>164624</xdr:rowOff>
    </xdr:to>
    <xdr:cxnSp macro="">
      <xdr:nvCxnSpPr>
        <xdr:cNvPr id="526" name="Straight Arrow Connector 525">
          <a:extLst>
            <a:ext uri="{FF2B5EF4-FFF2-40B4-BE49-F238E27FC236}">
              <a16:creationId xmlns:a16="http://schemas.microsoft.com/office/drawing/2014/main" id="{F87AD7AB-A9EC-4D8A-B125-F95A15A9A1F3}"/>
            </a:ext>
          </a:extLst>
        </xdr:cNvPr>
        <xdr:cNvCxnSpPr/>
      </xdr:nvCxnSpPr>
      <xdr:spPr>
        <a:xfrm>
          <a:off x="3015853" y="39532323"/>
          <a:ext cx="2318147" cy="2380"/>
        </a:xfrm>
        <a:prstGeom prst="straightConnector1">
          <a:avLst/>
        </a:prstGeom>
        <a:ln>
          <a:solidFill>
            <a:sysClr val="windowText" lastClr="00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331822</xdr:colOff>
      <xdr:row>204</xdr:row>
      <xdr:rowOff>36803</xdr:rowOff>
    </xdr:from>
    <xdr:to>
      <xdr:col>7</xdr:col>
      <xdr:colOff>295594</xdr:colOff>
      <xdr:row>205</xdr:row>
      <xdr:rowOff>126246</xdr:rowOff>
    </xdr:to>
    <xdr:sp macro="" textlink="">
      <xdr:nvSpPr>
        <xdr:cNvPr id="528" name="TextBox 527">
          <a:extLst>
            <a:ext uri="{FF2B5EF4-FFF2-40B4-BE49-F238E27FC236}">
              <a16:creationId xmlns:a16="http://schemas.microsoft.com/office/drawing/2014/main" id="{E454314A-B9F4-4818-9C60-D47818DBB799}"/>
            </a:ext>
          </a:extLst>
        </xdr:cNvPr>
        <xdr:cNvSpPr txBox="1"/>
      </xdr:nvSpPr>
      <xdr:spPr>
        <a:xfrm>
          <a:off x="3576275" y="39202412"/>
          <a:ext cx="1256334" cy="2937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/>
            <a:t>L = Span2</a:t>
          </a:r>
        </a:p>
      </xdr:txBody>
    </xdr:sp>
    <xdr:clientData/>
  </xdr:twoCellAnchor>
  <xdr:twoCellAnchor>
    <xdr:from>
      <xdr:col>7</xdr:col>
      <xdr:colOff>106000</xdr:colOff>
      <xdr:row>207</xdr:row>
      <xdr:rowOff>145945</xdr:rowOff>
    </xdr:from>
    <xdr:to>
      <xdr:col>8</xdr:col>
      <xdr:colOff>256048</xdr:colOff>
      <xdr:row>207</xdr:row>
      <xdr:rowOff>150813</xdr:rowOff>
    </xdr:to>
    <xdr:cxnSp macro="">
      <xdr:nvCxnSpPr>
        <xdr:cNvPr id="529" name="Straight Connector 528">
          <a:extLst>
            <a:ext uri="{FF2B5EF4-FFF2-40B4-BE49-F238E27FC236}">
              <a16:creationId xmlns:a16="http://schemas.microsoft.com/office/drawing/2014/main" id="{32E6143B-9383-49EA-8E1B-BCC867577F5B}"/>
            </a:ext>
          </a:extLst>
        </xdr:cNvPr>
        <xdr:cNvCxnSpPr/>
      </xdr:nvCxnSpPr>
      <xdr:spPr>
        <a:xfrm>
          <a:off x="4700225" y="40281120"/>
          <a:ext cx="880234" cy="4868"/>
        </a:xfrm>
        <a:prstGeom prst="line">
          <a:avLst/>
        </a:prstGeom>
        <a:ln>
          <a:solidFill>
            <a:srgbClr val="00B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581025</xdr:colOff>
      <xdr:row>3</xdr:row>
      <xdr:rowOff>319405</xdr:rowOff>
    </xdr:from>
    <xdr:to>
      <xdr:col>6</xdr:col>
      <xdr:colOff>76200</xdr:colOff>
      <xdr:row>3</xdr:row>
      <xdr:rowOff>328930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A98915A3-3621-4CFE-91C3-46F343E19012}"/>
            </a:ext>
          </a:extLst>
        </xdr:cNvPr>
        <xdr:cNvCxnSpPr/>
      </xdr:nvCxnSpPr>
      <xdr:spPr>
        <a:xfrm>
          <a:off x="3209925" y="904875"/>
          <a:ext cx="809625" cy="9525"/>
        </a:xfrm>
        <a:prstGeom prst="straightConnector1">
          <a:avLst/>
        </a:prstGeom>
        <a:ln>
          <a:solidFill>
            <a:sysClr val="windowText" lastClr="00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514350</xdr:colOff>
      <xdr:row>2</xdr:row>
      <xdr:rowOff>98425</xdr:rowOff>
    </xdr:from>
    <xdr:to>
      <xdr:col>6</xdr:col>
      <xdr:colOff>514350</xdr:colOff>
      <xdr:row>3</xdr:row>
      <xdr:rowOff>151765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F02419D1-E225-4931-99A2-3E2B247F03C8}"/>
            </a:ext>
          </a:extLst>
        </xdr:cNvPr>
        <xdr:cNvSpPr txBox="1"/>
      </xdr:nvSpPr>
      <xdr:spPr>
        <a:xfrm>
          <a:off x="3143250" y="485775"/>
          <a:ext cx="13144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vertical spacing</a:t>
          </a:r>
        </a:p>
      </xdr:txBody>
    </xdr:sp>
    <xdr:clientData/>
  </xdr:twoCellAnchor>
  <xdr:twoCellAnchor>
    <xdr:from>
      <xdr:col>7</xdr:col>
      <xdr:colOff>683260</xdr:colOff>
      <xdr:row>8</xdr:row>
      <xdr:rowOff>155574</xdr:rowOff>
    </xdr:from>
    <xdr:to>
      <xdr:col>8</xdr:col>
      <xdr:colOff>600251</xdr:colOff>
      <xdr:row>12</xdr:row>
      <xdr:rowOff>11546</xdr:rowOff>
    </xdr:to>
    <xdr:sp macro="" textlink="">
      <xdr:nvSpPr>
        <xdr:cNvPr id="508" name="TextBox 507">
          <a:extLst>
            <a:ext uri="{FF2B5EF4-FFF2-40B4-BE49-F238E27FC236}">
              <a16:creationId xmlns:a16="http://schemas.microsoft.com/office/drawing/2014/main" id="{22E6865B-6533-4B39-8DCD-318F05D89877}"/>
            </a:ext>
          </a:extLst>
        </xdr:cNvPr>
        <xdr:cNvSpPr txBox="1"/>
      </xdr:nvSpPr>
      <xdr:spPr>
        <a:xfrm>
          <a:off x="5267325" y="1962149"/>
          <a:ext cx="657225" cy="638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spacing layer</a:t>
          </a:r>
        </a:p>
      </xdr:txBody>
    </xdr:sp>
    <xdr:clientData/>
  </xdr:twoCellAnchor>
  <xdr:twoCellAnchor>
    <xdr:from>
      <xdr:col>7</xdr:col>
      <xdr:colOff>532130</xdr:colOff>
      <xdr:row>8</xdr:row>
      <xdr:rowOff>190500</xdr:rowOff>
    </xdr:from>
    <xdr:to>
      <xdr:col>8</xdr:col>
      <xdr:colOff>18944</xdr:colOff>
      <xdr:row>11</xdr:row>
      <xdr:rowOff>41321</xdr:rowOff>
    </xdr:to>
    <xdr:sp macro="" textlink="">
      <xdr:nvSpPr>
        <xdr:cNvPr id="21" name="Right Brace 20">
          <a:extLst>
            <a:ext uri="{FF2B5EF4-FFF2-40B4-BE49-F238E27FC236}">
              <a16:creationId xmlns:a16="http://schemas.microsoft.com/office/drawing/2014/main" id="{FE4559A3-41DA-4293-A2D7-A8A417400311}"/>
            </a:ext>
          </a:extLst>
        </xdr:cNvPr>
        <xdr:cNvSpPr/>
      </xdr:nvSpPr>
      <xdr:spPr>
        <a:xfrm>
          <a:off x="5114925" y="1990725"/>
          <a:ext cx="228600" cy="447675"/>
        </a:xfrm>
        <a:prstGeom prst="rightBrac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403860</xdr:colOff>
      <xdr:row>18</xdr:row>
      <xdr:rowOff>53340</xdr:rowOff>
    </xdr:from>
    <xdr:to>
      <xdr:col>7</xdr:col>
      <xdr:colOff>373380</xdr:colOff>
      <xdr:row>28</xdr:row>
      <xdr:rowOff>91440</xdr:rowOff>
    </xdr:to>
    <xdr:pic>
      <xdr:nvPicPr>
        <xdr:cNvPr id="19811" name="Picture 3">
          <a:extLst>
            <a:ext uri="{FF2B5EF4-FFF2-40B4-BE49-F238E27FC236}">
              <a16:creationId xmlns:a16="http://schemas.microsoft.com/office/drawing/2014/main" id="{01E7B486-C468-4295-A7D9-85D69DE4EE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3860" y="3436620"/>
          <a:ext cx="4236720" cy="186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243840</xdr:colOff>
      <xdr:row>4</xdr:row>
      <xdr:rowOff>22860</xdr:rowOff>
    </xdr:from>
    <xdr:to>
      <xdr:col>3</xdr:col>
      <xdr:colOff>68580</xdr:colOff>
      <xdr:row>14</xdr:row>
      <xdr:rowOff>0</xdr:rowOff>
    </xdr:to>
    <xdr:grpSp>
      <xdr:nvGrpSpPr>
        <xdr:cNvPr id="19812" name="Group 10">
          <a:extLst>
            <a:ext uri="{FF2B5EF4-FFF2-40B4-BE49-F238E27FC236}">
              <a16:creationId xmlns:a16="http://schemas.microsoft.com/office/drawing/2014/main" id="{8E270E04-4B61-4623-B1C6-A4C2AFD70B91}"/>
            </a:ext>
          </a:extLst>
        </xdr:cNvPr>
        <xdr:cNvGrpSpPr>
          <a:grpSpLocks/>
        </xdr:cNvGrpSpPr>
      </xdr:nvGrpSpPr>
      <xdr:grpSpPr bwMode="auto">
        <a:xfrm>
          <a:off x="243840" y="754380"/>
          <a:ext cx="1744980" cy="1805940"/>
          <a:chOff x="238125" y="600075"/>
          <a:chExt cx="1771650" cy="1876425"/>
        </a:xfrm>
      </xdr:grpSpPr>
      <xdr:sp macro="" textlink="">
        <xdr:nvSpPr>
          <xdr:cNvPr id="5" name="Cube 4">
            <a:extLst>
              <a:ext uri="{FF2B5EF4-FFF2-40B4-BE49-F238E27FC236}">
                <a16:creationId xmlns:a16="http://schemas.microsoft.com/office/drawing/2014/main" id="{52039C18-6F73-4B4E-927B-8CB3BD7A5B75}"/>
              </a:ext>
            </a:extLst>
          </xdr:cNvPr>
          <xdr:cNvSpPr/>
        </xdr:nvSpPr>
        <xdr:spPr>
          <a:xfrm>
            <a:off x="556532" y="600075"/>
            <a:ext cx="1453243" cy="1559729"/>
          </a:xfrm>
          <a:prstGeom prst="cube">
            <a:avLst>
              <a:gd name="adj" fmla="val 79756"/>
            </a:avLst>
          </a:prstGeom>
          <a:blipFill>
            <a:blip xmlns:r="http://schemas.openxmlformats.org/officeDocument/2006/relationships" r:embed="rId2"/>
            <a:tile tx="0" ty="0" sx="100000" sy="100000" flip="none" algn="tl"/>
          </a:blipFill>
          <a:ln w="3175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en-PH"/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B02138E6-CF43-4DEF-A8D3-5519DD333BA2}"/>
              </a:ext>
            </a:extLst>
          </xdr:cNvPr>
          <xdr:cNvSpPr txBox="1"/>
        </xdr:nvSpPr>
        <xdr:spPr>
          <a:xfrm>
            <a:off x="507546" y="2191473"/>
            <a:ext cx="514350" cy="28502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r>
              <a:rPr lang="en-US" sz="1100"/>
              <a:t>W1</a:t>
            </a: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5419091-23CE-4572-9B41-260BC505E157}"/>
              </a:ext>
            </a:extLst>
          </xdr:cNvPr>
          <xdr:cNvSpPr txBox="1"/>
        </xdr:nvSpPr>
        <xdr:spPr>
          <a:xfrm>
            <a:off x="238125" y="1787686"/>
            <a:ext cx="506186" cy="28502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r>
              <a:rPr lang="en-US" sz="1100"/>
              <a:t>W2</a:t>
            </a:r>
          </a:p>
        </xdr:txBody>
      </xdr:sp>
      <xdr:cxnSp macro="">
        <xdr:nvCxnSpPr>
          <xdr:cNvPr id="9" name="Straight Arrow Connector 8">
            <a:extLst>
              <a:ext uri="{FF2B5EF4-FFF2-40B4-BE49-F238E27FC236}">
                <a16:creationId xmlns:a16="http://schemas.microsoft.com/office/drawing/2014/main" id="{89C0A7CC-1F38-4B81-AD40-D42FC27C8E2B}"/>
              </a:ext>
            </a:extLst>
          </xdr:cNvPr>
          <xdr:cNvCxnSpPr/>
        </xdr:nvCxnSpPr>
        <xdr:spPr>
          <a:xfrm flipV="1">
            <a:off x="287111" y="623827"/>
            <a:ext cx="1134836" cy="1132189"/>
          </a:xfrm>
          <a:prstGeom prst="straightConnector1">
            <a:avLst/>
          </a:prstGeom>
          <a:ln>
            <a:solidFill>
              <a:sysClr val="windowText" lastClr="000000"/>
            </a:solidFill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22650FD9-73A6-4FBF-B367-7A5967D6A810}"/>
              </a:ext>
            </a:extLst>
          </xdr:cNvPr>
          <xdr:cNvSpPr txBox="1"/>
        </xdr:nvSpPr>
        <xdr:spPr>
          <a:xfrm>
            <a:off x="605518" y="916771"/>
            <a:ext cx="506186" cy="27710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r>
              <a:rPr lang="en-US" sz="1100"/>
              <a:t>L</a:t>
            </a:r>
          </a:p>
        </xdr:txBody>
      </xdr:sp>
    </xdr:grpSp>
    <xdr:clientData/>
  </xdr:twoCellAnchor>
  <xdr:twoCellAnchor>
    <xdr:from>
      <xdr:col>0</xdr:col>
      <xdr:colOff>129540</xdr:colOff>
      <xdr:row>36</xdr:row>
      <xdr:rowOff>38100</xdr:rowOff>
    </xdr:from>
    <xdr:to>
      <xdr:col>2</xdr:col>
      <xdr:colOff>601980</xdr:colOff>
      <xdr:row>45</xdr:row>
      <xdr:rowOff>137160</xdr:rowOff>
    </xdr:to>
    <xdr:grpSp>
      <xdr:nvGrpSpPr>
        <xdr:cNvPr id="19813" name="Group 11">
          <a:extLst>
            <a:ext uri="{FF2B5EF4-FFF2-40B4-BE49-F238E27FC236}">
              <a16:creationId xmlns:a16="http://schemas.microsoft.com/office/drawing/2014/main" id="{1C8741F0-CC76-4659-8EAB-915FC0948F0C}"/>
            </a:ext>
          </a:extLst>
        </xdr:cNvPr>
        <xdr:cNvGrpSpPr>
          <a:grpSpLocks/>
        </xdr:cNvGrpSpPr>
      </xdr:nvGrpSpPr>
      <xdr:grpSpPr bwMode="auto">
        <a:xfrm>
          <a:off x="129540" y="6713220"/>
          <a:ext cx="1752600" cy="1744980"/>
          <a:chOff x="238125" y="600075"/>
          <a:chExt cx="1771650" cy="1876425"/>
        </a:xfrm>
      </xdr:grpSpPr>
      <xdr:sp macro="" textlink="">
        <xdr:nvSpPr>
          <xdr:cNvPr id="13" name="Cube 12">
            <a:extLst>
              <a:ext uri="{FF2B5EF4-FFF2-40B4-BE49-F238E27FC236}">
                <a16:creationId xmlns:a16="http://schemas.microsoft.com/office/drawing/2014/main" id="{023804EF-BDA2-4577-BC0B-A20E21A0B45B}"/>
              </a:ext>
            </a:extLst>
          </xdr:cNvPr>
          <xdr:cNvSpPr/>
        </xdr:nvSpPr>
        <xdr:spPr>
          <a:xfrm>
            <a:off x="557341" y="600075"/>
            <a:ext cx="1452434" cy="1565053"/>
          </a:xfrm>
          <a:prstGeom prst="cube">
            <a:avLst>
              <a:gd name="adj" fmla="val 79756"/>
            </a:avLst>
          </a:prstGeom>
          <a:blipFill>
            <a:blip xmlns:r="http://schemas.openxmlformats.org/officeDocument/2006/relationships" r:embed="rId2"/>
            <a:tile tx="0" ty="0" sx="100000" sy="100000" flip="none" algn="tl"/>
          </a:blipFill>
          <a:ln w="3175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en-PH"/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9D4FEA52-C186-42FE-ABF7-E33CC8792CE8}"/>
              </a:ext>
            </a:extLst>
          </xdr:cNvPr>
          <xdr:cNvSpPr txBox="1"/>
        </xdr:nvSpPr>
        <xdr:spPr>
          <a:xfrm>
            <a:off x="517439" y="2189710"/>
            <a:ext cx="494785" cy="28679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r>
              <a:rPr lang="en-US" sz="1100"/>
              <a:t>W1</a:t>
            </a: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BCE3FD29-96A3-4AD3-9525-4F4969CBA036}"/>
              </a:ext>
            </a:extLst>
          </xdr:cNvPr>
          <xdr:cNvSpPr txBox="1"/>
        </xdr:nvSpPr>
        <xdr:spPr>
          <a:xfrm>
            <a:off x="238125" y="1788204"/>
            <a:ext cx="510746" cy="28679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r>
              <a:rPr lang="en-US" sz="1100"/>
              <a:t>W2</a:t>
            </a:r>
          </a:p>
        </xdr:txBody>
      </xdr:sp>
      <xdr:cxnSp macro="">
        <xdr:nvCxnSpPr>
          <xdr:cNvPr id="16" name="Straight Arrow Connector 15">
            <a:extLst>
              <a:ext uri="{FF2B5EF4-FFF2-40B4-BE49-F238E27FC236}">
                <a16:creationId xmlns:a16="http://schemas.microsoft.com/office/drawing/2014/main" id="{81427E10-41C2-4394-8968-0A53D081D37F}"/>
              </a:ext>
            </a:extLst>
          </xdr:cNvPr>
          <xdr:cNvCxnSpPr/>
        </xdr:nvCxnSpPr>
        <xdr:spPr>
          <a:xfrm flipV="1">
            <a:off x="286007" y="624657"/>
            <a:ext cx="1149178" cy="1130771"/>
          </a:xfrm>
          <a:prstGeom prst="straightConnector1">
            <a:avLst/>
          </a:prstGeom>
          <a:ln>
            <a:solidFill>
              <a:sysClr val="windowText" lastClr="000000"/>
            </a:solidFill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9998388A-90FA-4EF9-AE6E-1204C4F24895}"/>
              </a:ext>
            </a:extLst>
          </xdr:cNvPr>
          <xdr:cNvSpPr txBox="1"/>
        </xdr:nvSpPr>
        <xdr:spPr>
          <a:xfrm>
            <a:off x="605224" y="911447"/>
            <a:ext cx="510746" cy="28679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r>
              <a:rPr lang="en-US" sz="1100"/>
              <a:t>L</a:t>
            </a:r>
          </a:p>
        </xdr:txBody>
      </xdr:sp>
    </xdr:grpSp>
    <xdr:clientData/>
  </xdr:twoCellAnchor>
  <xdr:twoCellAnchor>
    <xdr:from>
      <xdr:col>1</xdr:col>
      <xdr:colOff>381000</xdr:colOff>
      <xdr:row>55</xdr:row>
      <xdr:rowOff>175260</xdr:rowOff>
    </xdr:from>
    <xdr:to>
      <xdr:col>6</xdr:col>
      <xdr:colOff>411480</xdr:colOff>
      <xdr:row>67</xdr:row>
      <xdr:rowOff>38100</xdr:rowOff>
    </xdr:to>
    <xdr:grpSp>
      <xdr:nvGrpSpPr>
        <xdr:cNvPr id="19814" name="Group 100">
          <a:extLst>
            <a:ext uri="{FF2B5EF4-FFF2-40B4-BE49-F238E27FC236}">
              <a16:creationId xmlns:a16="http://schemas.microsoft.com/office/drawing/2014/main" id="{F28E879D-6B92-47A2-9DE2-C7BD8A26B21B}"/>
            </a:ext>
          </a:extLst>
        </xdr:cNvPr>
        <xdr:cNvGrpSpPr>
          <a:grpSpLocks/>
        </xdr:cNvGrpSpPr>
      </xdr:nvGrpSpPr>
      <xdr:grpSpPr bwMode="auto">
        <a:xfrm>
          <a:off x="1021080" y="10325100"/>
          <a:ext cx="3230880" cy="2057400"/>
          <a:chOff x="1905001" y="13515975"/>
          <a:chExt cx="3267073" cy="2143125"/>
        </a:xfrm>
      </xdr:grpSpPr>
      <xdr:grpSp>
        <xdr:nvGrpSpPr>
          <xdr:cNvPr id="19821" name="Group 74">
            <a:extLst>
              <a:ext uri="{FF2B5EF4-FFF2-40B4-BE49-F238E27FC236}">
                <a16:creationId xmlns:a16="http://schemas.microsoft.com/office/drawing/2014/main" id="{FE67BAA5-66FE-467A-9CE8-A803F678C421}"/>
              </a:ext>
            </a:extLst>
          </xdr:cNvPr>
          <xdr:cNvGrpSpPr>
            <a:grpSpLocks/>
          </xdr:cNvGrpSpPr>
        </xdr:nvGrpSpPr>
        <xdr:grpSpPr bwMode="auto">
          <a:xfrm>
            <a:off x="1914525" y="13535024"/>
            <a:ext cx="1276350" cy="2124075"/>
            <a:chOff x="180975" y="10153649"/>
            <a:chExt cx="1276350" cy="2124075"/>
          </a:xfrm>
        </xdr:grpSpPr>
        <xdr:sp macro="" textlink="">
          <xdr:nvSpPr>
            <xdr:cNvPr id="26" name="Cube 25">
              <a:extLst>
                <a:ext uri="{FF2B5EF4-FFF2-40B4-BE49-F238E27FC236}">
                  <a16:creationId xmlns:a16="http://schemas.microsoft.com/office/drawing/2014/main" id="{0E2859BD-5C11-49F1-9FF1-FF55ADD5716D}"/>
                </a:ext>
              </a:extLst>
            </xdr:cNvPr>
            <xdr:cNvSpPr/>
          </xdr:nvSpPr>
          <xdr:spPr>
            <a:xfrm>
              <a:off x="187625" y="12174538"/>
              <a:ext cx="630772" cy="103188"/>
            </a:xfrm>
            <a:prstGeom prst="cube">
              <a:avLst/>
            </a:prstGeom>
            <a:blipFill>
              <a:blip xmlns:r="http://schemas.openxmlformats.org/officeDocument/2006/relationships" r:embed="rId3"/>
              <a:tile tx="0" ty="0" sx="100000" sy="100000" flip="none" algn="tl"/>
            </a:blip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endParaRPr lang="en-PH"/>
            </a:p>
          </xdr:txBody>
        </xdr:sp>
        <xdr:sp macro="" textlink="">
          <xdr:nvSpPr>
            <xdr:cNvPr id="27" name="Cube 26">
              <a:extLst>
                <a:ext uri="{FF2B5EF4-FFF2-40B4-BE49-F238E27FC236}">
                  <a16:creationId xmlns:a16="http://schemas.microsoft.com/office/drawing/2014/main" id="{A8838223-7AB6-4383-AB0C-B6F899E53CFE}"/>
                </a:ext>
              </a:extLst>
            </xdr:cNvPr>
            <xdr:cNvSpPr/>
          </xdr:nvSpPr>
          <xdr:spPr>
            <a:xfrm>
              <a:off x="187625" y="11682413"/>
              <a:ext cx="630772" cy="103188"/>
            </a:xfrm>
            <a:prstGeom prst="cube">
              <a:avLst/>
            </a:prstGeom>
            <a:blipFill>
              <a:blip xmlns:r="http://schemas.openxmlformats.org/officeDocument/2006/relationships" r:embed="rId3"/>
              <a:tile tx="0" ty="0" sx="100000" sy="100000" flip="none" algn="tl"/>
            </a:blip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endParaRPr lang="en-PH"/>
            </a:p>
          </xdr:txBody>
        </xdr:sp>
        <xdr:sp macro="" textlink="">
          <xdr:nvSpPr>
            <xdr:cNvPr id="28" name="Cube 27">
              <a:extLst>
                <a:ext uri="{FF2B5EF4-FFF2-40B4-BE49-F238E27FC236}">
                  <a16:creationId xmlns:a16="http://schemas.microsoft.com/office/drawing/2014/main" id="{45565919-986F-4BD4-B2A3-6C95B19313A1}"/>
                </a:ext>
              </a:extLst>
            </xdr:cNvPr>
            <xdr:cNvSpPr/>
          </xdr:nvSpPr>
          <xdr:spPr>
            <a:xfrm>
              <a:off x="187625" y="11190288"/>
              <a:ext cx="630772" cy="103188"/>
            </a:xfrm>
            <a:prstGeom prst="cube">
              <a:avLst/>
            </a:prstGeom>
            <a:blipFill>
              <a:blip xmlns:r="http://schemas.openxmlformats.org/officeDocument/2006/relationships" r:embed="rId3"/>
              <a:tile tx="0" ty="0" sx="100000" sy="100000" flip="none" algn="tl"/>
            </a:blip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endParaRPr lang="en-PH"/>
            </a:p>
          </xdr:txBody>
        </xdr:sp>
        <xdr:sp macro="" textlink="">
          <xdr:nvSpPr>
            <xdr:cNvPr id="29" name="Cube 28">
              <a:extLst>
                <a:ext uri="{FF2B5EF4-FFF2-40B4-BE49-F238E27FC236}">
                  <a16:creationId xmlns:a16="http://schemas.microsoft.com/office/drawing/2014/main" id="{D79A9F1E-676E-4212-B4BA-B6AAF3A79FBE}"/>
                </a:ext>
              </a:extLst>
            </xdr:cNvPr>
            <xdr:cNvSpPr/>
          </xdr:nvSpPr>
          <xdr:spPr>
            <a:xfrm>
              <a:off x="179538" y="10150475"/>
              <a:ext cx="622685" cy="103188"/>
            </a:xfrm>
            <a:prstGeom prst="cube">
              <a:avLst/>
            </a:prstGeom>
            <a:blipFill>
              <a:blip xmlns:r="http://schemas.openxmlformats.org/officeDocument/2006/relationships" r:embed="rId3"/>
              <a:tile tx="0" ty="0" sx="100000" sy="100000" flip="none" algn="tl"/>
            </a:blip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endParaRPr lang="en-PH"/>
            </a:p>
          </xdr:txBody>
        </xdr:sp>
        <xdr:sp macro="" textlink="">
          <xdr:nvSpPr>
            <xdr:cNvPr id="30" name="Cube 29">
              <a:extLst>
                <a:ext uri="{FF2B5EF4-FFF2-40B4-BE49-F238E27FC236}">
                  <a16:creationId xmlns:a16="http://schemas.microsoft.com/office/drawing/2014/main" id="{AAA3864B-B1C2-4AC7-8988-5D6CF0F1A459}"/>
                </a:ext>
              </a:extLst>
            </xdr:cNvPr>
            <xdr:cNvSpPr/>
          </xdr:nvSpPr>
          <xdr:spPr>
            <a:xfrm>
              <a:off x="187625" y="10698163"/>
              <a:ext cx="630772" cy="95250"/>
            </a:xfrm>
            <a:prstGeom prst="cube">
              <a:avLst/>
            </a:prstGeom>
            <a:blipFill>
              <a:blip xmlns:r="http://schemas.openxmlformats.org/officeDocument/2006/relationships" r:embed="rId3"/>
              <a:tile tx="0" ty="0" sx="100000" sy="100000" flip="none" algn="tl"/>
            </a:blip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endParaRPr lang="en-PH"/>
            </a:p>
          </xdr:txBody>
        </xdr:sp>
        <xdr:sp macro="" textlink="">
          <xdr:nvSpPr>
            <xdr:cNvPr id="31" name="Cube 30">
              <a:extLst>
                <a:ext uri="{FF2B5EF4-FFF2-40B4-BE49-F238E27FC236}">
                  <a16:creationId xmlns:a16="http://schemas.microsoft.com/office/drawing/2014/main" id="{CF450032-7FF7-4D5F-B05C-A178D9442D80}"/>
                </a:ext>
              </a:extLst>
            </xdr:cNvPr>
            <xdr:cNvSpPr/>
          </xdr:nvSpPr>
          <xdr:spPr>
            <a:xfrm>
              <a:off x="802223" y="12174538"/>
              <a:ext cx="638858" cy="103188"/>
            </a:xfrm>
            <a:prstGeom prst="cube">
              <a:avLst/>
            </a:prstGeom>
            <a:blipFill>
              <a:blip xmlns:r="http://schemas.openxmlformats.org/officeDocument/2006/relationships" r:embed="rId3"/>
              <a:tile tx="0" ty="0" sx="100000" sy="100000" flip="none" algn="tl"/>
            </a:blip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endParaRPr lang="en-PH"/>
            </a:p>
          </xdr:txBody>
        </xdr:sp>
        <xdr:sp macro="" textlink="">
          <xdr:nvSpPr>
            <xdr:cNvPr id="32" name="Cube 31">
              <a:extLst>
                <a:ext uri="{FF2B5EF4-FFF2-40B4-BE49-F238E27FC236}">
                  <a16:creationId xmlns:a16="http://schemas.microsoft.com/office/drawing/2014/main" id="{53540E53-9B58-4538-BB28-251F226F5B7C}"/>
                </a:ext>
              </a:extLst>
            </xdr:cNvPr>
            <xdr:cNvSpPr/>
          </xdr:nvSpPr>
          <xdr:spPr>
            <a:xfrm>
              <a:off x="802223" y="11682413"/>
              <a:ext cx="638858" cy="103188"/>
            </a:xfrm>
            <a:prstGeom prst="cube">
              <a:avLst/>
            </a:prstGeom>
            <a:blipFill>
              <a:blip xmlns:r="http://schemas.openxmlformats.org/officeDocument/2006/relationships" r:embed="rId3"/>
              <a:tile tx="0" ty="0" sx="100000" sy="100000" flip="none" algn="tl"/>
            </a:blip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endParaRPr lang="en-PH"/>
            </a:p>
          </xdr:txBody>
        </xdr:sp>
        <xdr:sp macro="" textlink="">
          <xdr:nvSpPr>
            <xdr:cNvPr id="33" name="Cube 32">
              <a:extLst>
                <a:ext uri="{FF2B5EF4-FFF2-40B4-BE49-F238E27FC236}">
                  <a16:creationId xmlns:a16="http://schemas.microsoft.com/office/drawing/2014/main" id="{898B657F-4DF5-4223-BAC9-7643F5D02422}"/>
                </a:ext>
              </a:extLst>
            </xdr:cNvPr>
            <xdr:cNvSpPr/>
          </xdr:nvSpPr>
          <xdr:spPr>
            <a:xfrm>
              <a:off x="802223" y="11190288"/>
              <a:ext cx="638858" cy="103188"/>
            </a:xfrm>
            <a:prstGeom prst="cube">
              <a:avLst/>
            </a:prstGeom>
            <a:blipFill>
              <a:blip xmlns:r="http://schemas.openxmlformats.org/officeDocument/2006/relationships" r:embed="rId3"/>
              <a:tile tx="0" ty="0" sx="100000" sy="100000" flip="none" algn="tl"/>
            </a:blip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endParaRPr lang="en-PH"/>
            </a:p>
          </xdr:txBody>
        </xdr:sp>
        <xdr:sp macro="" textlink="">
          <xdr:nvSpPr>
            <xdr:cNvPr id="35" name="Cube 34">
              <a:extLst>
                <a:ext uri="{FF2B5EF4-FFF2-40B4-BE49-F238E27FC236}">
                  <a16:creationId xmlns:a16="http://schemas.microsoft.com/office/drawing/2014/main" id="{9BE8832E-49D8-408F-A2AB-E7120ABDD767}"/>
                </a:ext>
              </a:extLst>
            </xdr:cNvPr>
            <xdr:cNvSpPr/>
          </xdr:nvSpPr>
          <xdr:spPr>
            <a:xfrm>
              <a:off x="802223" y="10698163"/>
              <a:ext cx="638858" cy="95250"/>
            </a:xfrm>
            <a:prstGeom prst="cube">
              <a:avLst/>
            </a:prstGeom>
            <a:blipFill>
              <a:blip xmlns:r="http://schemas.openxmlformats.org/officeDocument/2006/relationships" r:embed="rId3"/>
              <a:tile tx="0" ty="0" sx="100000" sy="100000" flip="none" algn="tl"/>
            </a:blip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endParaRPr lang="en-PH"/>
            </a:p>
          </xdr:txBody>
        </xdr:sp>
        <xdr:sp macro="" textlink="">
          <xdr:nvSpPr>
            <xdr:cNvPr id="66" name="Cube 65">
              <a:extLst>
                <a:ext uri="{FF2B5EF4-FFF2-40B4-BE49-F238E27FC236}">
                  <a16:creationId xmlns:a16="http://schemas.microsoft.com/office/drawing/2014/main" id="{3D84611D-884A-4141-9255-C51F956CD25C}"/>
                </a:ext>
              </a:extLst>
            </xdr:cNvPr>
            <xdr:cNvSpPr/>
          </xdr:nvSpPr>
          <xdr:spPr>
            <a:xfrm>
              <a:off x="826483" y="10158413"/>
              <a:ext cx="630772" cy="103188"/>
            </a:xfrm>
            <a:prstGeom prst="cube">
              <a:avLst/>
            </a:prstGeom>
            <a:blipFill>
              <a:blip xmlns:r="http://schemas.openxmlformats.org/officeDocument/2006/relationships" r:embed="rId3"/>
              <a:tile tx="0" ty="0" sx="100000" sy="100000" flip="none" algn="tl"/>
            </a:blip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endParaRPr lang="en-PH"/>
            </a:p>
          </xdr:txBody>
        </xdr:sp>
      </xdr:grpSp>
      <xdr:grpSp>
        <xdr:nvGrpSpPr>
          <xdr:cNvPr id="19822" name="Group 76">
            <a:extLst>
              <a:ext uri="{FF2B5EF4-FFF2-40B4-BE49-F238E27FC236}">
                <a16:creationId xmlns:a16="http://schemas.microsoft.com/office/drawing/2014/main" id="{42528DB6-B19C-428A-BD48-D94AA4BD5A1F}"/>
              </a:ext>
            </a:extLst>
          </xdr:cNvPr>
          <xdr:cNvGrpSpPr>
            <a:grpSpLocks/>
          </xdr:cNvGrpSpPr>
        </xdr:nvGrpSpPr>
        <xdr:grpSpPr bwMode="auto">
          <a:xfrm>
            <a:off x="1905001" y="13515975"/>
            <a:ext cx="3267073" cy="2143125"/>
            <a:chOff x="123826" y="10163175"/>
            <a:chExt cx="3267073" cy="2143125"/>
          </a:xfrm>
        </xdr:grpSpPr>
        <xdr:sp macro="" textlink="">
          <xdr:nvSpPr>
            <xdr:cNvPr id="78" name="Cube 77">
              <a:extLst>
                <a:ext uri="{FF2B5EF4-FFF2-40B4-BE49-F238E27FC236}">
                  <a16:creationId xmlns:a16="http://schemas.microsoft.com/office/drawing/2014/main" id="{CCE91071-7CAC-4ADE-8B3B-B9E36ABF40D2}"/>
                </a:ext>
              </a:extLst>
            </xdr:cNvPr>
            <xdr:cNvSpPr/>
          </xdr:nvSpPr>
          <xdr:spPr>
            <a:xfrm>
              <a:off x="1409629" y="12203113"/>
              <a:ext cx="630772" cy="103188"/>
            </a:xfrm>
            <a:prstGeom prst="cube">
              <a:avLst/>
            </a:prstGeom>
            <a:blipFill>
              <a:blip xmlns:r="http://schemas.openxmlformats.org/officeDocument/2006/relationships" r:embed="rId3"/>
              <a:tile tx="0" ty="0" sx="100000" sy="100000" flip="none" algn="tl"/>
            </a:blip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endParaRPr lang="en-PH"/>
            </a:p>
          </xdr:txBody>
        </xdr:sp>
        <xdr:sp macro="" textlink="">
          <xdr:nvSpPr>
            <xdr:cNvPr id="79" name="Cube 78">
              <a:extLst>
                <a:ext uri="{FF2B5EF4-FFF2-40B4-BE49-F238E27FC236}">
                  <a16:creationId xmlns:a16="http://schemas.microsoft.com/office/drawing/2014/main" id="{D3CC076E-2EA3-486B-B7FC-83CB1BDFD803}"/>
                </a:ext>
              </a:extLst>
            </xdr:cNvPr>
            <xdr:cNvSpPr/>
          </xdr:nvSpPr>
          <xdr:spPr>
            <a:xfrm>
              <a:off x="1409629" y="11710988"/>
              <a:ext cx="630772" cy="103188"/>
            </a:xfrm>
            <a:prstGeom prst="cube">
              <a:avLst/>
            </a:prstGeom>
            <a:blipFill>
              <a:blip xmlns:r="http://schemas.openxmlformats.org/officeDocument/2006/relationships" r:embed="rId3"/>
              <a:tile tx="0" ty="0" sx="100000" sy="100000" flip="none" algn="tl"/>
            </a:blip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endParaRPr lang="en-PH"/>
            </a:p>
          </xdr:txBody>
        </xdr:sp>
        <xdr:sp macro="" textlink="">
          <xdr:nvSpPr>
            <xdr:cNvPr id="80" name="Cube 79">
              <a:extLst>
                <a:ext uri="{FF2B5EF4-FFF2-40B4-BE49-F238E27FC236}">
                  <a16:creationId xmlns:a16="http://schemas.microsoft.com/office/drawing/2014/main" id="{290F8B3E-EEFA-4831-82F2-F877F4D9BCE9}"/>
                </a:ext>
              </a:extLst>
            </xdr:cNvPr>
            <xdr:cNvSpPr/>
          </xdr:nvSpPr>
          <xdr:spPr>
            <a:xfrm>
              <a:off x="1409629" y="11218863"/>
              <a:ext cx="630772" cy="111125"/>
            </a:xfrm>
            <a:prstGeom prst="cube">
              <a:avLst/>
            </a:prstGeom>
            <a:blipFill>
              <a:blip xmlns:r="http://schemas.openxmlformats.org/officeDocument/2006/relationships" r:embed="rId3"/>
              <a:tile tx="0" ty="0" sx="100000" sy="100000" flip="none" algn="tl"/>
            </a:blip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endParaRPr lang="en-PH"/>
            </a:p>
          </xdr:txBody>
        </xdr:sp>
        <xdr:sp macro="" textlink="">
          <xdr:nvSpPr>
            <xdr:cNvPr id="81" name="Cube 80">
              <a:extLst>
                <a:ext uri="{FF2B5EF4-FFF2-40B4-BE49-F238E27FC236}">
                  <a16:creationId xmlns:a16="http://schemas.microsoft.com/office/drawing/2014/main" id="{01D2CAF4-15DC-41E9-9739-8545F1F8EDD6}"/>
                </a:ext>
              </a:extLst>
            </xdr:cNvPr>
            <xdr:cNvSpPr/>
          </xdr:nvSpPr>
          <xdr:spPr>
            <a:xfrm>
              <a:off x="1433890" y="10202863"/>
              <a:ext cx="622685" cy="103188"/>
            </a:xfrm>
            <a:prstGeom prst="cube">
              <a:avLst/>
            </a:prstGeom>
            <a:blipFill>
              <a:blip xmlns:r="http://schemas.openxmlformats.org/officeDocument/2006/relationships" r:embed="rId3"/>
              <a:tile tx="0" ty="0" sx="100000" sy="100000" flip="none" algn="tl"/>
            </a:blip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endParaRPr lang="en-PH"/>
            </a:p>
          </xdr:txBody>
        </xdr:sp>
        <xdr:sp macro="" textlink="">
          <xdr:nvSpPr>
            <xdr:cNvPr id="82" name="Cube 81">
              <a:extLst>
                <a:ext uri="{FF2B5EF4-FFF2-40B4-BE49-F238E27FC236}">
                  <a16:creationId xmlns:a16="http://schemas.microsoft.com/office/drawing/2014/main" id="{A1B65213-752B-47A6-AB14-9471F78EE548}"/>
                </a:ext>
              </a:extLst>
            </xdr:cNvPr>
            <xdr:cNvSpPr/>
          </xdr:nvSpPr>
          <xdr:spPr>
            <a:xfrm>
              <a:off x="1409629" y="10718800"/>
              <a:ext cx="630772" cy="111125"/>
            </a:xfrm>
            <a:prstGeom prst="cube">
              <a:avLst/>
            </a:prstGeom>
            <a:blipFill>
              <a:blip xmlns:r="http://schemas.openxmlformats.org/officeDocument/2006/relationships" r:embed="rId3"/>
              <a:tile tx="0" ty="0" sx="100000" sy="100000" flip="none" algn="tl"/>
            </a:blip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endParaRPr lang="en-PH"/>
            </a:p>
          </xdr:txBody>
        </xdr:sp>
        <xdr:sp macro="" textlink="">
          <xdr:nvSpPr>
            <xdr:cNvPr id="83" name="Cube 82">
              <a:extLst>
                <a:ext uri="{FF2B5EF4-FFF2-40B4-BE49-F238E27FC236}">
                  <a16:creationId xmlns:a16="http://schemas.microsoft.com/office/drawing/2014/main" id="{AE377297-3A25-45FE-A08A-2218A320F5DC}"/>
                </a:ext>
              </a:extLst>
            </xdr:cNvPr>
            <xdr:cNvSpPr/>
          </xdr:nvSpPr>
          <xdr:spPr>
            <a:xfrm>
              <a:off x="1999967" y="10186988"/>
              <a:ext cx="97042" cy="2095500"/>
            </a:xfrm>
            <a:prstGeom prst="cube">
              <a:avLst/>
            </a:prstGeom>
            <a:blipFill>
              <a:blip xmlns:r="http://schemas.openxmlformats.org/officeDocument/2006/relationships" r:embed="rId2"/>
              <a:tile tx="0" ty="0" sx="100000" sy="100000" flip="none" algn="tl"/>
            </a:blip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endParaRPr lang="en-PH"/>
            </a:p>
          </xdr:txBody>
        </xdr:sp>
        <xdr:sp macro="" textlink="">
          <xdr:nvSpPr>
            <xdr:cNvPr id="84" name="Cube 83">
              <a:extLst>
                <a:ext uri="{FF2B5EF4-FFF2-40B4-BE49-F238E27FC236}">
                  <a16:creationId xmlns:a16="http://schemas.microsoft.com/office/drawing/2014/main" id="{9932197E-99DC-4EFC-BB00-EE53CE643906}"/>
                </a:ext>
              </a:extLst>
            </xdr:cNvPr>
            <xdr:cNvSpPr/>
          </xdr:nvSpPr>
          <xdr:spPr>
            <a:xfrm>
              <a:off x="2064661" y="12195175"/>
              <a:ext cx="622685" cy="103188"/>
            </a:xfrm>
            <a:prstGeom prst="cube">
              <a:avLst/>
            </a:prstGeom>
            <a:blipFill>
              <a:blip xmlns:r="http://schemas.openxmlformats.org/officeDocument/2006/relationships" r:embed="rId3"/>
              <a:tile tx="0" ty="0" sx="100000" sy="100000" flip="none" algn="tl"/>
            </a:blip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endParaRPr lang="en-PH"/>
            </a:p>
          </xdr:txBody>
        </xdr:sp>
        <xdr:sp macro="" textlink="">
          <xdr:nvSpPr>
            <xdr:cNvPr id="85" name="Cube 84">
              <a:extLst>
                <a:ext uri="{FF2B5EF4-FFF2-40B4-BE49-F238E27FC236}">
                  <a16:creationId xmlns:a16="http://schemas.microsoft.com/office/drawing/2014/main" id="{BDB99E70-2BC5-4AF3-B350-00F08C3AEBD3}"/>
                </a:ext>
              </a:extLst>
            </xdr:cNvPr>
            <xdr:cNvSpPr/>
          </xdr:nvSpPr>
          <xdr:spPr>
            <a:xfrm>
              <a:off x="2097009" y="11695113"/>
              <a:ext cx="630772" cy="103188"/>
            </a:xfrm>
            <a:prstGeom prst="cube">
              <a:avLst/>
            </a:prstGeom>
            <a:blipFill>
              <a:blip xmlns:r="http://schemas.openxmlformats.org/officeDocument/2006/relationships" r:embed="rId3"/>
              <a:tile tx="0" ty="0" sx="100000" sy="100000" flip="none" algn="tl"/>
            </a:blip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endParaRPr lang="en-PH"/>
            </a:p>
          </xdr:txBody>
        </xdr:sp>
        <xdr:sp macro="" textlink="">
          <xdr:nvSpPr>
            <xdr:cNvPr id="86" name="Cube 85">
              <a:extLst>
                <a:ext uri="{FF2B5EF4-FFF2-40B4-BE49-F238E27FC236}">
                  <a16:creationId xmlns:a16="http://schemas.microsoft.com/office/drawing/2014/main" id="{1FE60349-4FD7-4114-A81E-0C9D562025AC}"/>
                </a:ext>
              </a:extLst>
            </xdr:cNvPr>
            <xdr:cNvSpPr/>
          </xdr:nvSpPr>
          <xdr:spPr>
            <a:xfrm>
              <a:off x="2097009" y="11210925"/>
              <a:ext cx="630772" cy="103188"/>
            </a:xfrm>
            <a:prstGeom prst="cube">
              <a:avLst/>
            </a:prstGeom>
            <a:blipFill>
              <a:blip xmlns:r="http://schemas.openxmlformats.org/officeDocument/2006/relationships" r:embed="rId3"/>
              <a:tile tx="0" ty="0" sx="100000" sy="100000" flip="none" algn="tl"/>
            </a:blip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endParaRPr lang="en-PH"/>
            </a:p>
          </xdr:txBody>
        </xdr:sp>
        <xdr:sp macro="" textlink="">
          <xdr:nvSpPr>
            <xdr:cNvPr id="87" name="Cube 86">
              <a:extLst>
                <a:ext uri="{FF2B5EF4-FFF2-40B4-BE49-F238E27FC236}">
                  <a16:creationId xmlns:a16="http://schemas.microsoft.com/office/drawing/2014/main" id="{BAA1CDCD-B358-4316-AF5E-FE8B6A2453B2}"/>
                </a:ext>
              </a:extLst>
            </xdr:cNvPr>
            <xdr:cNvSpPr/>
          </xdr:nvSpPr>
          <xdr:spPr>
            <a:xfrm>
              <a:off x="2064661" y="10186988"/>
              <a:ext cx="622685" cy="111125"/>
            </a:xfrm>
            <a:prstGeom prst="cube">
              <a:avLst/>
            </a:prstGeom>
            <a:blipFill>
              <a:blip xmlns:r="http://schemas.openxmlformats.org/officeDocument/2006/relationships" r:embed="rId3"/>
              <a:tile tx="0" ty="0" sx="100000" sy="100000" flip="none" algn="tl"/>
            </a:blip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endParaRPr lang="en-PH"/>
            </a:p>
          </xdr:txBody>
        </xdr:sp>
        <xdr:sp macro="" textlink="">
          <xdr:nvSpPr>
            <xdr:cNvPr id="88" name="Cube 87">
              <a:extLst>
                <a:ext uri="{FF2B5EF4-FFF2-40B4-BE49-F238E27FC236}">
                  <a16:creationId xmlns:a16="http://schemas.microsoft.com/office/drawing/2014/main" id="{18D3B3E1-457F-422C-BC83-7FDBD6F9DF12}"/>
                </a:ext>
              </a:extLst>
            </xdr:cNvPr>
            <xdr:cNvSpPr/>
          </xdr:nvSpPr>
          <xdr:spPr>
            <a:xfrm>
              <a:off x="2097009" y="10718800"/>
              <a:ext cx="630772" cy="103188"/>
            </a:xfrm>
            <a:prstGeom prst="cube">
              <a:avLst/>
            </a:prstGeom>
            <a:blipFill>
              <a:blip xmlns:r="http://schemas.openxmlformats.org/officeDocument/2006/relationships" r:embed="rId3"/>
              <a:tile tx="0" ty="0" sx="100000" sy="100000" flip="none" algn="tl"/>
            </a:blip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endParaRPr lang="en-PH"/>
            </a:p>
          </xdr:txBody>
        </xdr:sp>
        <xdr:sp macro="" textlink="">
          <xdr:nvSpPr>
            <xdr:cNvPr id="89" name="Cube 88">
              <a:extLst>
                <a:ext uri="{FF2B5EF4-FFF2-40B4-BE49-F238E27FC236}">
                  <a16:creationId xmlns:a16="http://schemas.microsoft.com/office/drawing/2014/main" id="{CEE50070-9385-435F-830D-7B0787B69BB8}"/>
                </a:ext>
              </a:extLst>
            </xdr:cNvPr>
            <xdr:cNvSpPr/>
          </xdr:nvSpPr>
          <xdr:spPr>
            <a:xfrm>
              <a:off x="2622652" y="10179050"/>
              <a:ext cx="88955" cy="2087563"/>
            </a:xfrm>
            <a:prstGeom prst="cube">
              <a:avLst/>
            </a:prstGeom>
            <a:blipFill>
              <a:blip xmlns:r="http://schemas.openxmlformats.org/officeDocument/2006/relationships" r:embed="rId2"/>
              <a:tile tx="0" ty="0" sx="100000" sy="100000" flip="none" algn="tl"/>
            </a:blip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endParaRPr lang="en-PH"/>
            </a:p>
          </xdr:txBody>
        </xdr:sp>
        <xdr:sp macro="" textlink="">
          <xdr:nvSpPr>
            <xdr:cNvPr id="90" name="Cube 89">
              <a:extLst>
                <a:ext uri="{FF2B5EF4-FFF2-40B4-BE49-F238E27FC236}">
                  <a16:creationId xmlns:a16="http://schemas.microsoft.com/office/drawing/2014/main" id="{D85012A1-857C-40CC-9E2B-45A472A3DB3D}"/>
                </a:ext>
              </a:extLst>
            </xdr:cNvPr>
            <xdr:cNvSpPr/>
          </xdr:nvSpPr>
          <xdr:spPr>
            <a:xfrm>
              <a:off x="2703520" y="12195175"/>
              <a:ext cx="630772" cy="103188"/>
            </a:xfrm>
            <a:prstGeom prst="cube">
              <a:avLst/>
            </a:prstGeom>
            <a:blipFill>
              <a:blip xmlns:r="http://schemas.openxmlformats.org/officeDocument/2006/relationships" r:embed="rId3"/>
              <a:tile tx="0" ty="0" sx="100000" sy="100000" flip="none" algn="tl"/>
            </a:blip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endParaRPr lang="en-PH"/>
            </a:p>
          </xdr:txBody>
        </xdr:sp>
        <xdr:sp macro="" textlink="">
          <xdr:nvSpPr>
            <xdr:cNvPr id="91" name="Cube 90">
              <a:extLst>
                <a:ext uri="{FF2B5EF4-FFF2-40B4-BE49-F238E27FC236}">
                  <a16:creationId xmlns:a16="http://schemas.microsoft.com/office/drawing/2014/main" id="{9EC1E909-AED6-4DCB-8A37-76670459F8A4}"/>
                </a:ext>
              </a:extLst>
            </xdr:cNvPr>
            <xdr:cNvSpPr/>
          </xdr:nvSpPr>
          <xdr:spPr>
            <a:xfrm>
              <a:off x="2703520" y="11695113"/>
              <a:ext cx="630772" cy="103188"/>
            </a:xfrm>
            <a:prstGeom prst="cube">
              <a:avLst/>
            </a:prstGeom>
            <a:blipFill>
              <a:blip xmlns:r="http://schemas.openxmlformats.org/officeDocument/2006/relationships" r:embed="rId3"/>
              <a:tile tx="0" ty="0" sx="100000" sy="100000" flip="none" algn="tl"/>
            </a:blip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endParaRPr lang="en-PH"/>
            </a:p>
          </xdr:txBody>
        </xdr:sp>
        <xdr:sp macro="" textlink="">
          <xdr:nvSpPr>
            <xdr:cNvPr id="92" name="Cube 91">
              <a:extLst>
                <a:ext uri="{FF2B5EF4-FFF2-40B4-BE49-F238E27FC236}">
                  <a16:creationId xmlns:a16="http://schemas.microsoft.com/office/drawing/2014/main" id="{ACB44F23-5FC7-4C1A-AAF3-25A19C9971D7}"/>
                </a:ext>
              </a:extLst>
            </xdr:cNvPr>
            <xdr:cNvSpPr/>
          </xdr:nvSpPr>
          <xdr:spPr>
            <a:xfrm>
              <a:off x="2703520" y="11210925"/>
              <a:ext cx="630772" cy="103188"/>
            </a:xfrm>
            <a:prstGeom prst="cube">
              <a:avLst/>
            </a:prstGeom>
            <a:blipFill>
              <a:blip xmlns:r="http://schemas.openxmlformats.org/officeDocument/2006/relationships" r:embed="rId3"/>
              <a:tile tx="0" ty="0" sx="100000" sy="100000" flip="none" algn="tl"/>
            </a:blip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endParaRPr lang="en-PH"/>
            </a:p>
          </xdr:txBody>
        </xdr:sp>
        <xdr:sp macro="" textlink="">
          <xdr:nvSpPr>
            <xdr:cNvPr id="93" name="Cube 92">
              <a:extLst>
                <a:ext uri="{FF2B5EF4-FFF2-40B4-BE49-F238E27FC236}">
                  <a16:creationId xmlns:a16="http://schemas.microsoft.com/office/drawing/2014/main" id="{B5BDE0B4-DECC-42E5-91EA-EE41C2C3F480}"/>
                </a:ext>
              </a:extLst>
            </xdr:cNvPr>
            <xdr:cNvSpPr/>
          </xdr:nvSpPr>
          <xdr:spPr>
            <a:xfrm>
              <a:off x="2711607" y="10186988"/>
              <a:ext cx="622685" cy="111125"/>
            </a:xfrm>
            <a:prstGeom prst="cube">
              <a:avLst/>
            </a:prstGeom>
            <a:blipFill>
              <a:blip xmlns:r="http://schemas.openxmlformats.org/officeDocument/2006/relationships" r:embed="rId3"/>
              <a:tile tx="0" ty="0" sx="100000" sy="100000" flip="none" algn="tl"/>
            </a:blip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endParaRPr lang="en-PH"/>
            </a:p>
          </xdr:txBody>
        </xdr:sp>
        <xdr:sp macro="" textlink="">
          <xdr:nvSpPr>
            <xdr:cNvPr id="94" name="Cube 93">
              <a:extLst>
                <a:ext uri="{FF2B5EF4-FFF2-40B4-BE49-F238E27FC236}">
                  <a16:creationId xmlns:a16="http://schemas.microsoft.com/office/drawing/2014/main" id="{CBB2F738-F4DC-4BFB-A740-C4909C6CE337}"/>
                </a:ext>
              </a:extLst>
            </xdr:cNvPr>
            <xdr:cNvSpPr/>
          </xdr:nvSpPr>
          <xdr:spPr>
            <a:xfrm>
              <a:off x="2703520" y="10718800"/>
              <a:ext cx="630772" cy="103188"/>
            </a:xfrm>
            <a:prstGeom prst="cube">
              <a:avLst/>
            </a:prstGeom>
            <a:blipFill>
              <a:blip xmlns:r="http://schemas.openxmlformats.org/officeDocument/2006/relationships" r:embed="rId3"/>
              <a:tile tx="0" ty="0" sx="100000" sy="100000" flip="none" algn="tl"/>
            </a:blip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endParaRPr lang="en-PH"/>
            </a:p>
          </xdr:txBody>
        </xdr:sp>
        <xdr:sp macro="" textlink="">
          <xdr:nvSpPr>
            <xdr:cNvPr id="95" name="Cube 94">
              <a:extLst>
                <a:ext uri="{FF2B5EF4-FFF2-40B4-BE49-F238E27FC236}">
                  <a16:creationId xmlns:a16="http://schemas.microsoft.com/office/drawing/2014/main" id="{172060DF-9593-4B00-8624-37F8C9EDE054}"/>
                </a:ext>
              </a:extLst>
            </xdr:cNvPr>
            <xdr:cNvSpPr/>
          </xdr:nvSpPr>
          <xdr:spPr>
            <a:xfrm>
              <a:off x="3293857" y="10186988"/>
              <a:ext cx="97042" cy="2095500"/>
            </a:xfrm>
            <a:prstGeom prst="cube">
              <a:avLst/>
            </a:prstGeom>
            <a:blipFill>
              <a:blip xmlns:r="http://schemas.openxmlformats.org/officeDocument/2006/relationships" r:embed="rId2"/>
              <a:tile tx="0" ty="0" sx="100000" sy="100000" flip="none" algn="tl"/>
            </a:blip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endParaRPr lang="en-PH"/>
            </a:p>
          </xdr:txBody>
        </xdr:sp>
        <xdr:sp macro="" textlink="">
          <xdr:nvSpPr>
            <xdr:cNvPr id="96" name="Cube 95">
              <a:extLst>
                <a:ext uri="{FF2B5EF4-FFF2-40B4-BE49-F238E27FC236}">
                  <a16:creationId xmlns:a16="http://schemas.microsoft.com/office/drawing/2014/main" id="{DBCC7906-1CE9-4CD1-BAD6-433ED5130AF4}"/>
                </a:ext>
              </a:extLst>
            </xdr:cNvPr>
            <xdr:cNvSpPr/>
          </xdr:nvSpPr>
          <xdr:spPr>
            <a:xfrm>
              <a:off x="123826" y="10163175"/>
              <a:ext cx="97042" cy="2087563"/>
            </a:xfrm>
            <a:prstGeom prst="cube">
              <a:avLst/>
            </a:prstGeom>
            <a:blipFill>
              <a:blip xmlns:r="http://schemas.openxmlformats.org/officeDocument/2006/relationships" r:embed="rId2"/>
              <a:tile tx="0" ty="0" sx="100000" sy="100000" flip="none" algn="tl"/>
            </a:blip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endParaRPr lang="en-PH"/>
            </a:p>
          </xdr:txBody>
        </xdr:sp>
        <xdr:sp macro="" textlink="">
          <xdr:nvSpPr>
            <xdr:cNvPr id="97" name="Cube 96">
              <a:extLst>
                <a:ext uri="{FF2B5EF4-FFF2-40B4-BE49-F238E27FC236}">
                  <a16:creationId xmlns:a16="http://schemas.microsoft.com/office/drawing/2014/main" id="{F13241C0-9E13-4BC8-A606-F055AD553989}"/>
                </a:ext>
              </a:extLst>
            </xdr:cNvPr>
            <xdr:cNvSpPr/>
          </xdr:nvSpPr>
          <xdr:spPr>
            <a:xfrm>
              <a:off x="730337" y="10171113"/>
              <a:ext cx="97042" cy="2087563"/>
            </a:xfrm>
            <a:prstGeom prst="cube">
              <a:avLst/>
            </a:prstGeom>
            <a:blipFill>
              <a:blip xmlns:r="http://schemas.openxmlformats.org/officeDocument/2006/relationships" r:embed="rId2"/>
              <a:tile tx="0" ty="0" sx="100000" sy="100000" flip="none" algn="tl"/>
            </a:blip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endParaRPr lang="en-PH"/>
            </a:p>
          </xdr:txBody>
        </xdr:sp>
        <xdr:sp macro="" textlink="">
          <xdr:nvSpPr>
            <xdr:cNvPr id="98" name="Cube 97">
              <a:extLst>
                <a:ext uri="{FF2B5EF4-FFF2-40B4-BE49-F238E27FC236}">
                  <a16:creationId xmlns:a16="http://schemas.microsoft.com/office/drawing/2014/main" id="{1CDF50C6-B04F-4C5F-943A-83EC8AA99A2C}"/>
                </a:ext>
              </a:extLst>
            </xdr:cNvPr>
            <xdr:cNvSpPr/>
          </xdr:nvSpPr>
          <xdr:spPr>
            <a:xfrm>
              <a:off x="1353022" y="10202863"/>
              <a:ext cx="97042" cy="2087563"/>
            </a:xfrm>
            <a:prstGeom prst="cube">
              <a:avLst/>
            </a:prstGeom>
            <a:blipFill>
              <a:blip xmlns:r="http://schemas.openxmlformats.org/officeDocument/2006/relationships" r:embed="rId2"/>
              <a:tile tx="0" ty="0" sx="100000" sy="100000" flip="none" algn="tl"/>
            </a:blip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endParaRPr lang="en-PH"/>
            </a:p>
          </xdr:txBody>
        </xdr:sp>
      </xdr:grpSp>
    </xdr:grpSp>
    <xdr:clientData/>
  </xdr:twoCellAnchor>
  <xdr:twoCellAnchor>
    <xdr:from>
      <xdr:col>2</xdr:col>
      <xdr:colOff>352425</xdr:colOff>
      <xdr:row>67</xdr:row>
      <xdr:rowOff>174625</xdr:rowOff>
    </xdr:from>
    <xdr:to>
      <xdr:col>3</xdr:col>
      <xdr:colOff>342900</xdr:colOff>
      <xdr:row>67</xdr:row>
      <xdr:rowOff>176213</xdr:rowOff>
    </xdr:to>
    <xdr:cxnSp macro="">
      <xdr:nvCxnSpPr>
        <xdr:cNvPr id="99" name="Straight Arrow Connector 98">
          <a:extLst>
            <a:ext uri="{FF2B5EF4-FFF2-40B4-BE49-F238E27FC236}">
              <a16:creationId xmlns:a16="http://schemas.microsoft.com/office/drawing/2014/main" id="{167A1E0A-9CAD-4377-8E56-67540DFC87BD}"/>
            </a:ext>
          </a:extLst>
        </xdr:cNvPr>
        <xdr:cNvCxnSpPr/>
      </xdr:nvCxnSpPr>
      <xdr:spPr>
        <a:xfrm>
          <a:off x="1647825" y="12468225"/>
          <a:ext cx="638175" cy="1588"/>
        </a:xfrm>
        <a:prstGeom prst="straightConnector1">
          <a:avLst/>
        </a:prstGeom>
        <a:ln>
          <a:solidFill>
            <a:sysClr val="windowText" lastClr="00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513556</xdr:colOff>
      <xdr:row>58</xdr:row>
      <xdr:rowOff>175419</xdr:rowOff>
    </xdr:from>
    <xdr:to>
      <xdr:col>6</xdr:col>
      <xdr:colOff>515144</xdr:colOff>
      <xdr:row>61</xdr:row>
      <xdr:rowOff>156369</xdr:rowOff>
    </xdr:to>
    <xdr:cxnSp macro="">
      <xdr:nvCxnSpPr>
        <xdr:cNvPr id="100" name="Straight Arrow Connector 99">
          <a:extLst>
            <a:ext uri="{FF2B5EF4-FFF2-40B4-BE49-F238E27FC236}">
              <a16:creationId xmlns:a16="http://schemas.microsoft.com/office/drawing/2014/main" id="{8E6966E8-CF2E-443D-AEE4-86B453A1ADB0}"/>
            </a:ext>
          </a:extLst>
        </xdr:cNvPr>
        <xdr:cNvCxnSpPr/>
      </xdr:nvCxnSpPr>
      <xdr:spPr>
        <a:xfrm rot="5400000">
          <a:off x="4124325" y="11029950"/>
          <a:ext cx="552450" cy="1588"/>
        </a:xfrm>
        <a:prstGeom prst="straightConnector1">
          <a:avLst/>
        </a:prstGeom>
        <a:ln>
          <a:solidFill>
            <a:sysClr val="windowText" lastClr="00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161925</xdr:colOff>
      <xdr:row>56</xdr:row>
      <xdr:rowOff>38100</xdr:rowOff>
    </xdr:from>
    <xdr:to>
      <xdr:col>1</xdr:col>
      <xdr:colOff>180975</xdr:colOff>
      <xdr:row>67</xdr:row>
      <xdr:rowOff>0</xdr:rowOff>
    </xdr:to>
    <xdr:cxnSp macro="">
      <xdr:nvCxnSpPr>
        <xdr:cNvPr id="103" name="Straight Arrow Connector 102">
          <a:extLst>
            <a:ext uri="{FF2B5EF4-FFF2-40B4-BE49-F238E27FC236}">
              <a16:creationId xmlns:a16="http://schemas.microsoft.com/office/drawing/2014/main" id="{A52D5DE4-638C-4A3E-B1F8-2CED034385BD}"/>
            </a:ext>
          </a:extLst>
        </xdr:cNvPr>
        <xdr:cNvCxnSpPr/>
      </xdr:nvCxnSpPr>
      <xdr:spPr>
        <a:xfrm rot="16200000" flipH="1">
          <a:off x="-209550" y="11249025"/>
          <a:ext cx="2057400" cy="19050"/>
        </a:xfrm>
        <a:prstGeom prst="straightConnector1">
          <a:avLst/>
        </a:prstGeom>
        <a:ln>
          <a:solidFill>
            <a:sysClr val="windowText" lastClr="00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68</xdr:row>
      <xdr:rowOff>79375</xdr:rowOff>
    </xdr:from>
    <xdr:to>
      <xdr:col>6</xdr:col>
      <xdr:colOff>371475</xdr:colOff>
      <xdr:row>68</xdr:row>
      <xdr:rowOff>80963</xdr:rowOff>
    </xdr:to>
    <xdr:cxnSp macro="">
      <xdr:nvCxnSpPr>
        <xdr:cNvPr id="105" name="Straight Arrow Connector 104">
          <a:extLst>
            <a:ext uri="{FF2B5EF4-FFF2-40B4-BE49-F238E27FC236}">
              <a16:creationId xmlns:a16="http://schemas.microsoft.com/office/drawing/2014/main" id="{B5E045D3-AC63-4545-B9C6-7ABB28A23D56}"/>
            </a:ext>
          </a:extLst>
        </xdr:cNvPr>
        <xdr:cNvCxnSpPr/>
      </xdr:nvCxnSpPr>
      <xdr:spPr>
        <a:xfrm>
          <a:off x="1028700" y="12563475"/>
          <a:ext cx="3228975" cy="1588"/>
        </a:xfrm>
        <a:prstGeom prst="straightConnector1">
          <a:avLst/>
        </a:prstGeom>
        <a:ln>
          <a:solidFill>
            <a:sysClr val="windowText" lastClr="00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428625</xdr:colOff>
      <xdr:row>68</xdr:row>
      <xdr:rowOff>117475</xdr:rowOff>
    </xdr:from>
    <xdr:to>
      <xdr:col>4</xdr:col>
      <xdr:colOff>66675</xdr:colOff>
      <xdr:row>70</xdr:row>
      <xdr:rowOff>11486</xdr:rowOff>
    </xdr:to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F3D1940C-88E1-424A-9B06-DF37A3615403}"/>
            </a:ext>
          </a:extLst>
        </xdr:cNvPr>
        <xdr:cNvSpPr txBox="1"/>
      </xdr:nvSpPr>
      <xdr:spPr>
        <a:xfrm>
          <a:off x="2371725" y="12601575"/>
          <a:ext cx="285750" cy="2762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L</a:t>
          </a:r>
        </a:p>
      </xdr:txBody>
    </xdr:sp>
    <xdr:clientData/>
  </xdr:twoCellAnchor>
  <xdr:twoCellAnchor>
    <xdr:from>
      <xdr:col>0</xdr:col>
      <xdr:colOff>552450</xdr:colOff>
      <xdr:row>60</xdr:row>
      <xdr:rowOff>76200</xdr:rowOff>
    </xdr:from>
    <xdr:to>
      <xdr:col>1</xdr:col>
      <xdr:colOff>190500</xdr:colOff>
      <xdr:row>62</xdr:row>
      <xdr:rowOff>3241</xdr:rowOff>
    </xdr:to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DECE5F1A-5F3F-4F1E-A58E-34F31F8559B2}"/>
            </a:ext>
          </a:extLst>
        </xdr:cNvPr>
        <xdr:cNvSpPr txBox="1"/>
      </xdr:nvSpPr>
      <xdr:spPr>
        <a:xfrm>
          <a:off x="552450" y="11029950"/>
          <a:ext cx="285750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H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167640</xdr:colOff>
      <xdr:row>2</xdr:row>
      <xdr:rowOff>129540</xdr:rowOff>
    </xdr:from>
    <xdr:to>
      <xdr:col>8</xdr:col>
      <xdr:colOff>320040</xdr:colOff>
      <xdr:row>16</xdr:row>
      <xdr:rowOff>175260</xdr:rowOff>
    </xdr:to>
    <xdr:grpSp>
      <xdr:nvGrpSpPr>
        <xdr:cNvPr id="24713" name="Group 13">
          <a:extLst>
            <a:ext uri="{FF2B5EF4-FFF2-40B4-BE49-F238E27FC236}">
              <a16:creationId xmlns:a16="http://schemas.microsoft.com/office/drawing/2014/main" id="{756DA3D7-7E04-41F4-A526-590C78F9598A}"/>
            </a:ext>
          </a:extLst>
        </xdr:cNvPr>
        <xdr:cNvGrpSpPr>
          <a:grpSpLocks/>
        </xdr:cNvGrpSpPr>
      </xdr:nvGrpSpPr>
      <xdr:grpSpPr bwMode="auto">
        <a:xfrm>
          <a:off x="167640" y="500601"/>
          <a:ext cx="5294243" cy="2643146"/>
          <a:chOff x="161925" y="323851"/>
          <a:chExt cx="5334000" cy="2714624"/>
        </a:xfrm>
      </xdr:grpSpPr>
      <xdr:pic>
        <xdr:nvPicPr>
          <xdr:cNvPr id="24789" name="Picture 1" descr="C:\Users\onad\Desktop\corrugated-roofing-cladding-roof-laying.jpg">
            <a:extLst>
              <a:ext uri="{FF2B5EF4-FFF2-40B4-BE49-F238E27FC236}">
                <a16:creationId xmlns:a16="http://schemas.microsoft.com/office/drawing/2014/main" id="{F22C40CB-38F9-45E7-A2CB-A3673F7A53B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61925" y="323851"/>
            <a:ext cx="5334000" cy="19812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cxnSp macro="">
        <xdr:nvCxnSpPr>
          <xdr:cNvPr id="4" name="Straight Connector 3">
            <a:extLst>
              <a:ext uri="{FF2B5EF4-FFF2-40B4-BE49-F238E27FC236}">
                <a16:creationId xmlns:a16="http://schemas.microsoft.com/office/drawing/2014/main" id="{277C8233-A836-46FC-9B14-73DF039005AD}"/>
              </a:ext>
            </a:extLst>
          </xdr:cNvPr>
          <xdr:cNvCxnSpPr/>
        </xdr:nvCxnSpPr>
        <xdr:spPr>
          <a:xfrm rot="16200000" flipH="1">
            <a:off x="1957893" y="2061946"/>
            <a:ext cx="1087437" cy="24245"/>
          </a:xfrm>
          <a:prstGeom prst="line">
            <a:avLst/>
          </a:prstGeom>
          <a:ln>
            <a:solidFill>
              <a:schemeClr val="tx1"/>
            </a:solidFill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" name="Straight Connector 4">
            <a:extLst>
              <a:ext uri="{FF2B5EF4-FFF2-40B4-BE49-F238E27FC236}">
                <a16:creationId xmlns:a16="http://schemas.microsoft.com/office/drawing/2014/main" id="{61A05288-6F33-4DE4-93B8-C0D7AF23454F}"/>
              </a:ext>
            </a:extLst>
          </xdr:cNvPr>
          <xdr:cNvCxnSpPr/>
        </xdr:nvCxnSpPr>
        <xdr:spPr>
          <a:xfrm rot="16200000" flipH="1">
            <a:off x="3820752" y="2478593"/>
            <a:ext cx="1087437" cy="32327"/>
          </a:xfrm>
          <a:prstGeom prst="line">
            <a:avLst/>
          </a:prstGeom>
          <a:ln>
            <a:solidFill>
              <a:schemeClr val="tx1"/>
            </a:solidFill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" name="Straight Arrow Connector 6">
            <a:extLst>
              <a:ext uri="{FF2B5EF4-FFF2-40B4-BE49-F238E27FC236}">
                <a16:creationId xmlns:a16="http://schemas.microsoft.com/office/drawing/2014/main" id="{56070158-12E1-48E2-9AD7-7DE7A1EC8E5A}"/>
              </a:ext>
            </a:extLst>
          </xdr:cNvPr>
          <xdr:cNvCxnSpPr/>
        </xdr:nvCxnSpPr>
        <xdr:spPr>
          <a:xfrm>
            <a:off x="2505652" y="2085975"/>
            <a:ext cx="1858818" cy="531812"/>
          </a:xfrm>
          <a:prstGeom prst="straightConnector1">
            <a:avLst/>
          </a:prstGeom>
          <a:ln>
            <a:solidFill>
              <a:schemeClr val="tx1"/>
            </a:solidFill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633FB9F7-F5BD-433A-9A4C-3A477ED7FE41}"/>
              </a:ext>
            </a:extLst>
          </xdr:cNvPr>
          <xdr:cNvSpPr txBox="1"/>
        </xdr:nvSpPr>
        <xdr:spPr>
          <a:xfrm rot="984157">
            <a:off x="2828925" y="2133600"/>
            <a:ext cx="1422400" cy="508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r>
              <a:rPr lang="en-US" sz="1100"/>
              <a:t>Effective Width</a:t>
            </a:r>
          </a:p>
        </xdr:txBody>
      </xdr:sp>
      <xdr:cxnSp macro="">
        <xdr:nvCxnSpPr>
          <xdr:cNvPr id="9" name="Straight Connector 8">
            <a:extLst>
              <a:ext uri="{FF2B5EF4-FFF2-40B4-BE49-F238E27FC236}">
                <a16:creationId xmlns:a16="http://schemas.microsoft.com/office/drawing/2014/main" id="{9780C1AC-A584-47C7-95E0-AC64CAE8CDBD}"/>
              </a:ext>
            </a:extLst>
          </xdr:cNvPr>
          <xdr:cNvCxnSpPr/>
        </xdr:nvCxnSpPr>
        <xdr:spPr>
          <a:xfrm rot="16200000" flipH="1">
            <a:off x="1622209" y="2042175"/>
            <a:ext cx="1055687" cy="16164"/>
          </a:xfrm>
          <a:prstGeom prst="line">
            <a:avLst/>
          </a:prstGeom>
          <a:ln>
            <a:solidFill>
              <a:schemeClr val="tx1"/>
            </a:solidFill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760EBE6F-1393-41FF-9D11-E92B8722E592}"/>
              </a:ext>
            </a:extLst>
          </xdr:cNvPr>
          <xdr:cNvCxnSpPr/>
        </xdr:nvCxnSpPr>
        <xdr:spPr>
          <a:xfrm>
            <a:off x="2158134" y="2347913"/>
            <a:ext cx="371764" cy="127000"/>
          </a:xfrm>
          <a:prstGeom prst="straightConnector1">
            <a:avLst/>
          </a:prstGeom>
          <a:ln>
            <a:solidFill>
              <a:schemeClr val="tx1"/>
            </a:solidFill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51342458-44AD-461E-83FF-73A9B005ED80}"/>
              </a:ext>
            </a:extLst>
          </xdr:cNvPr>
          <xdr:cNvSpPr txBox="1"/>
        </xdr:nvSpPr>
        <xdr:spPr>
          <a:xfrm rot="984157">
            <a:off x="1802534" y="2506663"/>
            <a:ext cx="1050636" cy="26193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r>
              <a:rPr lang="en-US" sz="1100"/>
              <a:t>Side lapping</a:t>
            </a:r>
          </a:p>
        </xdr:txBody>
      </xdr:sp>
    </xdr:grpSp>
    <xdr:clientData/>
  </xdr:twoCellAnchor>
  <xdr:twoCellAnchor>
    <xdr:from>
      <xdr:col>1</xdr:col>
      <xdr:colOff>99060</xdr:colOff>
      <xdr:row>18</xdr:row>
      <xdr:rowOff>0</xdr:rowOff>
    </xdr:from>
    <xdr:to>
      <xdr:col>7</xdr:col>
      <xdr:colOff>403860</xdr:colOff>
      <xdr:row>26</xdr:row>
      <xdr:rowOff>160020</xdr:rowOff>
    </xdr:to>
    <xdr:grpSp>
      <xdr:nvGrpSpPr>
        <xdr:cNvPr id="24714" name="Group 46">
          <a:extLst>
            <a:ext uri="{FF2B5EF4-FFF2-40B4-BE49-F238E27FC236}">
              <a16:creationId xmlns:a16="http://schemas.microsoft.com/office/drawing/2014/main" id="{9DA746F2-B25C-4823-B34D-8140B959DD37}"/>
            </a:ext>
          </a:extLst>
        </xdr:cNvPr>
        <xdr:cNvGrpSpPr>
          <a:grpSpLocks/>
        </xdr:cNvGrpSpPr>
      </xdr:nvGrpSpPr>
      <xdr:grpSpPr bwMode="auto">
        <a:xfrm>
          <a:off x="741790" y="3339548"/>
          <a:ext cx="4161183" cy="1644263"/>
          <a:chOff x="819978" y="2983149"/>
          <a:chExt cx="4186864" cy="1688242"/>
        </a:xfrm>
      </xdr:grpSpPr>
      <xdr:grpSp>
        <xdr:nvGrpSpPr>
          <xdr:cNvPr id="24771" name="Group 39">
            <a:extLst>
              <a:ext uri="{FF2B5EF4-FFF2-40B4-BE49-F238E27FC236}">
                <a16:creationId xmlns:a16="http://schemas.microsoft.com/office/drawing/2014/main" id="{0F4EF19A-46F6-43F8-911C-25B429491FAB}"/>
              </a:ext>
            </a:extLst>
          </xdr:cNvPr>
          <xdr:cNvGrpSpPr>
            <a:grpSpLocks/>
          </xdr:cNvGrpSpPr>
        </xdr:nvGrpSpPr>
        <xdr:grpSpPr bwMode="auto">
          <a:xfrm>
            <a:off x="832729" y="3112851"/>
            <a:ext cx="4174113" cy="1519947"/>
            <a:chOff x="834707" y="3112851"/>
            <a:chExt cx="4189416" cy="1519947"/>
          </a:xfrm>
        </xdr:grpSpPr>
        <xdr:sp macro="" textlink="">
          <xdr:nvSpPr>
            <xdr:cNvPr id="39" name="Rectangle 38">
              <a:extLst>
                <a:ext uri="{FF2B5EF4-FFF2-40B4-BE49-F238E27FC236}">
                  <a16:creationId xmlns:a16="http://schemas.microsoft.com/office/drawing/2014/main" id="{1C9D147E-CFF9-42EE-A202-11A162CCD109}"/>
                </a:ext>
              </a:extLst>
            </xdr:cNvPr>
            <xdr:cNvSpPr/>
          </xdr:nvSpPr>
          <xdr:spPr>
            <a:xfrm>
              <a:off x="3488699" y="3759899"/>
              <a:ext cx="145461" cy="768824"/>
            </a:xfrm>
            <a:prstGeom prst="rect">
              <a:avLst/>
            </a:prstGeom>
            <a:blipFill>
              <a:blip xmlns:r="http://schemas.openxmlformats.org/officeDocument/2006/relationships" r:embed="rId2"/>
              <a:tile tx="0" ty="0" sx="100000" sy="100000" flip="none" algn="tl"/>
            </a:blip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endParaRPr lang="en-PH"/>
            </a:p>
          </xdr:txBody>
        </xdr:sp>
        <xdr:sp macro="" textlink="">
          <xdr:nvSpPr>
            <xdr:cNvPr id="38" name="Rectangle 37">
              <a:extLst>
                <a:ext uri="{FF2B5EF4-FFF2-40B4-BE49-F238E27FC236}">
                  <a16:creationId xmlns:a16="http://schemas.microsoft.com/office/drawing/2014/main" id="{0A49FA69-30A2-4BF4-91FA-3D418EBD6C5B}"/>
                </a:ext>
              </a:extLst>
            </xdr:cNvPr>
            <xdr:cNvSpPr/>
          </xdr:nvSpPr>
          <xdr:spPr>
            <a:xfrm rot="18360164">
              <a:off x="4160833" y="3453448"/>
              <a:ext cx="142668" cy="1373801"/>
            </a:xfrm>
            <a:prstGeom prst="rect">
              <a:avLst/>
            </a:prstGeom>
            <a:blipFill>
              <a:blip xmlns:r="http://schemas.openxmlformats.org/officeDocument/2006/relationships" r:embed="rId2"/>
              <a:tile tx="0" ty="0" sx="100000" sy="100000" flip="none" algn="tl"/>
            </a:blip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endParaRPr lang="en-PH"/>
            </a:p>
          </xdr:txBody>
        </xdr:sp>
        <xdr:grpSp>
          <xdr:nvGrpSpPr>
            <xdr:cNvPr id="24777" name="Group 34">
              <a:extLst>
                <a:ext uri="{FF2B5EF4-FFF2-40B4-BE49-F238E27FC236}">
                  <a16:creationId xmlns:a16="http://schemas.microsoft.com/office/drawing/2014/main" id="{4B068687-0114-49BE-9EF3-AC46610654CD}"/>
                </a:ext>
              </a:extLst>
            </xdr:cNvPr>
            <xdr:cNvGrpSpPr>
              <a:grpSpLocks/>
            </xdr:cNvGrpSpPr>
          </xdr:nvGrpSpPr>
          <xdr:grpSpPr bwMode="auto">
            <a:xfrm rot="-1326861">
              <a:off x="834707" y="3824231"/>
              <a:ext cx="4189416" cy="304689"/>
              <a:chOff x="-60228" y="3445416"/>
              <a:chExt cx="4189416" cy="304689"/>
            </a:xfrm>
          </xdr:grpSpPr>
          <xdr:sp macro="" textlink="">
            <xdr:nvSpPr>
              <xdr:cNvPr id="26" name="Rectangle 25">
                <a:extLst>
                  <a:ext uri="{FF2B5EF4-FFF2-40B4-BE49-F238E27FC236}">
                    <a16:creationId xmlns:a16="http://schemas.microsoft.com/office/drawing/2014/main" id="{05190B2E-0F38-431D-9AE5-D29E89AF848E}"/>
                  </a:ext>
                </a:extLst>
              </xdr:cNvPr>
              <xdr:cNvSpPr/>
            </xdr:nvSpPr>
            <xdr:spPr>
              <a:xfrm>
                <a:off x="-55960" y="3516644"/>
                <a:ext cx="4186051" cy="158520"/>
              </a:xfrm>
              <a:prstGeom prst="rect">
                <a:avLst/>
              </a:prstGeom>
              <a:blipFill>
                <a:blip xmlns:r="http://schemas.openxmlformats.org/officeDocument/2006/relationships" r:embed="rId2"/>
                <a:tile tx="0" ty="0" sx="100000" sy="100000" flip="none" algn="tl"/>
              </a:blip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endParaRPr lang="en-PH"/>
              </a:p>
            </xdr:txBody>
          </xdr:sp>
          <xdr:sp macro="" textlink="">
            <xdr:nvSpPr>
              <xdr:cNvPr id="27" name="Rectangle 26">
                <a:extLst>
                  <a:ext uri="{FF2B5EF4-FFF2-40B4-BE49-F238E27FC236}">
                    <a16:creationId xmlns:a16="http://schemas.microsoft.com/office/drawing/2014/main" id="{B467A0F4-B3EB-4C9D-9049-89001F5E112C}"/>
                  </a:ext>
                </a:extLst>
              </xdr:cNvPr>
              <xdr:cNvSpPr/>
            </xdr:nvSpPr>
            <xdr:spPr>
              <a:xfrm>
                <a:off x="1744322" y="3361685"/>
                <a:ext cx="113137" cy="134742"/>
              </a:xfrm>
              <a:prstGeom prst="rect">
                <a:avLst/>
              </a:prstGeom>
              <a:blipFill>
                <a:blip xmlns:r="http://schemas.openxmlformats.org/officeDocument/2006/relationships" r:embed="rId3"/>
                <a:tile tx="0" ty="0" sx="100000" sy="100000" flip="none" algn="tl"/>
              </a:blip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endParaRPr lang="en-PH"/>
              </a:p>
            </xdr:txBody>
          </xdr:sp>
          <xdr:sp macro="" textlink="">
            <xdr:nvSpPr>
              <xdr:cNvPr id="28" name="Rectangle 27">
                <a:extLst>
                  <a:ext uri="{FF2B5EF4-FFF2-40B4-BE49-F238E27FC236}">
                    <a16:creationId xmlns:a16="http://schemas.microsoft.com/office/drawing/2014/main" id="{C35CE59A-553D-463F-9750-4BAF39E929BE}"/>
                  </a:ext>
                </a:extLst>
              </xdr:cNvPr>
              <xdr:cNvSpPr/>
            </xdr:nvSpPr>
            <xdr:spPr>
              <a:xfrm>
                <a:off x="2280582" y="3367175"/>
                <a:ext cx="96974" cy="142668"/>
              </a:xfrm>
              <a:prstGeom prst="rect">
                <a:avLst/>
              </a:prstGeom>
              <a:blipFill>
                <a:blip xmlns:r="http://schemas.openxmlformats.org/officeDocument/2006/relationships" r:embed="rId3"/>
                <a:tile tx="0" ty="0" sx="100000" sy="100000" flip="none" algn="tl"/>
              </a:blip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endParaRPr lang="en-PH"/>
              </a:p>
            </xdr:txBody>
          </xdr:sp>
          <xdr:sp macro="" textlink="">
            <xdr:nvSpPr>
              <xdr:cNvPr id="29" name="Rectangle 28">
                <a:extLst>
                  <a:ext uri="{FF2B5EF4-FFF2-40B4-BE49-F238E27FC236}">
                    <a16:creationId xmlns:a16="http://schemas.microsoft.com/office/drawing/2014/main" id="{EAFC48CD-82C4-4ABD-8214-05CB10783F34}"/>
                  </a:ext>
                </a:extLst>
              </xdr:cNvPr>
              <xdr:cNvSpPr/>
            </xdr:nvSpPr>
            <xdr:spPr>
              <a:xfrm>
                <a:off x="2820812" y="3384449"/>
                <a:ext cx="96974" cy="110964"/>
              </a:xfrm>
              <a:prstGeom prst="rect">
                <a:avLst/>
              </a:prstGeom>
              <a:blipFill>
                <a:blip xmlns:r="http://schemas.openxmlformats.org/officeDocument/2006/relationships" r:embed="rId3"/>
                <a:tile tx="0" ty="0" sx="100000" sy="100000" flip="none" algn="tl"/>
              </a:blip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endParaRPr lang="en-PH"/>
              </a:p>
            </xdr:txBody>
          </xdr:sp>
          <xdr:sp macro="" textlink="">
            <xdr:nvSpPr>
              <xdr:cNvPr id="30" name="Rectangle 29">
                <a:extLst>
                  <a:ext uri="{FF2B5EF4-FFF2-40B4-BE49-F238E27FC236}">
                    <a16:creationId xmlns:a16="http://schemas.microsoft.com/office/drawing/2014/main" id="{48CD4748-4D35-47FE-AB90-7B060DA35D28}"/>
                  </a:ext>
                </a:extLst>
              </xdr:cNvPr>
              <xdr:cNvSpPr/>
            </xdr:nvSpPr>
            <xdr:spPr>
              <a:xfrm>
                <a:off x="3348694" y="3383505"/>
                <a:ext cx="105055" cy="134742"/>
              </a:xfrm>
              <a:prstGeom prst="rect">
                <a:avLst/>
              </a:prstGeom>
              <a:blipFill>
                <a:blip xmlns:r="http://schemas.openxmlformats.org/officeDocument/2006/relationships" r:embed="rId3"/>
                <a:tile tx="0" ty="0" sx="100000" sy="100000" flip="none" algn="tl"/>
              </a:blip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endParaRPr lang="en-PH"/>
              </a:p>
            </xdr:txBody>
          </xdr:sp>
          <xdr:sp macro="" textlink="">
            <xdr:nvSpPr>
              <xdr:cNvPr id="31" name="Rectangle 30">
                <a:extLst>
                  <a:ext uri="{FF2B5EF4-FFF2-40B4-BE49-F238E27FC236}">
                    <a16:creationId xmlns:a16="http://schemas.microsoft.com/office/drawing/2014/main" id="{72BDDDB4-388A-4026-93BA-0F1A443468A3}"/>
                  </a:ext>
                </a:extLst>
              </xdr:cNvPr>
              <xdr:cNvSpPr/>
            </xdr:nvSpPr>
            <xdr:spPr>
              <a:xfrm>
                <a:off x="3906523" y="3410348"/>
                <a:ext cx="113137" cy="126816"/>
              </a:xfrm>
              <a:prstGeom prst="rect">
                <a:avLst/>
              </a:prstGeom>
              <a:blipFill>
                <a:blip xmlns:r="http://schemas.openxmlformats.org/officeDocument/2006/relationships" r:embed="rId3"/>
                <a:tile tx="0" ty="0" sx="100000" sy="100000" flip="none" algn="tl"/>
              </a:blip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endParaRPr lang="en-PH"/>
              </a:p>
            </xdr:txBody>
          </xdr:sp>
          <xdr:sp macro="" textlink="">
            <xdr:nvSpPr>
              <xdr:cNvPr id="32" name="Rectangle 31">
                <a:extLst>
                  <a:ext uri="{FF2B5EF4-FFF2-40B4-BE49-F238E27FC236}">
                    <a16:creationId xmlns:a16="http://schemas.microsoft.com/office/drawing/2014/main" id="{FC35E07E-89C5-4447-9706-6679E6173489}"/>
                  </a:ext>
                </a:extLst>
              </xdr:cNvPr>
              <xdr:cNvSpPr/>
            </xdr:nvSpPr>
            <xdr:spPr>
              <a:xfrm>
                <a:off x="1184437" y="3386651"/>
                <a:ext cx="113137" cy="134742"/>
              </a:xfrm>
              <a:prstGeom prst="rect">
                <a:avLst/>
              </a:prstGeom>
              <a:blipFill>
                <a:blip xmlns:r="http://schemas.openxmlformats.org/officeDocument/2006/relationships" r:embed="rId3"/>
                <a:tile tx="0" ty="0" sx="100000" sy="100000" flip="none" algn="tl"/>
              </a:blip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endParaRPr lang="en-PH"/>
              </a:p>
            </xdr:txBody>
          </xdr:sp>
          <xdr:sp macro="" textlink="">
            <xdr:nvSpPr>
              <xdr:cNvPr id="33" name="Rectangle 32">
                <a:extLst>
                  <a:ext uri="{FF2B5EF4-FFF2-40B4-BE49-F238E27FC236}">
                    <a16:creationId xmlns:a16="http://schemas.microsoft.com/office/drawing/2014/main" id="{F342B0F9-B7B7-4463-82BB-796DED0DF331}"/>
                  </a:ext>
                </a:extLst>
              </xdr:cNvPr>
              <xdr:cNvSpPr/>
            </xdr:nvSpPr>
            <xdr:spPr>
              <a:xfrm>
                <a:off x="658373" y="3362617"/>
                <a:ext cx="96974" cy="150594"/>
              </a:xfrm>
              <a:prstGeom prst="rect">
                <a:avLst/>
              </a:prstGeom>
              <a:blipFill>
                <a:blip xmlns:r="http://schemas.openxmlformats.org/officeDocument/2006/relationships" r:embed="rId3"/>
                <a:tile tx="0" ty="0" sx="100000" sy="100000" flip="none" algn="tl"/>
              </a:blip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endParaRPr lang="en-PH"/>
              </a:p>
            </xdr:txBody>
          </xdr:sp>
          <xdr:sp macro="" textlink="">
            <xdr:nvSpPr>
              <xdr:cNvPr id="34" name="Rectangle 33">
                <a:extLst>
                  <a:ext uri="{FF2B5EF4-FFF2-40B4-BE49-F238E27FC236}">
                    <a16:creationId xmlns:a16="http://schemas.microsoft.com/office/drawing/2014/main" id="{704B0ADA-2E17-45AA-B3DB-AAB079FDC45A}"/>
                  </a:ext>
                </a:extLst>
              </xdr:cNvPr>
              <xdr:cNvSpPr/>
            </xdr:nvSpPr>
            <xdr:spPr>
              <a:xfrm>
                <a:off x="128672" y="3364762"/>
                <a:ext cx="96974" cy="134742"/>
              </a:xfrm>
              <a:prstGeom prst="rect">
                <a:avLst/>
              </a:prstGeom>
              <a:blipFill>
                <a:blip xmlns:r="http://schemas.openxmlformats.org/officeDocument/2006/relationships" r:embed="rId3"/>
                <a:tile tx="0" ty="0" sx="100000" sy="100000" flip="none" algn="tl"/>
              </a:blip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endParaRPr lang="en-PH"/>
              </a:p>
            </xdr:txBody>
          </xdr:sp>
        </xdr:grpSp>
        <xdr:sp macro="" textlink="">
          <xdr:nvSpPr>
            <xdr:cNvPr id="36" name="Rectangle 35">
              <a:extLst>
                <a:ext uri="{FF2B5EF4-FFF2-40B4-BE49-F238E27FC236}">
                  <a16:creationId xmlns:a16="http://schemas.microsoft.com/office/drawing/2014/main" id="{042F0639-4BD6-4F3F-905F-3C3D1C10F675}"/>
                </a:ext>
              </a:extLst>
            </xdr:cNvPr>
            <xdr:cNvSpPr/>
          </xdr:nvSpPr>
          <xdr:spPr>
            <a:xfrm>
              <a:off x="1646190" y="4481167"/>
              <a:ext cx="3337527" cy="150594"/>
            </a:xfrm>
            <a:prstGeom prst="rect">
              <a:avLst/>
            </a:prstGeom>
            <a:blipFill>
              <a:blip xmlns:r="http://schemas.openxmlformats.org/officeDocument/2006/relationships" r:embed="rId2"/>
              <a:tile tx="0" ty="0" sx="100000" sy="100000" flip="none" algn="tl"/>
            </a:blip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endParaRPr lang="en-PH"/>
            </a:p>
          </xdr:txBody>
        </xdr:sp>
        <xdr:sp macro="" textlink="">
          <xdr:nvSpPr>
            <xdr:cNvPr id="37" name="Rectangle 36">
              <a:extLst>
                <a:ext uri="{FF2B5EF4-FFF2-40B4-BE49-F238E27FC236}">
                  <a16:creationId xmlns:a16="http://schemas.microsoft.com/office/drawing/2014/main" id="{2EAE5B96-AAEE-4652-BF71-AF706C578208}"/>
                </a:ext>
              </a:extLst>
            </xdr:cNvPr>
            <xdr:cNvSpPr/>
          </xdr:nvSpPr>
          <xdr:spPr>
            <a:xfrm>
              <a:off x="4838256" y="3117892"/>
              <a:ext cx="137380" cy="1363275"/>
            </a:xfrm>
            <a:prstGeom prst="rect">
              <a:avLst/>
            </a:prstGeom>
            <a:blipFill>
              <a:blip xmlns:r="http://schemas.openxmlformats.org/officeDocument/2006/relationships" r:embed="rId2"/>
              <a:tile tx="0" ty="0" sx="100000" sy="100000" flip="none" algn="tl"/>
            </a:blip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endParaRPr lang="en-PH"/>
            </a:p>
          </xdr:txBody>
        </xdr:sp>
      </xdr:grpSp>
      <xdr:cxnSp macro="">
        <xdr:nvCxnSpPr>
          <xdr:cNvPr id="42" name="Straight Connector 41">
            <a:extLst>
              <a:ext uri="{FF2B5EF4-FFF2-40B4-BE49-F238E27FC236}">
                <a16:creationId xmlns:a16="http://schemas.microsoft.com/office/drawing/2014/main" id="{23713E87-458E-494E-A1DF-4DAE63E49B50}"/>
              </a:ext>
            </a:extLst>
          </xdr:cNvPr>
          <xdr:cNvCxnSpPr/>
        </xdr:nvCxnSpPr>
        <xdr:spPr>
          <a:xfrm flipV="1">
            <a:off x="819978" y="3617231"/>
            <a:ext cx="2552377" cy="1054160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5" name="Straight Connector 44">
            <a:extLst>
              <a:ext uri="{FF2B5EF4-FFF2-40B4-BE49-F238E27FC236}">
                <a16:creationId xmlns:a16="http://schemas.microsoft.com/office/drawing/2014/main" id="{9252C3C6-8503-40F6-A72F-D261FF8FCF7B}"/>
              </a:ext>
            </a:extLst>
          </xdr:cNvPr>
          <xdr:cNvCxnSpPr/>
        </xdr:nvCxnSpPr>
        <xdr:spPr>
          <a:xfrm flipV="1">
            <a:off x="2857048" y="2983149"/>
            <a:ext cx="1988760" cy="784676"/>
          </a:xfrm>
          <a:prstGeom prst="line">
            <a:avLst/>
          </a:prstGeom>
          <a:ln w="19050"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6" name="Rectangle 45">
            <a:extLst>
              <a:ext uri="{FF2B5EF4-FFF2-40B4-BE49-F238E27FC236}">
                <a16:creationId xmlns:a16="http://schemas.microsoft.com/office/drawing/2014/main" id="{5717D517-2A05-4687-8003-2119A502FD47}"/>
              </a:ext>
            </a:extLst>
          </xdr:cNvPr>
          <xdr:cNvSpPr/>
        </xdr:nvSpPr>
        <xdr:spPr>
          <a:xfrm>
            <a:off x="4394916" y="3347746"/>
            <a:ext cx="555565" cy="134742"/>
          </a:xfrm>
          <a:prstGeom prst="rect">
            <a:avLst/>
          </a:prstGeom>
          <a:blipFill>
            <a:blip xmlns:r="http://schemas.openxmlformats.org/officeDocument/2006/relationships" r:embed="rId2"/>
            <a:tile tx="0" ty="0" sx="100000" sy="100000" flip="none" algn="tl"/>
          </a:blip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en-PH"/>
          </a:p>
        </xdr:txBody>
      </xdr:sp>
    </xdr:grpSp>
    <xdr:clientData/>
  </xdr:twoCellAnchor>
  <xdr:twoCellAnchor>
    <xdr:from>
      <xdr:col>4</xdr:col>
      <xdr:colOff>147154</xdr:colOff>
      <xdr:row>17</xdr:row>
      <xdr:rowOff>49696</xdr:rowOff>
    </xdr:from>
    <xdr:to>
      <xdr:col>7</xdr:col>
      <xdr:colOff>207079</xdr:colOff>
      <xdr:row>21</xdr:row>
      <xdr:rowOff>50321</xdr:rowOff>
    </xdr:to>
    <xdr:cxnSp macro="">
      <xdr:nvCxnSpPr>
        <xdr:cNvPr id="49" name="Straight Arrow Connector 48">
          <a:extLst>
            <a:ext uri="{FF2B5EF4-FFF2-40B4-BE49-F238E27FC236}">
              <a16:creationId xmlns:a16="http://schemas.microsoft.com/office/drawing/2014/main" id="{0417B1AA-597B-421A-A2E1-38E5608F4514}"/>
            </a:ext>
          </a:extLst>
        </xdr:cNvPr>
        <xdr:cNvCxnSpPr/>
      </xdr:nvCxnSpPr>
      <xdr:spPr>
        <a:xfrm flipV="1">
          <a:off x="2724978" y="3097696"/>
          <a:ext cx="2004392" cy="770282"/>
        </a:xfrm>
        <a:prstGeom prst="straightConnector1">
          <a:avLst/>
        </a:prstGeom>
        <a:ln>
          <a:solidFill>
            <a:sysClr val="windowText" lastClr="00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92490</xdr:colOff>
      <xdr:row>19</xdr:row>
      <xdr:rowOff>99391</xdr:rowOff>
    </xdr:from>
    <xdr:to>
      <xdr:col>5</xdr:col>
      <xdr:colOff>3588</xdr:colOff>
      <xdr:row>24</xdr:row>
      <xdr:rowOff>127552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D138275E-887E-429B-A6B5-752799B89727}"/>
            </a:ext>
          </a:extLst>
        </xdr:cNvPr>
        <xdr:cNvCxnSpPr/>
      </xdr:nvCxnSpPr>
      <xdr:spPr>
        <a:xfrm flipV="1">
          <a:off x="732183" y="3528391"/>
          <a:ext cx="2456621" cy="980661"/>
        </a:xfrm>
        <a:prstGeom prst="straightConnector1">
          <a:avLst/>
        </a:prstGeom>
        <a:ln>
          <a:solidFill>
            <a:sysClr val="windowText" lastClr="00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530084</xdr:colOff>
      <xdr:row>17</xdr:row>
      <xdr:rowOff>124237</xdr:rowOff>
    </xdr:from>
    <xdr:to>
      <xdr:col>7</xdr:col>
      <xdr:colOff>339585</xdr:colOff>
      <xdr:row>18</xdr:row>
      <xdr:rowOff>74542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B240832A-2ADB-403C-924B-73A2DCC1B517}"/>
            </a:ext>
          </a:extLst>
        </xdr:cNvPr>
        <xdr:cNvSpPr txBox="1"/>
      </xdr:nvSpPr>
      <xdr:spPr>
        <a:xfrm rot="20358362">
          <a:off x="3114258" y="3172237"/>
          <a:ext cx="1747631" cy="140805"/>
        </a:xfrm>
        <a:prstGeom prst="rect">
          <a:avLst/>
        </a:prstGeom>
        <a:noFill/>
        <a:ln w="31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Roof Sheet Length 1</a:t>
          </a:r>
        </a:p>
      </xdr:txBody>
    </xdr:sp>
    <xdr:clientData/>
  </xdr:twoCellAnchor>
  <xdr:twoCellAnchor>
    <xdr:from>
      <xdr:col>1</xdr:col>
      <xdr:colOff>326332</xdr:colOff>
      <xdr:row>21</xdr:row>
      <xdr:rowOff>11594</xdr:rowOff>
    </xdr:from>
    <xdr:to>
      <xdr:col>4</xdr:col>
      <xdr:colOff>135832</xdr:colOff>
      <xdr:row>21</xdr:row>
      <xdr:rowOff>146277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32F296D6-5F33-4296-91CA-64FD30F9B47C}"/>
            </a:ext>
          </a:extLst>
        </xdr:cNvPr>
        <xdr:cNvSpPr txBox="1"/>
      </xdr:nvSpPr>
      <xdr:spPr>
        <a:xfrm rot="20358362">
          <a:off x="972375" y="3821594"/>
          <a:ext cx="1747631" cy="140805"/>
        </a:xfrm>
        <a:prstGeom prst="rect">
          <a:avLst/>
        </a:prstGeom>
        <a:noFill/>
        <a:ln w="31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Roof Sheet Length 2</a:t>
          </a:r>
        </a:p>
      </xdr:txBody>
    </xdr:sp>
    <xdr:clientData/>
  </xdr:twoCellAnchor>
  <xdr:twoCellAnchor>
    <xdr:from>
      <xdr:col>2</xdr:col>
      <xdr:colOff>430695</xdr:colOff>
      <xdr:row>26</xdr:row>
      <xdr:rowOff>109606</xdr:rowOff>
    </xdr:from>
    <xdr:to>
      <xdr:col>3</xdr:col>
      <xdr:colOff>3036</xdr:colOff>
      <xdr:row>31</xdr:row>
      <xdr:rowOff>142737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7AC472E4-F9E2-4C0B-96C1-B6BAE887BC23}"/>
            </a:ext>
          </a:extLst>
        </xdr:cNvPr>
        <xdr:cNvSpPr/>
      </xdr:nvSpPr>
      <xdr:spPr>
        <a:xfrm>
          <a:off x="1722782" y="4878456"/>
          <a:ext cx="198782" cy="985631"/>
        </a:xfrm>
        <a:prstGeom prst="rect">
          <a:avLst/>
        </a:prstGeom>
        <a:blipFill>
          <a:blip xmlns:r="http://schemas.openxmlformats.org/officeDocument/2006/relationships" r:embed="rId4"/>
          <a:tile tx="0" ty="0" sx="100000" sy="10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PH"/>
        </a:p>
      </xdr:txBody>
    </xdr:sp>
    <xdr:clientData/>
  </xdr:twoCellAnchor>
  <xdr:twoCellAnchor>
    <xdr:from>
      <xdr:col>1</xdr:col>
      <xdr:colOff>281609</xdr:colOff>
      <xdr:row>30</xdr:row>
      <xdr:rowOff>17228</xdr:rowOff>
    </xdr:from>
    <xdr:to>
      <xdr:col>2</xdr:col>
      <xdr:colOff>521804</xdr:colOff>
      <xdr:row>30</xdr:row>
      <xdr:rowOff>18816</xdr:rowOff>
    </xdr:to>
    <xdr:cxnSp macro="">
      <xdr:nvCxnSpPr>
        <xdr:cNvPr id="57" name="Straight Arrow Connector 56">
          <a:extLst>
            <a:ext uri="{FF2B5EF4-FFF2-40B4-BE49-F238E27FC236}">
              <a16:creationId xmlns:a16="http://schemas.microsoft.com/office/drawing/2014/main" id="{DCC5E9C9-1CDB-4A31-87D3-2678D5868038}"/>
            </a:ext>
          </a:extLst>
        </xdr:cNvPr>
        <xdr:cNvCxnSpPr/>
      </xdr:nvCxnSpPr>
      <xdr:spPr>
        <a:xfrm>
          <a:off x="927652" y="5549348"/>
          <a:ext cx="886239" cy="1588"/>
        </a:xfrm>
        <a:prstGeom prst="straightConnector1">
          <a:avLst/>
        </a:prstGeom>
        <a:ln>
          <a:solidFill>
            <a:sysClr val="windowText" lastClr="00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278882</xdr:colOff>
      <xdr:row>27</xdr:row>
      <xdr:rowOff>50490</xdr:rowOff>
    </xdr:from>
    <xdr:to>
      <xdr:col>1</xdr:col>
      <xdr:colOff>280470</xdr:colOff>
      <xdr:row>31</xdr:row>
      <xdr:rowOff>143606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9455E906-2E4C-4059-9FDD-3CBB12795A1D}"/>
            </a:ext>
          </a:extLst>
        </xdr:cNvPr>
        <xdr:cNvCxnSpPr/>
      </xdr:nvCxnSpPr>
      <xdr:spPr>
        <a:xfrm rot="5400000">
          <a:off x="488673" y="5433392"/>
          <a:ext cx="861391" cy="1588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513522</xdr:colOff>
      <xdr:row>26</xdr:row>
      <xdr:rowOff>78652</xdr:rowOff>
    </xdr:from>
    <xdr:to>
      <xdr:col>2</xdr:col>
      <xdr:colOff>517628</xdr:colOff>
      <xdr:row>33</xdr:row>
      <xdr:rowOff>124242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8F623758-E623-4997-986B-DAC388808735}"/>
            </a:ext>
          </a:extLst>
        </xdr:cNvPr>
        <xdr:cNvCxnSpPr/>
      </xdr:nvCxnSpPr>
      <xdr:spPr>
        <a:xfrm rot="5400000">
          <a:off x="1118117" y="5528644"/>
          <a:ext cx="1379090" cy="4106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284922</xdr:colOff>
      <xdr:row>24</xdr:row>
      <xdr:rowOff>49497</xdr:rowOff>
    </xdr:from>
    <xdr:to>
      <xdr:col>7</xdr:col>
      <xdr:colOff>289028</xdr:colOff>
      <xdr:row>31</xdr:row>
      <xdr:rowOff>102725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F7C11CD6-1F3A-4480-B628-DD48F3F7DFD9}"/>
            </a:ext>
          </a:extLst>
        </xdr:cNvPr>
        <xdr:cNvCxnSpPr/>
      </xdr:nvCxnSpPr>
      <xdr:spPr>
        <a:xfrm rot="5400000">
          <a:off x="4119734" y="5126109"/>
          <a:ext cx="1379090" cy="4106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521804</xdr:colOff>
      <xdr:row>30</xdr:row>
      <xdr:rowOff>17228</xdr:rowOff>
    </xdr:from>
    <xdr:to>
      <xdr:col>7</xdr:col>
      <xdr:colOff>289892</xdr:colOff>
      <xdr:row>30</xdr:row>
      <xdr:rowOff>18816</xdr:rowOff>
    </xdr:to>
    <xdr:cxnSp macro="">
      <xdr:nvCxnSpPr>
        <xdr:cNvPr id="64" name="Straight Arrow Connector 63">
          <a:extLst>
            <a:ext uri="{FF2B5EF4-FFF2-40B4-BE49-F238E27FC236}">
              <a16:creationId xmlns:a16="http://schemas.microsoft.com/office/drawing/2014/main" id="{B151DC4B-9865-4E91-AEDA-7BBF48520C0B}"/>
            </a:ext>
          </a:extLst>
        </xdr:cNvPr>
        <xdr:cNvCxnSpPr/>
      </xdr:nvCxnSpPr>
      <xdr:spPr>
        <a:xfrm>
          <a:off x="1813891" y="5549348"/>
          <a:ext cx="2998305" cy="1588"/>
        </a:xfrm>
        <a:prstGeom prst="straightConnector1">
          <a:avLst/>
        </a:prstGeom>
        <a:ln>
          <a:solidFill>
            <a:sysClr val="windowText" lastClr="00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530087</xdr:colOff>
      <xdr:row>18</xdr:row>
      <xdr:rowOff>124240</xdr:rowOff>
    </xdr:from>
    <xdr:to>
      <xdr:col>7</xdr:col>
      <xdr:colOff>546653</xdr:colOff>
      <xdr:row>26</xdr:row>
      <xdr:rowOff>117902</xdr:rowOff>
    </xdr:to>
    <xdr:cxnSp macro="">
      <xdr:nvCxnSpPr>
        <xdr:cNvPr id="66" name="Straight Arrow Connector 65">
          <a:extLst>
            <a:ext uri="{FF2B5EF4-FFF2-40B4-BE49-F238E27FC236}">
              <a16:creationId xmlns:a16="http://schemas.microsoft.com/office/drawing/2014/main" id="{C5EE97DF-AB93-4DFF-B166-BBF15D927BFE}"/>
            </a:ext>
          </a:extLst>
        </xdr:cNvPr>
        <xdr:cNvCxnSpPr/>
      </xdr:nvCxnSpPr>
      <xdr:spPr>
        <a:xfrm rot="5400000">
          <a:off x="4294533" y="4120598"/>
          <a:ext cx="1524000" cy="8283"/>
        </a:xfrm>
        <a:prstGeom prst="straightConnector1">
          <a:avLst/>
        </a:prstGeom>
        <a:ln>
          <a:solidFill>
            <a:sysClr val="windowText" lastClr="00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571499</xdr:colOff>
      <xdr:row>32</xdr:row>
      <xdr:rowOff>0</xdr:rowOff>
    </xdr:from>
    <xdr:to>
      <xdr:col>2</xdr:col>
      <xdr:colOff>554935</xdr:colOff>
      <xdr:row>33</xdr:row>
      <xdr:rowOff>102045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59F6F82D-04FA-401B-9C5B-40EF1E577ED3}"/>
            </a:ext>
          </a:extLst>
        </xdr:cNvPr>
        <xdr:cNvSpPr txBox="1"/>
      </xdr:nvSpPr>
      <xdr:spPr>
        <a:xfrm>
          <a:off x="571499" y="5897218"/>
          <a:ext cx="1275523" cy="3147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Projection (Bulada)</a:t>
          </a:r>
        </a:p>
      </xdr:txBody>
    </xdr:sp>
    <xdr:clientData/>
  </xdr:twoCellAnchor>
  <xdr:twoCellAnchor>
    <xdr:from>
      <xdr:col>4</xdr:col>
      <xdr:colOff>51075</xdr:colOff>
      <xdr:row>30</xdr:row>
      <xdr:rowOff>77857</xdr:rowOff>
    </xdr:from>
    <xdr:to>
      <xdr:col>5</xdr:col>
      <xdr:colOff>49667</xdr:colOff>
      <xdr:row>32</xdr:row>
      <xdr:rowOff>5252</xdr:rowOff>
    </xdr:to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4BCB73F9-0192-4FF3-A50A-75FB8D2CD0E3}"/>
            </a:ext>
          </a:extLst>
        </xdr:cNvPr>
        <xdr:cNvSpPr txBox="1"/>
      </xdr:nvSpPr>
      <xdr:spPr>
        <a:xfrm>
          <a:off x="2628899" y="5602357"/>
          <a:ext cx="651014" cy="3147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Span </a:t>
          </a:r>
        </a:p>
      </xdr:txBody>
    </xdr:sp>
    <xdr:clientData/>
  </xdr:twoCellAnchor>
  <xdr:twoCellAnchor>
    <xdr:from>
      <xdr:col>0</xdr:col>
      <xdr:colOff>331304</xdr:colOff>
      <xdr:row>36</xdr:row>
      <xdr:rowOff>134452</xdr:rowOff>
    </xdr:from>
    <xdr:to>
      <xdr:col>3</xdr:col>
      <xdr:colOff>321119</xdr:colOff>
      <xdr:row>41</xdr:row>
      <xdr:rowOff>126171</xdr:rowOff>
    </xdr:to>
    <xdr:sp macro="" textlink="">
      <xdr:nvSpPr>
        <xdr:cNvPr id="69" name="Right Triangle 68">
          <a:extLst>
            <a:ext uri="{FF2B5EF4-FFF2-40B4-BE49-F238E27FC236}">
              <a16:creationId xmlns:a16="http://schemas.microsoft.com/office/drawing/2014/main" id="{E379CE4C-76FA-46A7-8A83-7E2ED871040B}"/>
            </a:ext>
          </a:extLst>
        </xdr:cNvPr>
        <xdr:cNvSpPr/>
      </xdr:nvSpPr>
      <xdr:spPr>
        <a:xfrm rot="10800000" flipV="1">
          <a:off x="331304" y="6808302"/>
          <a:ext cx="1921565" cy="944219"/>
        </a:xfrm>
        <a:prstGeom prst="rtTriangl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PH"/>
        </a:p>
      </xdr:txBody>
    </xdr:sp>
    <xdr:clientData/>
  </xdr:twoCellAnchor>
  <xdr:twoCellAnchor>
    <xdr:from>
      <xdr:col>2</xdr:col>
      <xdr:colOff>548678</xdr:colOff>
      <xdr:row>39</xdr:row>
      <xdr:rowOff>1</xdr:rowOff>
    </xdr:from>
    <xdr:to>
      <xdr:col>3</xdr:col>
      <xdr:colOff>528184</xdr:colOff>
      <xdr:row>40</xdr:row>
      <xdr:rowOff>33131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F2BF9074-D43F-4D4D-932B-742D5290468D}"/>
            </a:ext>
          </a:extLst>
        </xdr:cNvPr>
        <xdr:cNvSpPr txBox="1"/>
      </xdr:nvSpPr>
      <xdr:spPr>
        <a:xfrm>
          <a:off x="1840765" y="7239001"/>
          <a:ext cx="619170" cy="2236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Pitch</a:t>
          </a:r>
        </a:p>
      </xdr:txBody>
    </xdr:sp>
    <xdr:clientData/>
  </xdr:twoCellAnchor>
  <xdr:twoCellAnchor>
    <xdr:from>
      <xdr:col>1</xdr:col>
      <xdr:colOff>605919</xdr:colOff>
      <xdr:row>42</xdr:row>
      <xdr:rowOff>16565</xdr:rowOff>
    </xdr:from>
    <xdr:to>
      <xdr:col>2</xdr:col>
      <xdr:colOff>397565</xdr:colOff>
      <xdr:row>43</xdr:row>
      <xdr:rowOff>140803</xdr:rowOff>
    </xdr:to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390D7FC9-2B7D-4B10-A72A-B81133EE3BFB}"/>
            </a:ext>
          </a:extLst>
        </xdr:cNvPr>
        <xdr:cNvSpPr txBox="1"/>
      </xdr:nvSpPr>
      <xdr:spPr>
        <a:xfrm>
          <a:off x="1251962" y="7827065"/>
          <a:ext cx="437690" cy="3147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 b="1"/>
            <a:t>12</a:t>
          </a:r>
        </a:p>
      </xdr:txBody>
    </xdr:sp>
    <xdr:clientData/>
  </xdr:twoCellAnchor>
  <xdr:twoCellAnchor editAs="oneCell">
    <xdr:from>
      <xdr:col>3</xdr:col>
      <xdr:colOff>556260</xdr:colOff>
      <xdr:row>33</xdr:row>
      <xdr:rowOff>38100</xdr:rowOff>
    </xdr:from>
    <xdr:to>
      <xdr:col>8</xdr:col>
      <xdr:colOff>495300</xdr:colOff>
      <xdr:row>46</xdr:row>
      <xdr:rowOff>38100</xdr:rowOff>
    </xdr:to>
    <xdr:pic>
      <xdr:nvPicPr>
        <xdr:cNvPr id="24731" name="Picture 71" descr="C:\Users\onad\Desktop\roof-framing-pitch.jpg">
          <a:extLst>
            <a:ext uri="{FF2B5EF4-FFF2-40B4-BE49-F238E27FC236}">
              <a16:creationId xmlns:a16="http://schemas.microsoft.com/office/drawing/2014/main" id="{4573CDF6-7F60-41AF-B87E-BF0BE2D27C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5060" y="6073140"/>
          <a:ext cx="2987040" cy="2377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4603</xdr:colOff>
      <xdr:row>28</xdr:row>
      <xdr:rowOff>5245</xdr:rowOff>
    </xdr:from>
    <xdr:to>
      <xdr:col>5</xdr:col>
      <xdr:colOff>442293</xdr:colOff>
      <xdr:row>29</xdr:row>
      <xdr:rowOff>129483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846A144A-49BC-42D5-BA34-18A6AF14580A}"/>
            </a:ext>
          </a:extLst>
        </xdr:cNvPr>
        <xdr:cNvSpPr txBox="1"/>
      </xdr:nvSpPr>
      <xdr:spPr>
        <a:xfrm>
          <a:off x="3234820" y="5155095"/>
          <a:ext cx="437690" cy="3147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2000" b="1"/>
            <a:t>Ls</a:t>
          </a:r>
        </a:p>
      </xdr:txBody>
    </xdr:sp>
    <xdr:clientData/>
  </xdr:twoCellAnchor>
  <xdr:twoCellAnchor>
    <xdr:from>
      <xdr:col>7</xdr:col>
      <xdr:colOff>510578</xdr:colOff>
      <xdr:row>22</xdr:row>
      <xdr:rowOff>63225</xdr:rowOff>
    </xdr:from>
    <xdr:to>
      <xdr:col>8</xdr:col>
      <xdr:colOff>207065</xdr:colOff>
      <xdr:row>23</xdr:row>
      <xdr:rowOff>88815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3374908B-409A-4838-B8DA-FA56BF5F46DE}"/>
            </a:ext>
          </a:extLst>
        </xdr:cNvPr>
        <xdr:cNvSpPr txBox="1"/>
      </xdr:nvSpPr>
      <xdr:spPr>
        <a:xfrm>
          <a:off x="5032882" y="4070075"/>
          <a:ext cx="342531" cy="2236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600" b="1"/>
            <a:t>H</a:t>
          </a:r>
        </a:p>
      </xdr:txBody>
    </xdr:sp>
    <xdr:clientData/>
  </xdr:twoCellAnchor>
  <xdr:twoCellAnchor>
    <xdr:from>
      <xdr:col>0</xdr:col>
      <xdr:colOff>228600</xdr:colOff>
      <xdr:row>55</xdr:row>
      <xdr:rowOff>91440</xdr:rowOff>
    </xdr:from>
    <xdr:to>
      <xdr:col>3</xdr:col>
      <xdr:colOff>190500</xdr:colOff>
      <xdr:row>59</xdr:row>
      <xdr:rowOff>38100</xdr:rowOff>
    </xdr:to>
    <xdr:grpSp>
      <xdr:nvGrpSpPr>
        <xdr:cNvPr id="24734" name="Group 15">
          <a:extLst>
            <a:ext uri="{FF2B5EF4-FFF2-40B4-BE49-F238E27FC236}">
              <a16:creationId xmlns:a16="http://schemas.microsoft.com/office/drawing/2014/main" id="{1F0463F8-D16B-4754-8669-3CF7E5CB682B}"/>
            </a:ext>
          </a:extLst>
        </xdr:cNvPr>
        <xdr:cNvGrpSpPr>
          <a:grpSpLocks/>
        </xdr:cNvGrpSpPr>
      </xdr:nvGrpSpPr>
      <xdr:grpSpPr bwMode="auto">
        <a:xfrm>
          <a:off x="228600" y="10295614"/>
          <a:ext cx="1890091" cy="688782"/>
          <a:chOff x="157370" y="10157792"/>
          <a:chExt cx="1924878" cy="708991"/>
        </a:xfrm>
      </xdr:grpSpPr>
      <xdr:sp macro="" textlink="">
        <xdr:nvSpPr>
          <xdr:cNvPr id="15" name="Flowchart: Data 14">
            <a:extLst>
              <a:ext uri="{FF2B5EF4-FFF2-40B4-BE49-F238E27FC236}">
                <a16:creationId xmlns:a16="http://schemas.microsoft.com/office/drawing/2014/main" id="{C6100048-407B-434F-A125-EAEF4AB3C934}"/>
              </a:ext>
            </a:extLst>
          </xdr:cNvPr>
          <xdr:cNvSpPr/>
        </xdr:nvSpPr>
        <xdr:spPr>
          <a:xfrm>
            <a:off x="157370" y="10444575"/>
            <a:ext cx="1703722" cy="422208"/>
          </a:xfrm>
          <a:prstGeom prst="flowChartInputOutput">
            <a:avLst/>
          </a:prstGeom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16200000" scaled="1"/>
            <a:tileRect/>
          </a:gra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56" name="Flowchart: Data 55">
            <a:extLst>
              <a:ext uri="{FF2B5EF4-FFF2-40B4-BE49-F238E27FC236}">
                <a16:creationId xmlns:a16="http://schemas.microsoft.com/office/drawing/2014/main" id="{0AB62315-3077-4B22-9312-E8A87602309B}"/>
              </a:ext>
            </a:extLst>
          </xdr:cNvPr>
          <xdr:cNvSpPr/>
        </xdr:nvSpPr>
        <xdr:spPr>
          <a:xfrm>
            <a:off x="378526" y="10157792"/>
            <a:ext cx="1703722" cy="422208"/>
          </a:xfrm>
          <a:prstGeom prst="flowChartInputOutput">
            <a:avLst/>
          </a:prstGeom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16200000" scaled="1"/>
            <a:tileRect/>
          </a:gra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</xdr:grpSp>
    <xdr:clientData/>
  </xdr:twoCellAnchor>
  <xdr:twoCellAnchor>
    <xdr:from>
      <xdr:col>0</xdr:col>
      <xdr:colOff>68580</xdr:colOff>
      <xdr:row>62</xdr:row>
      <xdr:rowOff>76200</xdr:rowOff>
    </xdr:from>
    <xdr:to>
      <xdr:col>3</xdr:col>
      <xdr:colOff>213360</xdr:colOff>
      <xdr:row>67</xdr:row>
      <xdr:rowOff>121920</xdr:rowOff>
    </xdr:to>
    <xdr:grpSp>
      <xdr:nvGrpSpPr>
        <xdr:cNvPr id="24735" name="Group 16">
          <a:extLst>
            <a:ext uri="{FF2B5EF4-FFF2-40B4-BE49-F238E27FC236}">
              <a16:creationId xmlns:a16="http://schemas.microsoft.com/office/drawing/2014/main" id="{6965A2E8-DB7F-44C9-892A-FFA59FFCF280}"/>
            </a:ext>
          </a:extLst>
        </xdr:cNvPr>
        <xdr:cNvGrpSpPr>
          <a:grpSpLocks/>
        </xdr:cNvGrpSpPr>
      </xdr:nvGrpSpPr>
      <xdr:grpSpPr bwMode="auto">
        <a:xfrm>
          <a:off x="68580" y="11579087"/>
          <a:ext cx="2072971" cy="973372"/>
          <a:chOff x="66261" y="11312387"/>
          <a:chExt cx="2102126" cy="1003853"/>
        </a:xfrm>
      </xdr:grpSpPr>
      <xdr:sp macro="" textlink="">
        <xdr:nvSpPr>
          <xdr:cNvPr id="59" name="Flowchart: Data 58">
            <a:extLst>
              <a:ext uri="{FF2B5EF4-FFF2-40B4-BE49-F238E27FC236}">
                <a16:creationId xmlns:a16="http://schemas.microsoft.com/office/drawing/2014/main" id="{436E5C23-9E4A-431F-A8D5-5C87402EDEBE}"/>
              </a:ext>
            </a:extLst>
          </xdr:cNvPr>
          <xdr:cNvSpPr/>
        </xdr:nvSpPr>
        <xdr:spPr>
          <a:xfrm>
            <a:off x="66261" y="11893984"/>
            <a:ext cx="1712543" cy="422256"/>
          </a:xfrm>
          <a:prstGeom prst="flowChartInputOutput">
            <a:avLst/>
          </a:prstGeom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16200000" scaled="1"/>
            <a:tileRect/>
          </a:gra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61" name="Flowchart: Data 60">
            <a:extLst>
              <a:ext uri="{FF2B5EF4-FFF2-40B4-BE49-F238E27FC236}">
                <a16:creationId xmlns:a16="http://schemas.microsoft.com/office/drawing/2014/main" id="{561809C1-5B8E-44CF-9591-D75337123807}"/>
              </a:ext>
            </a:extLst>
          </xdr:cNvPr>
          <xdr:cNvSpPr/>
        </xdr:nvSpPr>
        <xdr:spPr>
          <a:xfrm>
            <a:off x="277285" y="11599202"/>
            <a:ext cx="1720659" cy="422256"/>
          </a:xfrm>
          <a:prstGeom prst="flowChartInputOutput">
            <a:avLst/>
          </a:prstGeom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16200000" scaled="1"/>
            <a:tileRect/>
          </a:gra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63" name="Flowchart: Data 62">
            <a:extLst>
              <a:ext uri="{FF2B5EF4-FFF2-40B4-BE49-F238E27FC236}">
                <a16:creationId xmlns:a16="http://schemas.microsoft.com/office/drawing/2014/main" id="{5B6CCEA1-1D67-44D9-BFFB-583805E88F18}"/>
              </a:ext>
            </a:extLst>
          </xdr:cNvPr>
          <xdr:cNvSpPr/>
        </xdr:nvSpPr>
        <xdr:spPr>
          <a:xfrm>
            <a:off x="455844" y="11312387"/>
            <a:ext cx="1712543" cy="422256"/>
          </a:xfrm>
          <a:prstGeom prst="flowChartInputOutput">
            <a:avLst/>
          </a:prstGeom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16200000" scaled="1"/>
            <a:tileRect/>
          </a:gra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</xdr:grpSp>
    <xdr:clientData/>
  </xdr:twoCellAnchor>
  <xdr:twoCellAnchor>
    <xdr:from>
      <xdr:col>3</xdr:col>
      <xdr:colOff>590783</xdr:colOff>
      <xdr:row>20</xdr:row>
      <xdr:rowOff>108833</xdr:rowOff>
    </xdr:from>
    <xdr:to>
      <xdr:col>5</xdr:col>
      <xdr:colOff>189929</xdr:colOff>
      <xdr:row>22</xdr:row>
      <xdr:rowOff>1154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42FC5877-213B-4CA5-A6BD-20FC3F26AFBA}"/>
            </a:ext>
          </a:extLst>
        </xdr:cNvPr>
        <xdr:cNvSpPr txBox="1"/>
      </xdr:nvSpPr>
      <xdr:spPr>
        <a:xfrm rot="20306609">
          <a:off x="2547411" y="3734683"/>
          <a:ext cx="914108" cy="2651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>
            <a:lnSpc>
              <a:spcPts val="1100"/>
            </a:lnSpc>
          </a:pPr>
          <a:r>
            <a:rPr lang="en-US" sz="1100"/>
            <a:t>End lapping</a:t>
          </a:r>
        </a:p>
      </xdr:txBody>
    </xdr:sp>
    <xdr:clientData/>
  </xdr:twoCellAnchor>
  <xdr:twoCellAnchor>
    <xdr:from>
      <xdr:col>0</xdr:col>
      <xdr:colOff>243840</xdr:colOff>
      <xdr:row>73</xdr:row>
      <xdr:rowOff>83820</xdr:rowOff>
    </xdr:from>
    <xdr:to>
      <xdr:col>3</xdr:col>
      <xdr:colOff>601980</xdr:colOff>
      <xdr:row>79</xdr:row>
      <xdr:rowOff>167640</xdr:rowOff>
    </xdr:to>
    <xdr:grpSp>
      <xdr:nvGrpSpPr>
        <xdr:cNvPr id="24737" name="Group 76">
          <a:extLst>
            <a:ext uri="{FF2B5EF4-FFF2-40B4-BE49-F238E27FC236}">
              <a16:creationId xmlns:a16="http://schemas.microsoft.com/office/drawing/2014/main" id="{9B986C8C-9B96-4C5D-BD1E-DB6681DE1318}"/>
            </a:ext>
          </a:extLst>
        </xdr:cNvPr>
        <xdr:cNvGrpSpPr>
          <a:grpSpLocks/>
        </xdr:cNvGrpSpPr>
      </xdr:nvGrpSpPr>
      <xdr:grpSpPr bwMode="auto">
        <a:xfrm>
          <a:off x="243840" y="13627542"/>
          <a:ext cx="2286331" cy="1197002"/>
          <a:chOff x="289894" y="13959508"/>
          <a:chExt cx="2327410" cy="1230797"/>
        </a:xfrm>
      </xdr:grpSpPr>
      <xdr:grpSp>
        <xdr:nvGrpSpPr>
          <xdr:cNvPr id="24758" name="Group 19">
            <a:extLst>
              <a:ext uri="{FF2B5EF4-FFF2-40B4-BE49-F238E27FC236}">
                <a16:creationId xmlns:a16="http://schemas.microsoft.com/office/drawing/2014/main" id="{E0FF7A50-B24B-4B82-8C2D-E61777277324}"/>
              </a:ext>
            </a:extLst>
          </xdr:cNvPr>
          <xdr:cNvGrpSpPr>
            <a:grpSpLocks/>
          </xdr:cNvGrpSpPr>
        </xdr:nvGrpSpPr>
        <xdr:grpSpPr bwMode="auto">
          <a:xfrm>
            <a:off x="289894" y="13959508"/>
            <a:ext cx="2045799" cy="866362"/>
            <a:chOff x="289894" y="13959508"/>
            <a:chExt cx="2045799" cy="866362"/>
          </a:xfrm>
        </xdr:grpSpPr>
        <xdr:sp macro="" textlink="">
          <xdr:nvSpPr>
            <xdr:cNvPr id="18" name="Parallelogram 17">
              <a:extLst>
                <a:ext uri="{FF2B5EF4-FFF2-40B4-BE49-F238E27FC236}">
                  <a16:creationId xmlns:a16="http://schemas.microsoft.com/office/drawing/2014/main" id="{19B02BED-76A8-4EC0-A20A-94D890DFEDCA}"/>
                </a:ext>
              </a:extLst>
            </xdr:cNvPr>
            <xdr:cNvSpPr/>
          </xdr:nvSpPr>
          <xdr:spPr>
            <a:xfrm>
              <a:off x="289894" y="13967449"/>
              <a:ext cx="1654326" cy="373209"/>
            </a:xfrm>
            <a:prstGeom prst="parallelogram">
              <a:avLst>
                <a:gd name="adj" fmla="val 32382"/>
              </a:avLst>
            </a:prstGeom>
            <a:solidFill>
              <a:schemeClr val="tx2">
                <a:lumMod val="60000"/>
                <a:lumOff val="4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en-US"/>
            </a:p>
          </xdr:txBody>
        </xdr:sp>
        <xdr:sp macro="" textlink="">
          <xdr:nvSpPr>
            <xdr:cNvPr id="19" name="Cube 18">
              <a:extLst>
                <a:ext uri="{FF2B5EF4-FFF2-40B4-BE49-F238E27FC236}">
                  <a16:creationId xmlns:a16="http://schemas.microsoft.com/office/drawing/2014/main" id="{C02214C9-247F-4570-93E0-6E76E46975C7}"/>
                </a:ext>
              </a:extLst>
            </xdr:cNvPr>
            <xdr:cNvSpPr/>
          </xdr:nvSpPr>
          <xdr:spPr>
            <a:xfrm flipH="1">
              <a:off x="533177" y="14086558"/>
              <a:ext cx="1597560" cy="738478"/>
            </a:xfrm>
            <a:prstGeom prst="cube">
              <a:avLst>
                <a:gd name="adj" fmla="val 26493"/>
              </a:avLst>
            </a:prstGeom>
            <a:solidFill>
              <a:srgbClr val="92D05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en-US"/>
            </a:p>
          </xdr:txBody>
        </xdr:sp>
        <xdr:sp macro="" textlink="">
          <xdr:nvSpPr>
            <xdr:cNvPr id="75" name="Parallelogram 74">
              <a:extLst>
                <a:ext uri="{FF2B5EF4-FFF2-40B4-BE49-F238E27FC236}">
                  <a16:creationId xmlns:a16="http://schemas.microsoft.com/office/drawing/2014/main" id="{D5DAC53A-6F68-4748-9D0D-2CB62E3FAF83}"/>
                </a:ext>
              </a:extLst>
            </xdr:cNvPr>
            <xdr:cNvSpPr/>
          </xdr:nvSpPr>
          <xdr:spPr>
            <a:xfrm flipH="1">
              <a:off x="411536" y="13959508"/>
              <a:ext cx="1921937" cy="571725"/>
            </a:xfrm>
            <a:prstGeom prst="parallelogram">
              <a:avLst>
                <a:gd name="adj" fmla="val 43461"/>
              </a:avLst>
            </a:prstGeom>
            <a:gradFill flip="none" rotWithShape="1">
              <a:gsLst>
                <a:gs pos="0">
                  <a:schemeClr val="accent1">
                    <a:shade val="30000"/>
                    <a:satMod val="115000"/>
                  </a:schemeClr>
                </a:gs>
                <a:gs pos="50000">
                  <a:schemeClr val="accent1">
                    <a:shade val="67500"/>
                    <a:satMod val="115000"/>
                  </a:schemeClr>
                </a:gs>
                <a:gs pos="100000">
                  <a:schemeClr val="accent1"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en-US"/>
            </a:p>
          </xdr:txBody>
        </xdr:sp>
      </xdr:grpSp>
      <xdr:cxnSp macro="">
        <xdr:nvCxnSpPr>
          <xdr:cNvPr id="22" name="Straight Connector 21">
            <a:extLst>
              <a:ext uri="{FF2B5EF4-FFF2-40B4-BE49-F238E27FC236}">
                <a16:creationId xmlns:a16="http://schemas.microsoft.com/office/drawing/2014/main" id="{E0B81FC1-11EE-47A6-961B-78E72FB2CAB1}"/>
              </a:ext>
            </a:extLst>
          </xdr:cNvPr>
          <xdr:cNvCxnSpPr/>
        </xdr:nvCxnSpPr>
        <xdr:spPr>
          <a:xfrm>
            <a:off x="654819" y="14491530"/>
            <a:ext cx="259502" cy="619369"/>
          </a:xfrm>
          <a:prstGeom prst="line">
            <a:avLst/>
          </a:prstGeom>
          <a:ln>
            <a:solidFill>
              <a:sysClr val="windowText" lastClr="000000"/>
            </a:solidFill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6" name="Straight Connector 75">
            <a:extLst>
              <a:ext uri="{FF2B5EF4-FFF2-40B4-BE49-F238E27FC236}">
                <a16:creationId xmlns:a16="http://schemas.microsoft.com/office/drawing/2014/main" id="{5B8C338D-991D-44AC-B895-34490CC4421E}"/>
              </a:ext>
            </a:extLst>
          </xdr:cNvPr>
          <xdr:cNvCxnSpPr/>
        </xdr:nvCxnSpPr>
        <xdr:spPr>
          <a:xfrm>
            <a:off x="2309145" y="14467708"/>
            <a:ext cx="267612" cy="619369"/>
          </a:xfrm>
          <a:prstGeom prst="line">
            <a:avLst/>
          </a:prstGeom>
          <a:ln>
            <a:solidFill>
              <a:sysClr val="windowText" lastClr="000000"/>
            </a:solidFill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3" name="Straight Arrow Connector 42">
            <a:extLst>
              <a:ext uri="{FF2B5EF4-FFF2-40B4-BE49-F238E27FC236}">
                <a16:creationId xmlns:a16="http://schemas.microsoft.com/office/drawing/2014/main" id="{37B3C056-E855-46A9-99BA-E5E67ADD93F4}"/>
              </a:ext>
            </a:extLst>
          </xdr:cNvPr>
          <xdr:cNvCxnSpPr/>
        </xdr:nvCxnSpPr>
        <xdr:spPr>
          <a:xfrm>
            <a:off x="849446" y="14944146"/>
            <a:ext cx="1662436" cy="0"/>
          </a:xfrm>
          <a:prstGeom prst="straightConnector1">
            <a:avLst/>
          </a:prstGeom>
          <a:ln>
            <a:solidFill>
              <a:sysClr val="windowText" lastClr="000000"/>
            </a:solidFill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DBE1A79E-2604-4D5C-BF2F-341A533B7788}"/>
              </a:ext>
            </a:extLst>
          </xdr:cNvPr>
          <xdr:cNvSpPr txBox="1"/>
        </xdr:nvSpPr>
        <xdr:spPr>
          <a:xfrm>
            <a:off x="1181933" y="14920324"/>
            <a:ext cx="1435371" cy="26998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/>
              <a:t>Total</a:t>
            </a:r>
            <a:r>
              <a:rPr lang="en-US" sz="1100" baseline="0"/>
              <a:t> Roof Width</a:t>
            </a:r>
            <a:endParaRPr lang="en-US" sz="1100"/>
          </a:p>
        </xdr:txBody>
      </xdr:sp>
    </xdr:grpSp>
    <xdr:clientData/>
  </xdr:twoCellAnchor>
  <xdr:twoCellAnchor>
    <xdr:from>
      <xdr:col>1</xdr:col>
      <xdr:colOff>453611</xdr:colOff>
      <xdr:row>55</xdr:row>
      <xdr:rowOff>76476</xdr:rowOff>
    </xdr:from>
    <xdr:to>
      <xdr:col>2</xdr:col>
      <xdr:colOff>182228</xdr:colOff>
      <xdr:row>56</xdr:row>
      <xdr:rowOff>157439</xdr:rowOff>
    </xdr:to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0E247F40-9A76-4F1D-8B1A-0F6902DE9642}"/>
            </a:ext>
          </a:extLst>
        </xdr:cNvPr>
        <xdr:cNvSpPr txBox="1"/>
      </xdr:nvSpPr>
      <xdr:spPr>
        <a:xfrm>
          <a:off x="1101587" y="10369826"/>
          <a:ext cx="389283" cy="2650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</a:t>
          </a:r>
        </a:p>
      </xdr:txBody>
    </xdr:sp>
    <xdr:clientData/>
  </xdr:twoCellAnchor>
  <xdr:twoCellAnchor>
    <xdr:from>
      <xdr:col>1</xdr:col>
      <xdr:colOff>210378</xdr:colOff>
      <xdr:row>57</xdr:row>
      <xdr:rowOff>94422</xdr:rowOff>
    </xdr:from>
    <xdr:to>
      <xdr:col>1</xdr:col>
      <xdr:colOff>606043</xdr:colOff>
      <xdr:row>58</xdr:row>
      <xdr:rowOff>162547</xdr:rowOff>
    </xdr:to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7FC36969-6A19-48B2-B264-2D90C79FD074}"/>
            </a:ext>
          </a:extLst>
        </xdr:cNvPr>
        <xdr:cNvSpPr txBox="1"/>
      </xdr:nvSpPr>
      <xdr:spPr>
        <a:xfrm>
          <a:off x="864704" y="10762422"/>
          <a:ext cx="389283" cy="2650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2</a:t>
          </a:r>
        </a:p>
      </xdr:txBody>
    </xdr:sp>
    <xdr:clientData/>
  </xdr:twoCellAnchor>
  <xdr:twoCellAnchor>
    <xdr:from>
      <xdr:col>1</xdr:col>
      <xdr:colOff>453611</xdr:colOff>
      <xdr:row>62</xdr:row>
      <xdr:rowOff>175868</xdr:rowOff>
    </xdr:from>
    <xdr:to>
      <xdr:col>2</xdr:col>
      <xdr:colOff>182228</xdr:colOff>
      <xdr:row>64</xdr:row>
      <xdr:rowOff>58593</xdr:rowOff>
    </xdr:to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94669ED0-6FED-454D-BF54-4787FB991839}"/>
            </a:ext>
          </a:extLst>
        </xdr:cNvPr>
        <xdr:cNvSpPr txBox="1"/>
      </xdr:nvSpPr>
      <xdr:spPr>
        <a:xfrm>
          <a:off x="1101587" y="11802718"/>
          <a:ext cx="389283" cy="2650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</a:t>
          </a:r>
        </a:p>
      </xdr:txBody>
    </xdr:sp>
    <xdr:clientData/>
  </xdr:twoCellAnchor>
  <xdr:twoCellAnchor>
    <xdr:from>
      <xdr:col>1</xdr:col>
      <xdr:colOff>226943</xdr:colOff>
      <xdr:row>64</xdr:row>
      <xdr:rowOff>119270</xdr:rowOff>
    </xdr:from>
    <xdr:to>
      <xdr:col>2</xdr:col>
      <xdr:colOff>8974</xdr:colOff>
      <xdr:row>66</xdr:row>
      <xdr:rowOff>3314</xdr:rowOff>
    </xdr:to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0029D506-5131-47BD-9AF6-9F1777EAF693}"/>
            </a:ext>
          </a:extLst>
        </xdr:cNvPr>
        <xdr:cNvSpPr txBox="1"/>
      </xdr:nvSpPr>
      <xdr:spPr>
        <a:xfrm>
          <a:off x="881269" y="12120770"/>
          <a:ext cx="389283" cy="2650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2</a:t>
          </a:r>
        </a:p>
      </xdr:txBody>
    </xdr:sp>
    <xdr:clientData/>
  </xdr:twoCellAnchor>
  <xdr:twoCellAnchor>
    <xdr:from>
      <xdr:col>1</xdr:col>
      <xdr:colOff>56045</xdr:colOff>
      <xdr:row>66</xdr:row>
      <xdr:rowOff>33130</xdr:rowOff>
    </xdr:from>
    <xdr:to>
      <xdr:col>1</xdr:col>
      <xdr:colOff>439049</xdr:colOff>
      <xdr:row>67</xdr:row>
      <xdr:rowOff>107674</xdr:rowOff>
    </xdr:to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B5F7F928-0C3A-463F-AB36-17CDD63E580B}"/>
            </a:ext>
          </a:extLst>
        </xdr:cNvPr>
        <xdr:cNvSpPr txBox="1"/>
      </xdr:nvSpPr>
      <xdr:spPr>
        <a:xfrm>
          <a:off x="704021" y="12415630"/>
          <a:ext cx="389283" cy="2650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3</a:t>
          </a:r>
        </a:p>
      </xdr:txBody>
    </xdr:sp>
    <xdr:clientData/>
  </xdr:twoCellAnchor>
  <xdr:twoCellAnchor editAs="oneCell">
    <xdr:from>
      <xdr:col>5</xdr:col>
      <xdr:colOff>182880</xdr:colOff>
      <xdr:row>71</xdr:row>
      <xdr:rowOff>22860</xdr:rowOff>
    </xdr:from>
    <xdr:to>
      <xdr:col>8</xdr:col>
      <xdr:colOff>434340</xdr:colOff>
      <xdr:row>75</xdr:row>
      <xdr:rowOff>144780</xdr:rowOff>
    </xdr:to>
    <xdr:pic>
      <xdr:nvPicPr>
        <xdr:cNvPr id="24743" name="Picture 88">
          <a:extLst>
            <a:ext uri="{FF2B5EF4-FFF2-40B4-BE49-F238E27FC236}">
              <a16:creationId xmlns:a16="http://schemas.microsoft.com/office/drawing/2014/main" id="{7198128B-5F3B-4BC9-BDD4-346E952705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0880" y="13007340"/>
          <a:ext cx="2080260" cy="853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548640</xdr:colOff>
      <xdr:row>96</xdr:row>
      <xdr:rowOff>137160</xdr:rowOff>
    </xdr:from>
    <xdr:to>
      <xdr:col>6</xdr:col>
      <xdr:colOff>106680</xdr:colOff>
      <xdr:row>103</xdr:row>
      <xdr:rowOff>106680</xdr:rowOff>
    </xdr:to>
    <xdr:grpSp>
      <xdr:nvGrpSpPr>
        <xdr:cNvPr id="24744" name="Group 102">
          <a:extLst>
            <a:ext uri="{FF2B5EF4-FFF2-40B4-BE49-F238E27FC236}">
              <a16:creationId xmlns:a16="http://schemas.microsoft.com/office/drawing/2014/main" id="{BD927F82-7441-4367-BAA8-356CC70DB8A3}"/>
            </a:ext>
          </a:extLst>
        </xdr:cNvPr>
        <xdr:cNvGrpSpPr>
          <a:grpSpLocks/>
        </xdr:cNvGrpSpPr>
      </xdr:nvGrpSpPr>
      <xdr:grpSpPr bwMode="auto">
        <a:xfrm>
          <a:off x="1834101" y="17948082"/>
          <a:ext cx="2128962" cy="1268233"/>
          <a:chOff x="1847020" y="18051118"/>
          <a:chExt cx="2181639" cy="1300371"/>
        </a:xfrm>
      </xdr:grpSpPr>
      <xdr:sp macro="" textlink="">
        <xdr:nvSpPr>
          <xdr:cNvPr id="99" name="Trapezoid 98">
            <a:extLst>
              <a:ext uri="{FF2B5EF4-FFF2-40B4-BE49-F238E27FC236}">
                <a16:creationId xmlns:a16="http://schemas.microsoft.com/office/drawing/2014/main" id="{3CE1917B-575A-49DF-8120-25802BDF43AA}"/>
              </a:ext>
            </a:extLst>
          </xdr:cNvPr>
          <xdr:cNvSpPr/>
        </xdr:nvSpPr>
        <xdr:spPr>
          <a:xfrm>
            <a:off x="1847020" y="18709233"/>
            <a:ext cx="2181639" cy="642256"/>
          </a:xfrm>
          <a:prstGeom prst="trapezoid">
            <a:avLst>
              <a:gd name="adj" fmla="val 76282"/>
            </a:avLst>
          </a:prstGeom>
          <a:gradFill flip="none" rotWithShape="1">
            <a:gsLst>
              <a:gs pos="0">
                <a:schemeClr val="accent1">
                  <a:shade val="30000"/>
                  <a:satMod val="115000"/>
                </a:schemeClr>
              </a:gs>
              <a:gs pos="50000">
                <a:schemeClr val="accent1">
                  <a:shade val="67500"/>
                  <a:satMod val="115000"/>
                </a:schemeClr>
              </a:gs>
              <a:gs pos="100000">
                <a:schemeClr val="accent1">
                  <a:shade val="100000"/>
                  <a:satMod val="115000"/>
                </a:schemeClr>
              </a:gs>
            </a:gsLst>
            <a:lin ang="5400000" scaled="1"/>
            <a:tileRect/>
          </a:gra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100" name="Trapezoid 99">
            <a:extLst>
              <a:ext uri="{FF2B5EF4-FFF2-40B4-BE49-F238E27FC236}">
                <a16:creationId xmlns:a16="http://schemas.microsoft.com/office/drawing/2014/main" id="{2A02FE31-7A60-48A3-9027-A610C2669FA7}"/>
              </a:ext>
            </a:extLst>
          </xdr:cNvPr>
          <xdr:cNvSpPr/>
        </xdr:nvSpPr>
        <xdr:spPr>
          <a:xfrm flipV="1">
            <a:off x="1847020" y="18051118"/>
            <a:ext cx="2181639" cy="642256"/>
          </a:xfrm>
          <a:prstGeom prst="trapezoid">
            <a:avLst>
              <a:gd name="adj" fmla="val 76282"/>
            </a:avLst>
          </a:prstGeom>
          <a:gradFill flip="none" rotWithShape="1">
            <a:gsLst>
              <a:gs pos="0">
                <a:schemeClr val="accent1">
                  <a:shade val="30000"/>
                  <a:satMod val="115000"/>
                </a:schemeClr>
              </a:gs>
              <a:gs pos="50000">
                <a:schemeClr val="accent1">
                  <a:shade val="67500"/>
                  <a:satMod val="115000"/>
                </a:schemeClr>
              </a:gs>
              <a:gs pos="100000">
                <a:schemeClr val="accent1">
                  <a:shade val="100000"/>
                  <a:satMod val="115000"/>
                </a:schemeClr>
              </a:gs>
            </a:gsLst>
            <a:lin ang="5400000" scaled="1"/>
            <a:tileRect/>
          </a:gra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101" name="Isosceles Triangle 100">
            <a:extLst>
              <a:ext uri="{FF2B5EF4-FFF2-40B4-BE49-F238E27FC236}">
                <a16:creationId xmlns:a16="http://schemas.microsoft.com/office/drawing/2014/main" id="{714A5D11-AF72-45AF-AFAF-31D67004D24D}"/>
              </a:ext>
            </a:extLst>
          </xdr:cNvPr>
          <xdr:cNvSpPr/>
        </xdr:nvSpPr>
        <xdr:spPr>
          <a:xfrm rot="5400000">
            <a:off x="1446442" y="18459625"/>
            <a:ext cx="1292442" cy="491285"/>
          </a:xfrm>
          <a:prstGeom prst="triangle">
            <a:avLst/>
          </a:prstGeom>
          <a:gradFill flip="none" rotWithShape="1">
            <a:gsLst>
              <a:gs pos="0">
                <a:schemeClr val="accent1">
                  <a:shade val="30000"/>
                  <a:satMod val="115000"/>
                </a:schemeClr>
              </a:gs>
              <a:gs pos="50000">
                <a:schemeClr val="accent1">
                  <a:shade val="67500"/>
                  <a:satMod val="115000"/>
                </a:schemeClr>
              </a:gs>
              <a:gs pos="100000">
                <a:schemeClr val="accent1">
                  <a:shade val="100000"/>
                  <a:satMod val="115000"/>
                </a:schemeClr>
              </a:gs>
            </a:gsLst>
            <a:lin ang="10800000" scaled="1"/>
            <a:tileRect/>
          </a:gra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102" name="Isosceles Triangle 101">
            <a:extLst>
              <a:ext uri="{FF2B5EF4-FFF2-40B4-BE49-F238E27FC236}">
                <a16:creationId xmlns:a16="http://schemas.microsoft.com/office/drawing/2014/main" id="{82B452BE-3C22-4603-B347-DC9EAF86E461}"/>
              </a:ext>
            </a:extLst>
          </xdr:cNvPr>
          <xdr:cNvSpPr/>
        </xdr:nvSpPr>
        <xdr:spPr>
          <a:xfrm rot="16200000" flipH="1">
            <a:off x="3128469" y="18459625"/>
            <a:ext cx="1292442" cy="491285"/>
          </a:xfrm>
          <a:prstGeom prst="triangle">
            <a:avLst/>
          </a:prstGeom>
          <a:gradFill flip="none" rotWithShape="1">
            <a:gsLst>
              <a:gs pos="0">
                <a:schemeClr val="accent1">
                  <a:shade val="30000"/>
                  <a:satMod val="115000"/>
                </a:schemeClr>
              </a:gs>
              <a:gs pos="50000">
                <a:schemeClr val="accent1">
                  <a:shade val="67500"/>
                  <a:satMod val="115000"/>
                </a:schemeClr>
              </a:gs>
              <a:gs pos="100000">
                <a:schemeClr val="accent1">
                  <a:shade val="100000"/>
                  <a:satMod val="115000"/>
                </a:schemeClr>
              </a:gs>
            </a:gsLst>
            <a:lin ang="10800000" scaled="1"/>
            <a:tileRect/>
          </a:gra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</xdr:grpSp>
    <xdr:clientData/>
  </xdr:twoCellAnchor>
  <xdr:twoCellAnchor>
    <xdr:from>
      <xdr:col>1</xdr:col>
      <xdr:colOff>149087</xdr:colOff>
      <xdr:row>96</xdr:row>
      <xdr:rowOff>126172</xdr:rowOff>
    </xdr:from>
    <xdr:to>
      <xdr:col>2</xdr:col>
      <xdr:colOff>438977</xdr:colOff>
      <xdr:row>96</xdr:row>
      <xdr:rowOff>126172</xdr:rowOff>
    </xdr:to>
    <xdr:cxnSp macro="">
      <xdr:nvCxnSpPr>
        <xdr:cNvPr id="105" name="Straight Connector 104">
          <a:extLst>
            <a:ext uri="{FF2B5EF4-FFF2-40B4-BE49-F238E27FC236}">
              <a16:creationId xmlns:a16="http://schemas.microsoft.com/office/drawing/2014/main" id="{C58A43C8-8403-4403-850C-BF9698CE3826}"/>
            </a:ext>
          </a:extLst>
        </xdr:cNvPr>
        <xdr:cNvCxnSpPr/>
      </xdr:nvCxnSpPr>
      <xdr:spPr>
        <a:xfrm flipH="1">
          <a:off x="803413" y="18039522"/>
          <a:ext cx="944216" cy="0"/>
        </a:xfrm>
        <a:prstGeom prst="line">
          <a:avLst/>
        </a:prstGeom>
        <a:ln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183598</xdr:colOff>
      <xdr:row>103</xdr:row>
      <xdr:rowOff>119270</xdr:rowOff>
    </xdr:from>
    <xdr:to>
      <xdr:col>2</xdr:col>
      <xdr:colOff>467124</xdr:colOff>
      <xdr:row>103</xdr:row>
      <xdr:rowOff>119270</xdr:rowOff>
    </xdr:to>
    <xdr:cxnSp macro="">
      <xdr:nvCxnSpPr>
        <xdr:cNvPr id="106" name="Straight Connector 105">
          <a:extLst>
            <a:ext uri="{FF2B5EF4-FFF2-40B4-BE49-F238E27FC236}">
              <a16:creationId xmlns:a16="http://schemas.microsoft.com/office/drawing/2014/main" id="{3577F6B7-0B85-4DBB-8958-CB81842BEED1}"/>
            </a:ext>
          </a:extLst>
        </xdr:cNvPr>
        <xdr:cNvCxnSpPr/>
      </xdr:nvCxnSpPr>
      <xdr:spPr>
        <a:xfrm flipH="1">
          <a:off x="831574" y="19359770"/>
          <a:ext cx="944216" cy="0"/>
        </a:xfrm>
        <a:prstGeom prst="line">
          <a:avLst/>
        </a:prstGeom>
        <a:ln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8283</xdr:colOff>
      <xdr:row>96</xdr:row>
      <xdr:rowOff>101987</xdr:rowOff>
    </xdr:from>
    <xdr:to>
      <xdr:col>2</xdr:col>
      <xdr:colOff>8283</xdr:colOff>
      <xdr:row>103</xdr:row>
      <xdr:rowOff>109626</xdr:rowOff>
    </xdr:to>
    <xdr:cxnSp macro="">
      <xdr:nvCxnSpPr>
        <xdr:cNvPr id="108" name="Straight Arrow Connector 107">
          <a:extLst>
            <a:ext uri="{FF2B5EF4-FFF2-40B4-BE49-F238E27FC236}">
              <a16:creationId xmlns:a16="http://schemas.microsoft.com/office/drawing/2014/main" id="{7C77053F-6470-4F9C-A786-B4D7558E16B1}"/>
            </a:ext>
          </a:extLst>
        </xdr:cNvPr>
        <xdr:cNvCxnSpPr/>
      </xdr:nvCxnSpPr>
      <xdr:spPr>
        <a:xfrm>
          <a:off x="1316935" y="18022957"/>
          <a:ext cx="0" cy="1333500"/>
        </a:xfrm>
        <a:prstGeom prst="straightConnector1">
          <a:avLst/>
        </a:prstGeom>
        <a:ln>
          <a:solidFill>
            <a:sysClr val="windowText" lastClr="00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554934</xdr:colOff>
      <xdr:row>103</xdr:row>
      <xdr:rowOff>98728</xdr:rowOff>
    </xdr:from>
    <xdr:to>
      <xdr:col>2</xdr:col>
      <xdr:colOff>554935</xdr:colOff>
      <xdr:row>106</xdr:row>
      <xdr:rowOff>157486</xdr:rowOff>
    </xdr:to>
    <xdr:cxnSp macro="">
      <xdr:nvCxnSpPr>
        <xdr:cNvPr id="109" name="Straight Connector 108">
          <a:extLst>
            <a:ext uri="{FF2B5EF4-FFF2-40B4-BE49-F238E27FC236}">
              <a16:creationId xmlns:a16="http://schemas.microsoft.com/office/drawing/2014/main" id="{708AD361-7F19-474C-8163-0909ECAF0B43}"/>
            </a:ext>
          </a:extLst>
        </xdr:cNvPr>
        <xdr:cNvCxnSpPr/>
      </xdr:nvCxnSpPr>
      <xdr:spPr>
        <a:xfrm>
          <a:off x="1863586" y="19331608"/>
          <a:ext cx="1" cy="637762"/>
        </a:xfrm>
        <a:prstGeom prst="line">
          <a:avLst/>
        </a:prstGeom>
        <a:ln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109053</xdr:colOff>
      <xdr:row>103</xdr:row>
      <xdr:rowOff>119269</xdr:rowOff>
    </xdr:from>
    <xdr:to>
      <xdr:col>6</xdr:col>
      <xdr:colOff>109054</xdr:colOff>
      <xdr:row>107</xdr:row>
      <xdr:rowOff>3313</xdr:rowOff>
    </xdr:to>
    <xdr:cxnSp macro="">
      <xdr:nvCxnSpPr>
        <xdr:cNvPr id="113" name="Straight Connector 112">
          <a:extLst>
            <a:ext uri="{FF2B5EF4-FFF2-40B4-BE49-F238E27FC236}">
              <a16:creationId xmlns:a16="http://schemas.microsoft.com/office/drawing/2014/main" id="{2A6BEDE7-768F-4D97-85D7-2686D1D286D0}"/>
            </a:ext>
          </a:extLst>
        </xdr:cNvPr>
        <xdr:cNvCxnSpPr/>
      </xdr:nvCxnSpPr>
      <xdr:spPr>
        <a:xfrm>
          <a:off x="4028660" y="19359769"/>
          <a:ext cx="1" cy="637762"/>
        </a:xfrm>
        <a:prstGeom prst="line">
          <a:avLst/>
        </a:prstGeom>
        <a:ln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563218</xdr:colOff>
      <xdr:row>105</xdr:row>
      <xdr:rowOff>0</xdr:rowOff>
    </xdr:from>
    <xdr:to>
      <xdr:col>6</xdr:col>
      <xdr:colOff>114041</xdr:colOff>
      <xdr:row>105</xdr:row>
      <xdr:rowOff>4142</xdr:rowOff>
    </xdr:to>
    <xdr:cxnSp macro="">
      <xdr:nvCxnSpPr>
        <xdr:cNvPr id="115" name="Straight Arrow Connector 114">
          <a:extLst>
            <a:ext uri="{FF2B5EF4-FFF2-40B4-BE49-F238E27FC236}">
              <a16:creationId xmlns:a16="http://schemas.microsoft.com/office/drawing/2014/main" id="{41D57A10-B565-4734-8A88-FEBBEB648167}"/>
            </a:ext>
          </a:extLst>
        </xdr:cNvPr>
        <xdr:cNvCxnSpPr/>
      </xdr:nvCxnSpPr>
      <xdr:spPr>
        <a:xfrm flipV="1">
          <a:off x="1871870" y="19621500"/>
          <a:ext cx="2161760" cy="8283"/>
        </a:xfrm>
        <a:prstGeom prst="straightConnector1">
          <a:avLst/>
        </a:prstGeom>
        <a:ln>
          <a:solidFill>
            <a:sysClr val="windowText" lastClr="00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528154</xdr:colOff>
      <xdr:row>103</xdr:row>
      <xdr:rowOff>182217</xdr:rowOff>
    </xdr:from>
    <xdr:to>
      <xdr:col>6</xdr:col>
      <xdr:colOff>556</xdr:colOff>
      <xdr:row>105</xdr:row>
      <xdr:rowOff>60049</xdr:rowOff>
    </xdr:to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0A0E5674-4E19-4041-8352-F98E0A5B7EB5}"/>
            </a:ext>
          </a:extLst>
        </xdr:cNvPr>
        <xdr:cNvSpPr txBox="1"/>
      </xdr:nvSpPr>
      <xdr:spPr>
        <a:xfrm>
          <a:off x="2484782" y="19422717"/>
          <a:ext cx="1432891" cy="2650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Roof Width</a:t>
          </a:r>
          <a:endParaRPr lang="en-US" sz="1100"/>
        </a:p>
      </xdr:txBody>
    </xdr:sp>
    <xdr:clientData/>
  </xdr:twoCellAnchor>
  <xdr:twoCellAnchor>
    <xdr:from>
      <xdr:col>1</xdr:col>
      <xdr:colOff>452782</xdr:colOff>
      <xdr:row>97</xdr:row>
      <xdr:rowOff>100497</xdr:rowOff>
    </xdr:from>
    <xdr:to>
      <xdr:col>2</xdr:col>
      <xdr:colOff>57085</xdr:colOff>
      <xdr:row>102</xdr:row>
      <xdr:rowOff>126175</xdr:rowOff>
    </xdr:to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939304B6-2AF7-4E46-8217-D965A591D763}"/>
            </a:ext>
          </a:extLst>
        </xdr:cNvPr>
        <xdr:cNvSpPr txBox="1"/>
      </xdr:nvSpPr>
      <xdr:spPr>
        <a:xfrm rot="16200000">
          <a:off x="744191" y="18560914"/>
          <a:ext cx="978178" cy="2650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Roof Width</a:t>
          </a:r>
          <a:endParaRPr lang="en-US" sz="1100"/>
        </a:p>
      </xdr:txBody>
    </xdr:sp>
    <xdr:clientData/>
  </xdr:twoCellAnchor>
  <xdr:twoCellAnchor editAs="oneCell">
    <xdr:from>
      <xdr:col>1</xdr:col>
      <xdr:colOff>15240</xdr:colOff>
      <xdr:row>108</xdr:row>
      <xdr:rowOff>129540</xdr:rowOff>
    </xdr:from>
    <xdr:to>
      <xdr:col>8</xdr:col>
      <xdr:colOff>190500</xdr:colOff>
      <xdr:row>117</xdr:row>
      <xdr:rowOff>60960</xdr:rowOff>
    </xdr:to>
    <xdr:pic>
      <xdr:nvPicPr>
        <xdr:cNvPr id="24753" name="Picture 118">
          <a:extLst>
            <a:ext uri="{FF2B5EF4-FFF2-40B4-BE49-F238E27FC236}">
              <a16:creationId xmlns:a16="http://schemas.microsoft.com/office/drawing/2014/main" id="{E0B466CB-C6C0-4ED8-B1FF-1BD5204A9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840" y="19880580"/>
          <a:ext cx="4442460" cy="1577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6</xdr:row>
      <xdr:rowOff>83820</xdr:rowOff>
    </xdr:from>
    <xdr:to>
      <xdr:col>5</xdr:col>
      <xdr:colOff>388620</xdr:colOff>
      <xdr:row>30</xdr:row>
      <xdr:rowOff>91440</xdr:rowOff>
    </xdr:to>
    <xdr:pic>
      <xdr:nvPicPr>
        <xdr:cNvPr id="7195" name="Picture 1">
          <a:extLst>
            <a:ext uri="{FF2B5EF4-FFF2-40B4-BE49-F238E27FC236}">
              <a16:creationId xmlns:a16="http://schemas.microsoft.com/office/drawing/2014/main" id="{E228BA64-34B7-4590-9B3A-9FC7029209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181100"/>
          <a:ext cx="3322320" cy="4396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632460</xdr:colOff>
      <xdr:row>4</xdr:row>
      <xdr:rowOff>144780</xdr:rowOff>
    </xdr:from>
    <xdr:to>
      <xdr:col>1</xdr:col>
      <xdr:colOff>662940</xdr:colOff>
      <xdr:row>16</xdr:row>
      <xdr:rowOff>129540</xdr:rowOff>
    </xdr:to>
    <xdr:grpSp>
      <xdr:nvGrpSpPr>
        <xdr:cNvPr id="1675" name="Group 7">
          <a:extLst>
            <a:ext uri="{FF2B5EF4-FFF2-40B4-BE49-F238E27FC236}">
              <a16:creationId xmlns:a16="http://schemas.microsoft.com/office/drawing/2014/main" id="{D163EA1F-0ABD-45ED-9AB2-B41964692488}"/>
            </a:ext>
          </a:extLst>
        </xdr:cNvPr>
        <xdr:cNvGrpSpPr>
          <a:grpSpLocks/>
        </xdr:cNvGrpSpPr>
      </xdr:nvGrpSpPr>
      <xdr:grpSpPr bwMode="auto">
        <a:xfrm>
          <a:off x="632460" y="876300"/>
          <a:ext cx="647700" cy="2179320"/>
          <a:chOff x="628649" y="914401"/>
          <a:chExt cx="685800" cy="2266949"/>
        </a:xfrm>
      </xdr:grpSpPr>
      <xdr:sp macro="" textlink="">
        <xdr:nvSpPr>
          <xdr:cNvPr id="7" name="Cube 6">
            <a:extLst>
              <a:ext uri="{FF2B5EF4-FFF2-40B4-BE49-F238E27FC236}">
                <a16:creationId xmlns:a16="http://schemas.microsoft.com/office/drawing/2014/main" id="{81ADFB2B-6D21-4A0D-87AE-B87773D34045}"/>
              </a:ext>
            </a:extLst>
          </xdr:cNvPr>
          <xdr:cNvSpPr/>
        </xdr:nvSpPr>
        <xdr:spPr>
          <a:xfrm>
            <a:off x="628649" y="1532660"/>
            <a:ext cx="154305" cy="1648690"/>
          </a:xfrm>
          <a:prstGeom prst="cube">
            <a:avLst>
              <a:gd name="adj" fmla="val 47018"/>
            </a:avLst>
          </a:prstGeom>
          <a:blipFill>
            <a:blip xmlns:r="http://schemas.openxmlformats.org/officeDocument/2006/relationships" r:embed="rId1"/>
            <a:tile tx="0" ty="0" sx="100000" sy="100000" flip="none" algn="tl"/>
          </a:blipFill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4" name="Cube 3">
            <a:extLst>
              <a:ext uri="{FF2B5EF4-FFF2-40B4-BE49-F238E27FC236}">
                <a16:creationId xmlns:a16="http://schemas.microsoft.com/office/drawing/2014/main" id="{C6B056BD-7442-4DD2-9EBC-6C1FA135BD03}"/>
              </a:ext>
            </a:extLst>
          </xdr:cNvPr>
          <xdr:cNvSpPr/>
        </xdr:nvSpPr>
        <xdr:spPr>
          <a:xfrm>
            <a:off x="731519" y="914401"/>
            <a:ext cx="522923" cy="2211464"/>
          </a:xfrm>
          <a:prstGeom prst="cube">
            <a:avLst/>
          </a:prstGeom>
          <a:blipFill>
            <a:blip xmlns:r="http://schemas.openxmlformats.org/officeDocument/2006/relationships" r:embed="rId2"/>
            <a:tile tx="0" ty="0" sx="100000" sy="100000" flip="none" algn="tl"/>
          </a:blipFill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6" name="Cube 5">
            <a:extLst>
              <a:ext uri="{FF2B5EF4-FFF2-40B4-BE49-F238E27FC236}">
                <a16:creationId xmlns:a16="http://schemas.microsoft.com/office/drawing/2014/main" id="{D9667A14-BDF5-431C-B69F-CBE1BD75A983}"/>
              </a:ext>
            </a:extLst>
          </xdr:cNvPr>
          <xdr:cNvSpPr/>
        </xdr:nvSpPr>
        <xdr:spPr>
          <a:xfrm>
            <a:off x="1160144" y="1508881"/>
            <a:ext cx="154305" cy="1648690"/>
          </a:xfrm>
          <a:prstGeom prst="cube">
            <a:avLst>
              <a:gd name="adj" fmla="val 47018"/>
            </a:avLst>
          </a:prstGeom>
          <a:blipFill>
            <a:blip xmlns:r="http://schemas.openxmlformats.org/officeDocument/2006/relationships" r:embed="rId1"/>
            <a:tile tx="0" ty="0" sx="100000" sy="100000" flip="none" algn="tl"/>
          </a:blipFill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5" name="Cube 4">
            <a:extLst>
              <a:ext uri="{FF2B5EF4-FFF2-40B4-BE49-F238E27FC236}">
                <a16:creationId xmlns:a16="http://schemas.microsoft.com/office/drawing/2014/main" id="{7F118B18-244C-4426-A38C-76C6D6D2CEEB}"/>
              </a:ext>
            </a:extLst>
          </xdr:cNvPr>
          <xdr:cNvSpPr/>
        </xdr:nvSpPr>
        <xdr:spPr>
          <a:xfrm>
            <a:off x="628649" y="1596071"/>
            <a:ext cx="600075" cy="1585279"/>
          </a:xfrm>
          <a:prstGeom prst="cube">
            <a:avLst>
              <a:gd name="adj" fmla="val 6250"/>
            </a:avLst>
          </a:prstGeom>
          <a:blipFill>
            <a:blip xmlns:r="http://schemas.openxmlformats.org/officeDocument/2006/relationships" r:embed="rId1"/>
            <a:tile tx="0" ty="0" sx="100000" sy="100000" flip="none" algn="tl"/>
          </a:blipFill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</xdr:grpSp>
    <xdr:clientData/>
  </xdr:twoCellAnchor>
  <xdr:twoCellAnchor>
    <xdr:from>
      <xdr:col>2</xdr:col>
      <xdr:colOff>190500</xdr:colOff>
      <xdr:row>7</xdr:row>
      <xdr:rowOff>165100</xdr:rowOff>
    </xdr:from>
    <xdr:to>
      <xdr:col>2</xdr:col>
      <xdr:colOff>190500</xdr:colOff>
      <xdr:row>16</xdr:row>
      <xdr:rowOff>41275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54BA3B24-F3EB-4415-964E-40C782DA6E68}"/>
            </a:ext>
          </a:extLst>
        </xdr:cNvPr>
        <xdr:cNvCxnSpPr/>
      </xdr:nvCxnSpPr>
      <xdr:spPr>
        <a:xfrm>
          <a:off x="1504950" y="1504950"/>
          <a:ext cx="0" cy="1590675"/>
        </a:xfrm>
        <a:prstGeom prst="straightConnector1">
          <a:avLst/>
        </a:prstGeom>
        <a:ln w="12700">
          <a:solidFill>
            <a:sysClr val="windowText" lastClr="00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176213</xdr:colOff>
      <xdr:row>9</xdr:row>
      <xdr:rowOff>150813</xdr:rowOff>
    </xdr:from>
    <xdr:to>
      <xdr:col>2</xdr:col>
      <xdr:colOff>528638</xdr:colOff>
      <xdr:row>14</xdr:row>
      <xdr:rowOff>150813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759A92E-213F-443A-8A89-1B01C6AC11EA}"/>
            </a:ext>
          </a:extLst>
        </xdr:cNvPr>
        <xdr:cNvSpPr txBox="1"/>
      </xdr:nvSpPr>
      <xdr:spPr>
        <a:xfrm rot="16200000">
          <a:off x="1190626" y="2171700"/>
          <a:ext cx="952500" cy="352425"/>
        </a:xfrm>
        <a:prstGeom prst="rect">
          <a:avLst/>
        </a:prstGeom>
        <a:noFill/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4' OR 2.4M</a:t>
          </a:r>
        </a:p>
      </xdr:txBody>
    </xdr:sp>
    <xdr:clientData/>
  </xdr:twoCellAnchor>
  <xdr:twoCellAnchor>
    <xdr:from>
      <xdr:col>0</xdr:col>
      <xdr:colOff>449580</xdr:colOff>
      <xdr:row>28</xdr:row>
      <xdr:rowOff>0</xdr:rowOff>
    </xdr:from>
    <xdr:to>
      <xdr:col>2</xdr:col>
      <xdr:colOff>152400</xdr:colOff>
      <xdr:row>35</xdr:row>
      <xdr:rowOff>22860</xdr:rowOff>
    </xdr:to>
    <xdr:grpSp>
      <xdr:nvGrpSpPr>
        <xdr:cNvPr id="1678" name="Group 18">
          <a:extLst>
            <a:ext uri="{FF2B5EF4-FFF2-40B4-BE49-F238E27FC236}">
              <a16:creationId xmlns:a16="http://schemas.microsoft.com/office/drawing/2014/main" id="{70496332-9790-4B41-B1F9-CAF1C602DD42}"/>
            </a:ext>
          </a:extLst>
        </xdr:cNvPr>
        <xdr:cNvGrpSpPr>
          <a:grpSpLocks/>
        </xdr:cNvGrpSpPr>
      </xdr:nvGrpSpPr>
      <xdr:grpSpPr bwMode="auto">
        <a:xfrm>
          <a:off x="449580" y="5120640"/>
          <a:ext cx="982980" cy="1303020"/>
          <a:chOff x="1800225" y="885825"/>
          <a:chExt cx="1019175" cy="1362075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5FB77171-70C6-4F60-8972-7C60596C2B0B}"/>
              </a:ext>
            </a:extLst>
          </xdr:cNvPr>
          <xdr:cNvSpPr/>
        </xdr:nvSpPr>
        <xdr:spPr>
          <a:xfrm>
            <a:off x="2221372" y="909721"/>
            <a:ext cx="572760" cy="868223"/>
          </a:xfrm>
          <a:prstGeom prst="rect">
            <a:avLst/>
          </a:prstGeom>
          <a:blipFill>
            <a:blip xmlns:r="http://schemas.openxmlformats.org/officeDocument/2006/relationships" r:embed="rId2"/>
            <a:tile tx="0" ty="0" sx="100000" sy="100000" flip="none" algn="tl"/>
          </a:blipFill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C3FE41DA-51D1-4ED9-9241-89F510001F25}"/>
              </a:ext>
            </a:extLst>
          </xdr:cNvPr>
          <xdr:cNvCxnSpPr/>
        </xdr:nvCxnSpPr>
        <xdr:spPr>
          <a:xfrm>
            <a:off x="2179257" y="1929286"/>
            <a:ext cx="640143" cy="0"/>
          </a:xfrm>
          <a:prstGeom prst="straightConnector1">
            <a:avLst/>
          </a:prstGeom>
          <a:ln>
            <a:solidFill>
              <a:sysClr val="windowText" lastClr="000000"/>
            </a:solidFill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" name="Straight Arrow Connector 15">
            <a:extLst>
              <a:ext uri="{FF2B5EF4-FFF2-40B4-BE49-F238E27FC236}">
                <a16:creationId xmlns:a16="http://schemas.microsoft.com/office/drawing/2014/main" id="{45186FF8-C4A0-428A-A991-23239FE4AB61}"/>
              </a:ext>
            </a:extLst>
          </xdr:cNvPr>
          <xdr:cNvCxnSpPr/>
        </xdr:nvCxnSpPr>
        <xdr:spPr>
          <a:xfrm>
            <a:off x="2120296" y="885825"/>
            <a:ext cx="0" cy="908050"/>
          </a:xfrm>
          <a:prstGeom prst="straightConnector1">
            <a:avLst/>
          </a:prstGeom>
          <a:ln>
            <a:solidFill>
              <a:sysClr val="windowText" lastClr="000000"/>
            </a:solidFill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5C18C441-22CA-4ABB-86D0-9176EA16E593}"/>
              </a:ext>
            </a:extLst>
          </xdr:cNvPr>
          <xdr:cNvSpPr txBox="1"/>
        </xdr:nvSpPr>
        <xdr:spPr>
          <a:xfrm>
            <a:off x="2263486" y="1977078"/>
            <a:ext cx="488530" cy="27082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100"/>
              <a:t>B</a:t>
            </a:r>
          </a:p>
        </xdr:txBody>
      </xdr:sp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9AF8AD58-F5DC-4D21-835E-0BF02AD67C8D}"/>
              </a:ext>
            </a:extLst>
          </xdr:cNvPr>
          <xdr:cNvSpPr txBox="1"/>
        </xdr:nvSpPr>
        <xdr:spPr>
          <a:xfrm>
            <a:off x="1800225" y="1244266"/>
            <a:ext cx="471684" cy="30268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100"/>
              <a:t>D</a:t>
            </a:r>
          </a:p>
        </xdr:txBody>
      </xdr:sp>
    </xdr:grpSp>
    <xdr:clientData/>
  </xdr:twoCellAnchor>
  <xdr:twoCellAnchor>
    <xdr:from>
      <xdr:col>0</xdr:col>
      <xdr:colOff>485775</xdr:colOff>
      <xdr:row>4</xdr:row>
      <xdr:rowOff>136525</xdr:rowOff>
    </xdr:from>
    <xdr:to>
      <xdr:col>0</xdr:col>
      <xdr:colOff>485775</xdr:colOff>
      <xdr:row>16</xdr:row>
      <xdr:rowOff>41275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DB9EA3BD-1F03-476A-8117-D953DA3C442A}"/>
            </a:ext>
          </a:extLst>
        </xdr:cNvPr>
        <xdr:cNvCxnSpPr/>
      </xdr:nvCxnSpPr>
      <xdr:spPr>
        <a:xfrm>
          <a:off x="485775" y="904875"/>
          <a:ext cx="0" cy="2190750"/>
        </a:xfrm>
        <a:prstGeom prst="straightConnector1">
          <a:avLst/>
        </a:prstGeom>
        <a:ln w="12700">
          <a:solidFill>
            <a:sysClr val="windowText" lastClr="00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204790</xdr:colOff>
      <xdr:row>7</xdr:row>
      <xdr:rowOff>11430</xdr:rowOff>
    </xdr:from>
    <xdr:to>
      <xdr:col>0</xdr:col>
      <xdr:colOff>557215</xdr:colOff>
      <xdr:row>13</xdr:row>
      <xdr:rowOff>112771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5F331BE4-C773-4F16-85D0-A0A40C0D3B38}"/>
            </a:ext>
          </a:extLst>
        </xdr:cNvPr>
        <xdr:cNvSpPr txBox="1"/>
      </xdr:nvSpPr>
      <xdr:spPr>
        <a:xfrm rot="16200000">
          <a:off x="-240504" y="1797844"/>
          <a:ext cx="1243014" cy="352425"/>
        </a:xfrm>
        <a:prstGeom prst="rect">
          <a:avLst/>
        </a:prstGeom>
        <a:noFill/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Colum</a:t>
          </a:r>
          <a:r>
            <a:rPr lang="en-US" sz="1100" baseline="0"/>
            <a:t>n Height</a:t>
          </a:r>
          <a:endParaRPr lang="en-US" sz="1100"/>
        </a:p>
      </xdr:txBody>
    </xdr:sp>
    <xdr:clientData/>
  </xdr:twoCellAnchor>
  <xdr:twoCellAnchor>
    <xdr:from>
      <xdr:col>0</xdr:col>
      <xdr:colOff>76200</xdr:colOff>
      <xdr:row>19</xdr:row>
      <xdr:rowOff>167640</xdr:rowOff>
    </xdr:from>
    <xdr:to>
      <xdr:col>4</xdr:col>
      <xdr:colOff>434340</xdr:colOff>
      <xdr:row>24</xdr:row>
      <xdr:rowOff>45720</xdr:rowOff>
    </xdr:to>
    <xdr:grpSp>
      <xdr:nvGrpSpPr>
        <xdr:cNvPr id="1681" name="Group 27">
          <a:extLst>
            <a:ext uri="{FF2B5EF4-FFF2-40B4-BE49-F238E27FC236}">
              <a16:creationId xmlns:a16="http://schemas.microsoft.com/office/drawing/2014/main" id="{CAEF2B86-D38B-4D26-9780-CA20BC1AC5CD}"/>
            </a:ext>
          </a:extLst>
        </xdr:cNvPr>
        <xdr:cNvGrpSpPr>
          <a:grpSpLocks/>
        </xdr:cNvGrpSpPr>
      </xdr:nvGrpSpPr>
      <xdr:grpSpPr bwMode="auto">
        <a:xfrm>
          <a:off x="76200" y="3642360"/>
          <a:ext cx="2964180" cy="792480"/>
          <a:chOff x="380999" y="3838575"/>
          <a:chExt cx="2981325" cy="828675"/>
        </a:xfrm>
      </xdr:grpSpPr>
      <xdr:sp macro="" textlink="">
        <xdr:nvSpPr>
          <xdr:cNvPr id="27" name="Cube 26">
            <a:extLst>
              <a:ext uri="{FF2B5EF4-FFF2-40B4-BE49-F238E27FC236}">
                <a16:creationId xmlns:a16="http://schemas.microsoft.com/office/drawing/2014/main" id="{25A2D8D2-70BF-4468-B505-A193D4E231E5}"/>
              </a:ext>
            </a:extLst>
          </xdr:cNvPr>
          <xdr:cNvSpPr/>
        </xdr:nvSpPr>
        <xdr:spPr>
          <a:xfrm>
            <a:off x="596805" y="3838575"/>
            <a:ext cx="2765519" cy="525890"/>
          </a:xfrm>
          <a:prstGeom prst="cube">
            <a:avLst>
              <a:gd name="adj" fmla="val 8871"/>
            </a:avLst>
          </a:prstGeom>
          <a:blipFill>
            <a:blip xmlns:r="http://schemas.openxmlformats.org/officeDocument/2006/relationships" r:embed="rId1"/>
            <a:tile tx="0" ty="0" sx="100000" sy="100000" flip="none" algn="tl"/>
          </a:blipFill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26" name="Cube 25">
            <a:extLst>
              <a:ext uri="{FF2B5EF4-FFF2-40B4-BE49-F238E27FC236}">
                <a16:creationId xmlns:a16="http://schemas.microsoft.com/office/drawing/2014/main" id="{7BD68F09-A92D-41DF-8101-BD860C60D4A8}"/>
              </a:ext>
            </a:extLst>
          </xdr:cNvPr>
          <xdr:cNvSpPr/>
        </xdr:nvSpPr>
        <xdr:spPr>
          <a:xfrm>
            <a:off x="380999" y="4324625"/>
            <a:ext cx="2965339" cy="342625"/>
          </a:xfrm>
          <a:prstGeom prst="cube">
            <a:avLst>
              <a:gd name="adj" fmla="val 71500"/>
            </a:avLst>
          </a:prstGeom>
          <a:blipFill>
            <a:blip xmlns:r="http://schemas.openxmlformats.org/officeDocument/2006/relationships" r:embed="rId1"/>
            <a:tile tx="0" ty="0" sx="100000" sy="100000" flip="none" algn="tl"/>
          </a:blipFill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23" name="Cube 22">
            <a:extLst>
              <a:ext uri="{FF2B5EF4-FFF2-40B4-BE49-F238E27FC236}">
                <a16:creationId xmlns:a16="http://schemas.microsoft.com/office/drawing/2014/main" id="{5BD54D96-C7AE-4C66-8AC3-02FE85272924}"/>
              </a:ext>
            </a:extLst>
          </xdr:cNvPr>
          <xdr:cNvSpPr/>
        </xdr:nvSpPr>
        <xdr:spPr>
          <a:xfrm>
            <a:off x="460927" y="3886383"/>
            <a:ext cx="2845447" cy="613538"/>
          </a:xfrm>
          <a:prstGeom prst="cube">
            <a:avLst/>
          </a:prstGeom>
          <a:blipFill>
            <a:blip xmlns:r="http://schemas.openxmlformats.org/officeDocument/2006/relationships" r:embed="rId2"/>
            <a:tile tx="0" ty="0" sx="100000" sy="100000" flip="none" algn="tl"/>
          </a:blipFill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25" name="Cube 24">
            <a:extLst>
              <a:ext uri="{FF2B5EF4-FFF2-40B4-BE49-F238E27FC236}">
                <a16:creationId xmlns:a16="http://schemas.microsoft.com/office/drawing/2014/main" id="{91991B81-6FDC-4274-8870-22D7F4E511A0}"/>
              </a:ext>
            </a:extLst>
          </xdr:cNvPr>
          <xdr:cNvSpPr/>
        </xdr:nvSpPr>
        <xdr:spPr>
          <a:xfrm>
            <a:off x="380999" y="4037776"/>
            <a:ext cx="2765519" cy="525890"/>
          </a:xfrm>
          <a:prstGeom prst="cube">
            <a:avLst>
              <a:gd name="adj" fmla="val 8871"/>
            </a:avLst>
          </a:prstGeom>
          <a:blipFill>
            <a:blip xmlns:r="http://schemas.openxmlformats.org/officeDocument/2006/relationships" r:embed="rId1"/>
            <a:tile tx="0" ty="0" sx="100000" sy="100000" flip="none" algn="tl"/>
          </a:blipFill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</xdr:grpSp>
    <xdr:clientData/>
  </xdr:twoCellAnchor>
  <xdr:twoCellAnchor>
    <xdr:from>
      <xdr:col>0</xdr:col>
      <xdr:colOff>85725</xdr:colOff>
      <xdr:row>24</xdr:row>
      <xdr:rowOff>174625</xdr:rowOff>
    </xdr:from>
    <xdr:to>
      <xdr:col>4</xdr:col>
      <xdr:colOff>180975</xdr:colOff>
      <xdr:row>24</xdr:row>
      <xdr:rowOff>174625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6FFE90D5-3AF7-406E-AA8D-ECCD91179246}"/>
            </a:ext>
          </a:extLst>
        </xdr:cNvPr>
        <xdr:cNvCxnSpPr/>
      </xdr:nvCxnSpPr>
      <xdr:spPr>
        <a:xfrm>
          <a:off x="85725" y="4752975"/>
          <a:ext cx="2724150" cy="0"/>
        </a:xfrm>
        <a:prstGeom prst="straightConnector1">
          <a:avLst/>
        </a:prstGeom>
        <a:ln>
          <a:solidFill>
            <a:sysClr val="windowText" lastClr="00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390524</xdr:colOff>
      <xdr:row>25</xdr:row>
      <xdr:rowOff>41275</xdr:rowOff>
    </xdr:from>
    <xdr:to>
      <xdr:col>3</xdr:col>
      <xdr:colOff>478139</xdr:colOff>
      <xdr:row>26</xdr:row>
      <xdr:rowOff>117475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721FE5-D8A7-4E82-9779-832CD47784FB}"/>
            </a:ext>
          </a:extLst>
        </xdr:cNvPr>
        <xdr:cNvSpPr txBox="1"/>
      </xdr:nvSpPr>
      <xdr:spPr>
        <a:xfrm>
          <a:off x="390524" y="4810125"/>
          <a:ext cx="201930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Total Beam Length</a:t>
          </a:r>
        </a:p>
      </xdr:txBody>
    </xdr:sp>
    <xdr:clientData/>
  </xdr:twoCellAnchor>
  <xdr:twoCellAnchor editAs="oneCell">
    <xdr:from>
      <xdr:col>2</xdr:col>
      <xdr:colOff>381000</xdr:colOff>
      <xdr:row>49</xdr:row>
      <xdr:rowOff>76200</xdr:rowOff>
    </xdr:from>
    <xdr:to>
      <xdr:col>8</xdr:col>
      <xdr:colOff>30480</xdr:colOff>
      <xdr:row>61</xdr:row>
      <xdr:rowOff>83820</xdr:rowOff>
    </xdr:to>
    <xdr:pic>
      <xdr:nvPicPr>
        <xdr:cNvPr id="1684" name="Picture 31">
          <a:extLst>
            <a:ext uri="{FF2B5EF4-FFF2-40B4-BE49-F238E27FC236}">
              <a16:creationId xmlns:a16="http://schemas.microsoft.com/office/drawing/2014/main" id="{ABBA8DF9-7A67-42DA-9C1C-AD225D34E1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9037320"/>
          <a:ext cx="3352800" cy="22021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91440</xdr:colOff>
      <xdr:row>85</xdr:row>
      <xdr:rowOff>121920</xdr:rowOff>
    </xdr:from>
    <xdr:to>
      <xdr:col>8</xdr:col>
      <xdr:colOff>15240</xdr:colOff>
      <xdr:row>93</xdr:row>
      <xdr:rowOff>175260</xdr:rowOff>
    </xdr:to>
    <xdr:pic>
      <xdr:nvPicPr>
        <xdr:cNvPr id="1685" name="Picture 32">
          <a:extLst>
            <a:ext uri="{FF2B5EF4-FFF2-40B4-BE49-F238E27FC236}">
              <a16:creationId xmlns:a16="http://schemas.microsoft.com/office/drawing/2014/main" id="{C48B350C-9FE6-4932-BB04-C8D932FA4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040" y="15666720"/>
          <a:ext cx="4236720" cy="1516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419100</xdr:colOff>
      <xdr:row>62</xdr:row>
      <xdr:rowOff>121920</xdr:rowOff>
    </xdr:from>
    <xdr:to>
      <xdr:col>7</xdr:col>
      <xdr:colOff>396240</xdr:colOff>
      <xdr:row>85</xdr:row>
      <xdr:rowOff>0</xdr:rowOff>
    </xdr:to>
    <xdr:pic>
      <xdr:nvPicPr>
        <xdr:cNvPr id="1686" name="Picture 34">
          <a:extLst>
            <a:ext uri="{FF2B5EF4-FFF2-40B4-BE49-F238E27FC236}">
              <a16:creationId xmlns:a16="http://schemas.microsoft.com/office/drawing/2014/main" id="{7ADB8F33-8119-4F0E-869D-9008067AFE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11460480"/>
          <a:ext cx="3680460" cy="40843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view="pageLayout" topLeftCell="A19" workbookViewId="0">
      <selection activeCell="H32" sqref="H32"/>
    </sheetView>
  </sheetViews>
  <sheetFormatPr defaultRowHeight="14.4" x14ac:dyDescent="0.3"/>
  <sheetData>
    <row r="1" spans="1:9" x14ac:dyDescent="0.3">
      <c r="A1" s="298" t="s">
        <v>442</v>
      </c>
      <c r="B1" s="299"/>
      <c r="C1" s="299"/>
      <c r="D1" s="299"/>
      <c r="E1" s="299"/>
      <c r="F1" s="299"/>
      <c r="G1" s="299"/>
      <c r="H1" s="299"/>
      <c r="I1" s="300"/>
    </row>
    <row r="2" spans="1:9" x14ac:dyDescent="0.3">
      <c r="A2" s="304"/>
      <c r="B2" s="305"/>
      <c r="C2" s="305"/>
      <c r="D2" s="305"/>
      <c r="E2" s="305"/>
      <c r="F2" s="305"/>
      <c r="G2" s="305"/>
      <c r="H2" s="305"/>
      <c r="I2" s="306"/>
    </row>
    <row r="3" spans="1:9" ht="15" thickBot="1" x14ac:dyDescent="0.35">
      <c r="A3" s="301" t="s">
        <v>30</v>
      </c>
      <c r="B3" s="302"/>
      <c r="C3" s="302"/>
      <c r="D3" s="302"/>
      <c r="E3" s="302"/>
      <c r="F3" s="302"/>
      <c r="G3" s="302"/>
      <c r="H3" s="302"/>
      <c r="I3" s="303"/>
    </row>
    <row r="4" spans="1:9" x14ac:dyDescent="0.3">
      <c r="A4" s="61" t="s">
        <v>60</v>
      </c>
      <c r="B4" s="61"/>
      <c r="C4" s="61"/>
    </row>
    <row r="5" spans="1:9" ht="15" thickBot="1" x14ac:dyDescent="0.35">
      <c r="A5" s="1" t="s">
        <v>0</v>
      </c>
    </row>
    <row r="6" spans="1:9" x14ac:dyDescent="0.3">
      <c r="A6" s="12" t="s">
        <v>1</v>
      </c>
      <c r="B6" s="13"/>
      <c r="C6" s="13"/>
      <c r="D6" s="13"/>
      <c r="E6" s="14" t="s">
        <v>14</v>
      </c>
      <c r="F6" s="13"/>
      <c r="G6" s="15" t="s">
        <v>2</v>
      </c>
      <c r="H6" s="13"/>
      <c r="I6" s="16"/>
    </row>
    <row r="7" spans="1:9" x14ac:dyDescent="0.3">
      <c r="A7" s="17"/>
      <c r="B7" s="18"/>
      <c r="C7" s="18"/>
      <c r="D7" s="18"/>
      <c r="E7" s="18"/>
      <c r="F7" s="18"/>
      <c r="G7" s="31" t="s">
        <v>23</v>
      </c>
      <c r="H7" s="18"/>
      <c r="I7" s="19"/>
    </row>
    <row r="8" spans="1:9" x14ac:dyDescent="0.3">
      <c r="A8" s="17"/>
      <c r="B8" s="18"/>
      <c r="C8" s="18"/>
      <c r="D8" s="18"/>
      <c r="E8" s="18"/>
      <c r="F8" s="69" t="s">
        <v>10</v>
      </c>
      <c r="G8" s="2" t="s">
        <v>3</v>
      </c>
      <c r="H8" s="248">
        <v>1.5</v>
      </c>
      <c r="I8" s="41" t="s">
        <v>8</v>
      </c>
    </row>
    <row r="9" spans="1:9" x14ac:dyDescent="0.3">
      <c r="A9" s="17"/>
      <c r="B9" s="18"/>
      <c r="C9" s="18"/>
      <c r="D9" s="18"/>
      <c r="E9" s="18"/>
      <c r="F9" s="69" t="s">
        <v>9</v>
      </c>
      <c r="G9" s="2" t="s">
        <v>4</v>
      </c>
      <c r="H9" s="248">
        <v>1.5</v>
      </c>
      <c r="I9" s="41" t="s">
        <v>8</v>
      </c>
    </row>
    <row r="10" spans="1:9" x14ac:dyDescent="0.3">
      <c r="A10" s="17"/>
      <c r="B10" s="18"/>
      <c r="C10" s="18"/>
      <c r="D10" s="18"/>
      <c r="E10" s="18"/>
      <c r="F10" s="69" t="s">
        <v>11</v>
      </c>
      <c r="G10" s="2" t="s">
        <v>5</v>
      </c>
      <c r="H10" s="249">
        <v>0.3</v>
      </c>
      <c r="I10" s="41" t="s">
        <v>8</v>
      </c>
    </row>
    <row r="11" spans="1:9" x14ac:dyDescent="0.3">
      <c r="A11" s="17"/>
      <c r="B11" s="18"/>
      <c r="C11" s="18"/>
      <c r="D11" s="18"/>
      <c r="E11" s="18"/>
      <c r="F11" s="18"/>
      <c r="G11" s="6" t="s">
        <v>6</v>
      </c>
      <c r="H11" s="11">
        <f>H8*H9*H10</f>
        <v>0.67499999999999993</v>
      </c>
      <c r="I11" s="21" t="s">
        <v>7</v>
      </c>
    </row>
    <row r="12" spans="1:9" x14ac:dyDescent="0.3">
      <c r="A12" s="17"/>
      <c r="B12" s="18"/>
      <c r="C12" s="18"/>
      <c r="D12" s="18"/>
      <c r="E12" s="18"/>
      <c r="F12" s="69" t="s">
        <v>12</v>
      </c>
      <c r="G12" s="2" t="s">
        <v>13</v>
      </c>
      <c r="H12" s="250">
        <v>10</v>
      </c>
      <c r="I12" s="20" t="s">
        <v>13</v>
      </c>
    </row>
    <row r="13" spans="1:9" x14ac:dyDescent="0.3">
      <c r="A13" s="17"/>
      <c r="B13" s="18"/>
      <c r="C13" s="18"/>
      <c r="D13" s="18"/>
      <c r="E13" s="18"/>
      <c r="F13" s="18"/>
      <c r="G13" s="6" t="s">
        <v>6</v>
      </c>
      <c r="H13" s="11">
        <f>H12*H11</f>
        <v>6.7499999999999991</v>
      </c>
      <c r="I13" s="21" t="s">
        <v>7</v>
      </c>
    </row>
    <row r="14" spans="1:9" x14ac:dyDescent="0.3">
      <c r="A14" s="17"/>
      <c r="B14" s="18"/>
      <c r="C14" s="18"/>
      <c r="D14" s="18"/>
      <c r="E14" s="18"/>
      <c r="F14" s="9" t="s">
        <v>19</v>
      </c>
      <c r="G14" s="10" t="s">
        <v>22</v>
      </c>
      <c r="H14" s="22">
        <f>ROUNDUP((H13*9),0)</f>
        <v>61</v>
      </c>
      <c r="I14" s="23" t="s">
        <v>22</v>
      </c>
    </row>
    <row r="15" spans="1:9" x14ac:dyDescent="0.3">
      <c r="A15" s="17"/>
      <c r="B15" s="18"/>
      <c r="C15" s="18"/>
      <c r="D15" s="18"/>
      <c r="E15" s="18"/>
      <c r="F15" s="24" t="s">
        <v>20</v>
      </c>
      <c r="G15" s="10" t="s">
        <v>7</v>
      </c>
      <c r="H15" s="59">
        <f>ROUNDUP((H13*0.5),1)</f>
        <v>3.4</v>
      </c>
      <c r="I15" s="37" t="s">
        <v>7</v>
      </c>
    </row>
    <row r="16" spans="1:9" ht="15" thickBot="1" x14ac:dyDescent="0.35">
      <c r="A16" s="25"/>
      <c r="B16" s="26"/>
      <c r="C16" s="26"/>
      <c r="D16" s="26"/>
      <c r="E16" s="26"/>
      <c r="F16" s="27" t="s">
        <v>21</v>
      </c>
      <c r="G16" s="28" t="s">
        <v>7</v>
      </c>
      <c r="H16" s="60">
        <f>ROUNDUP((H13*1),1)</f>
        <v>6.8</v>
      </c>
      <c r="I16" s="39" t="s">
        <v>7</v>
      </c>
    </row>
    <row r="17" spans="1:9" ht="15" thickBot="1" x14ac:dyDescent="0.35">
      <c r="A17" s="18"/>
      <c r="B17" s="18"/>
      <c r="C17" s="18"/>
      <c r="D17" s="18"/>
      <c r="E17" s="18"/>
      <c r="F17" s="9"/>
      <c r="G17" s="72"/>
      <c r="H17" s="294"/>
      <c r="I17" s="294"/>
    </row>
    <row r="18" spans="1:9" x14ac:dyDescent="0.3">
      <c r="A18" s="12" t="s">
        <v>15</v>
      </c>
      <c r="B18" s="13"/>
      <c r="C18" s="13"/>
      <c r="D18" s="13"/>
      <c r="E18" s="13"/>
      <c r="F18" s="13"/>
      <c r="G18" s="13"/>
      <c r="H18" s="13"/>
      <c r="I18" s="16"/>
    </row>
    <row r="19" spans="1:9" x14ac:dyDescent="0.3">
      <c r="A19" s="17"/>
      <c r="B19" s="18"/>
      <c r="C19" s="18"/>
      <c r="D19" s="18"/>
      <c r="E19" s="18"/>
      <c r="F19" s="18"/>
      <c r="G19" s="18"/>
      <c r="H19" s="18"/>
      <c r="I19" s="19"/>
    </row>
    <row r="20" spans="1:9" x14ac:dyDescent="0.3">
      <c r="A20" s="17"/>
      <c r="B20" s="18"/>
      <c r="C20" s="18"/>
      <c r="D20" s="18"/>
      <c r="E20" s="18"/>
      <c r="F20" s="18"/>
      <c r="G20" s="18"/>
      <c r="H20" s="18"/>
      <c r="I20" s="19"/>
    </row>
    <row r="21" spans="1:9" x14ac:dyDescent="0.3">
      <c r="A21" s="17"/>
      <c r="B21" s="18"/>
      <c r="C21" s="18"/>
      <c r="D21" s="18"/>
      <c r="E21" s="18"/>
      <c r="F21" s="18"/>
      <c r="G21" s="18"/>
      <c r="H21" s="18"/>
      <c r="I21" s="19"/>
    </row>
    <row r="22" spans="1:9" x14ac:dyDescent="0.3">
      <c r="A22" s="17"/>
      <c r="B22" s="18"/>
      <c r="C22" s="18"/>
      <c r="D22" s="18"/>
      <c r="E22" s="18"/>
      <c r="F22" s="18"/>
      <c r="G22" s="18"/>
      <c r="H22" s="18"/>
      <c r="I22" s="19"/>
    </row>
    <row r="23" spans="1:9" x14ac:dyDescent="0.3">
      <c r="A23" s="17"/>
      <c r="B23" s="18"/>
      <c r="C23" s="18"/>
      <c r="D23" s="18"/>
      <c r="E23" s="18"/>
      <c r="F23" s="18"/>
      <c r="G23" s="18"/>
      <c r="H23" s="18"/>
      <c r="I23" s="19"/>
    </row>
    <row r="24" spans="1:9" x14ac:dyDescent="0.3">
      <c r="A24" s="17"/>
      <c r="B24" s="18"/>
      <c r="C24" s="18"/>
      <c r="D24" s="18"/>
      <c r="E24" s="18"/>
      <c r="F24" s="18"/>
      <c r="G24" s="18"/>
      <c r="H24" s="18"/>
      <c r="I24" s="19"/>
    </row>
    <row r="25" spans="1:9" x14ac:dyDescent="0.3">
      <c r="A25" s="17"/>
      <c r="B25" s="18"/>
      <c r="C25" s="18"/>
      <c r="D25" s="18"/>
      <c r="E25" s="18"/>
      <c r="F25" s="18"/>
      <c r="G25" s="18"/>
      <c r="H25" s="18"/>
      <c r="I25" s="19"/>
    </row>
    <row r="26" spans="1:9" x14ac:dyDescent="0.3">
      <c r="A26" s="17"/>
      <c r="B26" s="18"/>
      <c r="C26" s="18"/>
      <c r="D26" s="18"/>
      <c r="E26" s="18"/>
      <c r="F26" s="18"/>
      <c r="G26" s="18"/>
      <c r="H26" s="18"/>
      <c r="I26" s="19"/>
    </row>
    <row r="27" spans="1:9" x14ac:dyDescent="0.3">
      <c r="A27" s="17"/>
      <c r="B27" s="18"/>
      <c r="C27" s="18"/>
      <c r="D27" s="18"/>
      <c r="E27" s="29" t="s">
        <v>14</v>
      </c>
      <c r="F27" s="18"/>
      <c r="G27" s="30" t="s">
        <v>2</v>
      </c>
      <c r="H27" s="18"/>
      <c r="I27" s="19"/>
    </row>
    <row r="28" spans="1:9" x14ac:dyDescent="0.3">
      <c r="A28" s="17"/>
      <c r="B28" s="18"/>
      <c r="C28" s="18"/>
      <c r="D28" s="18"/>
      <c r="E28" s="18"/>
      <c r="F28" s="18"/>
      <c r="G28" s="31" t="s">
        <v>23</v>
      </c>
      <c r="H28" s="18"/>
      <c r="I28" s="19"/>
    </row>
    <row r="29" spans="1:9" x14ac:dyDescent="0.3">
      <c r="A29" s="17"/>
      <c r="B29" s="18"/>
      <c r="C29" s="18"/>
      <c r="D29" s="18"/>
      <c r="E29" s="18"/>
      <c r="F29" s="69" t="s">
        <v>10</v>
      </c>
      <c r="G29" s="2" t="s">
        <v>16</v>
      </c>
      <c r="H29" s="248">
        <v>18</v>
      </c>
      <c r="I29" s="41" t="s">
        <v>8</v>
      </c>
    </row>
    <row r="30" spans="1:9" x14ac:dyDescent="0.3">
      <c r="A30" s="17"/>
      <c r="B30" s="18"/>
      <c r="C30" s="18"/>
      <c r="D30" s="18"/>
      <c r="E30" s="18"/>
      <c r="F30" s="69" t="s">
        <v>9</v>
      </c>
      <c r="G30" s="2" t="s">
        <v>4</v>
      </c>
      <c r="H30" s="248">
        <v>0.6</v>
      </c>
      <c r="I30" s="41" t="s">
        <v>8</v>
      </c>
    </row>
    <row r="31" spans="1:9" x14ac:dyDescent="0.3">
      <c r="A31" s="17"/>
      <c r="B31" s="18"/>
      <c r="C31" s="18"/>
      <c r="D31" s="18"/>
      <c r="E31" s="18"/>
      <c r="F31" s="69" t="s">
        <v>11</v>
      </c>
      <c r="G31" s="2" t="s">
        <v>5</v>
      </c>
      <c r="H31" s="249">
        <v>0.2</v>
      </c>
      <c r="I31" s="41" t="s">
        <v>8</v>
      </c>
    </row>
    <row r="32" spans="1:9" x14ac:dyDescent="0.3">
      <c r="A32" s="17"/>
      <c r="B32" s="18"/>
      <c r="C32" s="18"/>
      <c r="D32" s="18"/>
      <c r="E32" s="18"/>
      <c r="F32" s="18"/>
      <c r="G32" s="6" t="s">
        <v>6</v>
      </c>
      <c r="H32" s="11">
        <f>H29*H30*H31</f>
        <v>2.1599999999999997</v>
      </c>
      <c r="I32" s="21" t="s">
        <v>7</v>
      </c>
    </row>
    <row r="33" spans="1:9" x14ac:dyDescent="0.3">
      <c r="A33" s="17"/>
      <c r="B33" s="18"/>
      <c r="C33" s="18"/>
      <c r="D33" s="18"/>
      <c r="E33" s="18"/>
      <c r="F33" s="9" t="s">
        <v>19</v>
      </c>
      <c r="G33" s="10" t="s">
        <v>22</v>
      </c>
      <c r="H33" s="22">
        <f>ROUNDUP((H32*9),0)</f>
        <v>20</v>
      </c>
      <c r="I33" s="23" t="s">
        <v>22</v>
      </c>
    </row>
    <row r="34" spans="1:9" x14ac:dyDescent="0.3">
      <c r="A34" s="17"/>
      <c r="B34" s="18"/>
      <c r="C34" s="18"/>
      <c r="D34" s="18"/>
      <c r="E34" s="18"/>
      <c r="F34" s="24" t="s">
        <v>20</v>
      </c>
      <c r="G34" s="10" t="s">
        <v>7</v>
      </c>
      <c r="H34" s="59">
        <f>ROUNDUP((H32*0.5),1)</f>
        <v>1.1000000000000001</v>
      </c>
      <c r="I34" s="37" t="s">
        <v>7</v>
      </c>
    </row>
    <row r="35" spans="1:9" ht="15" thickBot="1" x14ac:dyDescent="0.35">
      <c r="A35" s="25"/>
      <c r="B35" s="26"/>
      <c r="C35" s="26"/>
      <c r="D35" s="26"/>
      <c r="E35" s="26"/>
      <c r="F35" s="27" t="s">
        <v>21</v>
      </c>
      <c r="G35" s="28" t="s">
        <v>7</v>
      </c>
      <c r="H35" s="60">
        <f>ROUNDUP((H32*1),1)</f>
        <v>2.2000000000000002</v>
      </c>
      <c r="I35" s="39" t="s">
        <v>7</v>
      </c>
    </row>
    <row r="36" spans="1:9" ht="15" thickBot="1" x14ac:dyDescent="0.35"/>
    <row r="37" spans="1:9" x14ac:dyDescent="0.3">
      <c r="A37" s="12" t="s">
        <v>17</v>
      </c>
      <c r="B37" s="13"/>
      <c r="C37" s="13"/>
      <c r="D37" s="13"/>
      <c r="E37" s="14" t="s">
        <v>14</v>
      </c>
      <c r="F37" s="13"/>
      <c r="G37" s="15" t="s">
        <v>2</v>
      </c>
      <c r="H37" s="13"/>
      <c r="I37" s="16"/>
    </row>
    <row r="38" spans="1:9" x14ac:dyDescent="0.3">
      <c r="A38" s="17"/>
      <c r="B38" s="18"/>
      <c r="C38" s="18"/>
      <c r="D38" s="18"/>
      <c r="E38" s="18"/>
      <c r="F38" s="18"/>
      <c r="G38" s="31" t="s">
        <v>23</v>
      </c>
      <c r="H38" s="18"/>
      <c r="I38" s="19"/>
    </row>
    <row r="39" spans="1:9" x14ac:dyDescent="0.3">
      <c r="A39" s="17"/>
      <c r="B39" s="18"/>
      <c r="C39" s="18"/>
      <c r="D39" s="18"/>
      <c r="E39" s="18"/>
      <c r="F39" s="69" t="s">
        <v>10</v>
      </c>
      <c r="G39" s="2" t="s">
        <v>18</v>
      </c>
      <c r="H39" s="248">
        <v>4</v>
      </c>
      <c r="I39" s="41" t="s">
        <v>8</v>
      </c>
    </row>
    <row r="40" spans="1:9" x14ac:dyDescent="0.3">
      <c r="A40" s="17"/>
      <c r="B40" s="18"/>
      <c r="C40" s="18"/>
      <c r="D40" s="18"/>
      <c r="E40" s="18"/>
      <c r="F40" s="69" t="s">
        <v>9</v>
      </c>
      <c r="G40" s="2" t="s">
        <v>4</v>
      </c>
      <c r="H40" s="248">
        <v>5</v>
      </c>
      <c r="I40" s="41" t="s">
        <v>8</v>
      </c>
    </row>
    <row r="41" spans="1:9" x14ac:dyDescent="0.3">
      <c r="A41" s="17"/>
      <c r="B41" s="18"/>
      <c r="C41" s="18"/>
      <c r="D41" s="18"/>
      <c r="E41" s="18"/>
      <c r="F41" s="69" t="s">
        <v>11</v>
      </c>
      <c r="G41" s="2" t="s">
        <v>5</v>
      </c>
      <c r="H41" s="248">
        <v>0.1</v>
      </c>
      <c r="I41" s="41" t="s">
        <v>8</v>
      </c>
    </row>
    <row r="42" spans="1:9" x14ac:dyDescent="0.3">
      <c r="A42" s="17"/>
      <c r="B42" s="18"/>
      <c r="C42" s="18"/>
      <c r="D42" s="18"/>
      <c r="E42" s="18"/>
      <c r="F42" s="265" t="s">
        <v>445</v>
      </c>
      <c r="G42" s="267" t="s">
        <v>446</v>
      </c>
      <c r="H42" s="260" t="s">
        <v>508</v>
      </c>
      <c r="I42" s="2" t="str">
        <f>IF(H42="A"," 1:2:4 ",IF(H42="AA"," 1:1.5:3 ",IF(H42="B","1:3:6 ","AA,AorB")))</f>
        <v xml:space="preserve"> 1:2:4 </v>
      </c>
    </row>
    <row r="43" spans="1:9" x14ac:dyDescent="0.3">
      <c r="A43" s="17"/>
      <c r="B43" s="18"/>
      <c r="C43" s="18"/>
      <c r="D43" s="18"/>
      <c r="E43" s="18"/>
      <c r="F43" s="18"/>
      <c r="G43" s="269">
        <f>IF(H42="AA",12,IF(H42="A",9,IF(H42="B",7.5,"ERROR")))</f>
        <v>9</v>
      </c>
      <c r="H43" s="269">
        <v>0.5</v>
      </c>
      <c r="I43" s="270">
        <v>1</v>
      </c>
    </row>
    <row r="44" spans="1:9" x14ac:dyDescent="0.3">
      <c r="A44" s="17"/>
      <c r="B44" s="18"/>
      <c r="C44" s="18"/>
      <c r="D44" s="18"/>
      <c r="E44" s="18"/>
      <c r="F44" s="18"/>
      <c r="G44" s="6" t="s">
        <v>6</v>
      </c>
      <c r="H44" s="11">
        <f>H39*H40*H41</f>
        <v>2</v>
      </c>
      <c r="I44" s="21" t="s">
        <v>7</v>
      </c>
    </row>
    <row r="45" spans="1:9" x14ac:dyDescent="0.3">
      <c r="A45" s="17"/>
      <c r="B45" s="18"/>
      <c r="C45" s="18"/>
      <c r="D45" s="18"/>
      <c r="E45" s="18"/>
      <c r="F45" s="9" t="s">
        <v>19</v>
      </c>
      <c r="G45" s="10" t="s">
        <v>22</v>
      </c>
      <c r="H45" s="22">
        <f>ROUNDUP((G43*H44),0)</f>
        <v>18</v>
      </c>
      <c r="I45" s="23" t="s">
        <v>22</v>
      </c>
    </row>
    <row r="46" spans="1:9" x14ac:dyDescent="0.3">
      <c r="A46" s="17"/>
      <c r="B46" s="18"/>
      <c r="C46" s="18"/>
      <c r="D46" s="18"/>
      <c r="E46" s="18"/>
      <c r="F46" s="24" t="s">
        <v>20</v>
      </c>
      <c r="G46" s="10" t="s">
        <v>7</v>
      </c>
      <c r="H46" s="22">
        <f>ROUNDUP((H44*H43),1)</f>
        <v>1</v>
      </c>
      <c r="I46" s="37" t="s">
        <v>7</v>
      </c>
    </row>
    <row r="47" spans="1:9" ht="15" thickBot="1" x14ac:dyDescent="0.35">
      <c r="A47" s="25"/>
      <c r="B47" s="26"/>
      <c r="C47" s="26"/>
      <c r="D47" s="26"/>
      <c r="E47" s="26"/>
      <c r="F47" s="27" t="s">
        <v>21</v>
      </c>
      <c r="G47" s="28" t="s">
        <v>7</v>
      </c>
      <c r="H47" s="38">
        <f>ROUNDUP((H44*I43),1)</f>
        <v>2</v>
      </c>
      <c r="I47" s="39" t="s">
        <v>7</v>
      </c>
    </row>
    <row r="48" spans="1:9" x14ac:dyDescent="0.3">
      <c r="A48" s="297"/>
      <c r="B48" s="297"/>
      <c r="C48" s="297"/>
      <c r="D48" s="297"/>
      <c r="E48" s="297"/>
      <c r="F48" s="297"/>
      <c r="G48" s="297"/>
      <c r="H48" s="297"/>
      <c r="I48" s="297"/>
    </row>
    <row r="49" spans="1:9" ht="15" thickBot="1" x14ac:dyDescent="0.35"/>
    <row r="50" spans="1:9" x14ac:dyDescent="0.3">
      <c r="A50" s="12" t="s">
        <v>48</v>
      </c>
      <c r="B50" s="13"/>
      <c r="C50" s="13"/>
      <c r="D50" s="13"/>
      <c r="E50" s="13"/>
      <c r="F50" s="13"/>
      <c r="G50" s="13"/>
      <c r="H50" s="13"/>
      <c r="I50" s="16"/>
    </row>
    <row r="51" spans="1:9" x14ac:dyDescent="0.3">
      <c r="A51" s="17"/>
      <c r="B51" s="18"/>
      <c r="C51" s="18"/>
      <c r="D51" s="18"/>
      <c r="E51" s="29" t="s">
        <v>14</v>
      </c>
      <c r="F51" s="18"/>
      <c r="G51" s="30" t="s">
        <v>44</v>
      </c>
      <c r="H51" s="18"/>
      <c r="I51" s="19"/>
    </row>
    <row r="52" spans="1:9" x14ac:dyDescent="0.3">
      <c r="A52" s="17"/>
      <c r="B52" s="18"/>
      <c r="C52" s="18"/>
      <c r="D52" s="18"/>
      <c r="E52" s="18"/>
      <c r="F52" s="18"/>
      <c r="G52" s="31" t="s">
        <v>23</v>
      </c>
      <c r="H52" s="18"/>
      <c r="I52" s="19"/>
    </row>
    <row r="53" spans="1:9" x14ac:dyDescent="0.3">
      <c r="A53" s="17"/>
      <c r="B53" s="18"/>
      <c r="C53" s="18"/>
      <c r="D53" s="18"/>
      <c r="E53" s="18"/>
      <c r="F53" s="69" t="s">
        <v>45</v>
      </c>
      <c r="G53" s="2" t="s">
        <v>46</v>
      </c>
      <c r="H53" s="248">
        <v>20</v>
      </c>
      <c r="I53" s="41" t="s">
        <v>47</v>
      </c>
    </row>
    <row r="54" spans="1:9" x14ac:dyDescent="0.3">
      <c r="A54" s="17"/>
      <c r="B54" s="18"/>
      <c r="C54" s="18"/>
      <c r="D54" s="18"/>
      <c r="E54" s="7"/>
      <c r="F54" s="69" t="s">
        <v>11</v>
      </c>
      <c r="G54" s="2" t="s">
        <v>5</v>
      </c>
      <c r="H54" s="248">
        <v>0.1</v>
      </c>
      <c r="I54" s="41" t="s">
        <v>8</v>
      </c>
    </row>
    <row r="55" spans="1:9" x14ac:dyDescent="0.3">
      <c r="A55" s="17"/>
      <c r="B55" s="18"/>
      <c r="C55" s="18"/>
      <c r="D55" s="18"/>
      <c r="E55" s="18"/>
      <c r="F55" s="265" t="s">
        <v>445</v>
      </c>
      <c r="G55" s="267" t="s">
        <v>446</v>
      </c>
      <c r="H55" s="260" t="s">
        <v>447</v>
      </c>
      <c r="I55" s="271" t="str">
        <f>IF(H55="A"," 1:2:4 ",IF(H55="AA"," 1:1.5:3 ",IF(H55="B","1:3:6 ","AA,AorB")))</f>
        <v xml:space="preserve">1:3:6 </v>
      </c>
    </row>
    <row r="56" spans="1:9" x14ac:dyDescent="0.3">
      <c r="A56" s="17"/>
      <c r="B56" s="18"/>
      <c r="C56" s="18"/>
      <c r="D56" s="18"/>
      <c r="E56" s="18"/>
      <c r="F56" s="18"/>
      <c r="G56" s="6" t="s">
        <v>6</v>
      </c>
      <c r="H56" s="53">
        <f>H54*H53</f>
        <v>2</v>
      </c>
      <c r="I56" s="98" t="s">
        <v>7</v>
      </c>
    </row>
    <row r="57" spans="1:9" x14ac:dyDescent="0.3">
      <c r="A57" s="17"/>
      <c r="B57" s="18"/>
      <c r="C57" s="18"/>
      <c r="D57" s="18"/>
      <c r="E57" s="18"/>
      <c r="F57" s="9" t="s">
        <v>19</v>
      </c>
      <c r="G57" s="10" t="s">
        <v>22</v>
      </c>
      <c r="H57" s="22">
        <f>ROUNDUP((H56*A59),0)</f>
        <v>15</v>
      </c>
      <c r="I57" s="23" t="s">
        <v>22</v>
      </c>
    </row>
    <row r="58" spans="1:9" x14ac:dyDescent="0.3">
      <c r="A58" s="17"/>
      <c r="B58" s="18"/>
      <c r="C58" s="18"/>
      <c r="D58" s="18"/>
      <c r="E58" s="18"/>
      <c r="F58" s="24" t="s">
        <v>20</v>
      </c>
      <c r="G58" s="10" t="s">
        <v>7</v>
      </c>
      <c r="H58" s="22">
        <f>ROUNDUP((H56*B59),1)</f>
        <v>1</v>
      </c>
      <c r="I58" s="37" t="s">
        <v>7</v>
      </c>
    </row>
    <row r="59" spans="1:9" ht="15" thickBot="1" x14ac:dyDescent="0.35">
      <c r="A59" s="272">
        <f>IF(H55="AA",12,IF(H55="A",9,IF(H55="B",7.5,"ERROR")))</f>
        <v>7.5</v>
      </c>
      <c r="B59" s="273">
        <v>0.5</v>
      </c>
      <c r="C59" s="273">
        <v>1</v>
      </c>
      <c r="D59" s="26"/>
      <c r="E59" s="26"/>
      <c r="F59" s="27" t="s">
        <v>21</v>
      </c>
      <c r="G59" s="28" t="s">
        <v>7</v>
      </c>
      <c r="H59" s="38">
        <f>ROUNDUP((H56*C59),1)</f>
        <v>2</v>
      </c>
      <c r="I59" s="39" t="s">
        <v>7</v>
      </c>
    </row>
    <row r="60" spans="1:9" ht="15" thickBot="1" x14ac:dyDescent="0.35"/>
    <row r="61" spans="1:9" x14ac:dyDescent="0.3">
      <c r="A61" s="12" t="s">
        <v>24</v>
      </c>
      <c r="B61" s="13"/>
      <c r="C61" s="13"/>
      <c r="D61" s="13" t="s">
        <v>27</v>
      </c>
      <c r="E61" s="13"/>
      <c r="F61" s="13"/>
      <c r="G61" s="13"/>
      <c r="H61" s="13"/>
      <c r="I61" s="16"/>
    </row>
    <row r="62" spans="1:9" x14ac:dyDescent="0.3">
      <c r="A62" s="46" t="s">
        <v>31</v>
      </c>
      <c r="B62" s="18"/>
      <c r="C62" s="18"/>
      <c r="D62" s="18"/>
      <c r="E62" s="18"/>
      <c r="F62" s="18"/>
      <c r="G62" s="18"/>
      <c r="H62" s="18"/>
      <c r="I62" s="19"/>
    </row>
    <row r="63" spans="1:9" x14ac:dyDescent="0.3">
      <c r="A63" s="17"/>
      <c r="B63" s="18"/>
      <c r="C63" s="18"/>
      <c r="D63" s="18"/>
      <c r="E63" s="18"/>
      <c r="F63" s="18"/>
      <c r="G63" s="5" t="s">
        <v>25</v>
      </c>
      <c r="H63" s="142">
        <v>0.4</v>
      </c>
      <c r="I63" s="40" t="s">
        <v>8</v>
      </c>
    </row>
    <row r="64" spans="1:9" x14ac:dyDescent="0.3">
      <c r="A64" s="17"/>
      <c r="B64" s="18"/>
      <c r="C64" s="18"/>
      <c r="D64" s="18"/>
      <c r="E64" s="18"/>
      <c r="F64" s="18"/>
      <c r="G64" s="5" t="s">
        <v>26</v>
      </c>
      <c r="H64" s="142">
        <v>0.4</v>
      </c>
      <c r="I64" s="40" t="s">
        <v>8</v>
      </c>
    </row>
    <row r="65" spans="1:9" x14ac:dyDescent="0.3">
      <c r="A65" s="17"/>
      <c r="B65" s="18"/>
      <c r="C65" s="18"/>
      <c r="D65" s="18"/>
      <c r="E65" s="18"/>
      <c r="F65" s="18"/>
      <c r="G65" s="18"/>
      <c r="H65" s="18"/>
      <c r="I65" s="19"/>
    </row>
    <row r="66" spans="1:9" x14ac:dyDescent="0.3">
      <c r="A66" s="17"/>
      <c r="B66" s="18"/>
      <c r="C66" s="18"/>
      <c r="D66" s="18"/>
      <c r="E66" s="18"/>
      <c r="F66" s="18"/>
      <c r="G66" s="18"/>
      <c r="H66" s="18"/>
      <c r="I66" s="19"/>
    </row>
    <row r="67" spans="1:9" x14ac:dyDescent="0.3">
      <c r="A67" s="17"/>
      <c r="B67" s="18"/>
      <c r="C67" s="18"/>
      <c r="D67" s="18"/>
      <c r="E67" s="29" t="s">
        <v>14</v>
      </c>
      <c r="F67" s="18"/>
      <c r="G67" s="30" t="s">
        <v>34</v>
      </c>
      <c r="H67" s="18"/>
      <c r="I67" s="19"/>
    </row>
    <row r="68" spans="1:9" x14ac:dyDescent="0.3">
      <c r="A68" s="17"/>
      <c r="B68" s="18"/>
      <c r="C68" s="18"/>
      <c r="D68" s="18"/>
      <c r="E68" s="18"/>
      <c r="F68" s="18"/>
      <c r="G68" s="31" t="s">
        <v>23</v>
      </c>
      <c r="H68" s="18"/>
      <c r="I68" s="19"/>
    </row>
    <row r="69" spans="1:9" x14ac:dyDescent="0.3">
      <c r="A69" s="17"/>
      <c r="B69" s="18"/>
      <c r="C69" s="18"/>
      <c r="D69" s="18"/>
      <c r="E69" s="18"/>
      <c r="F69" s="69" t="s">
        <v>29</v>
      </c>
      <c r="G69" s="2" t="s">
        <v>3</v>
      </c>
      <c r="H69" s="248">
        <v>4</v>
      </c>
      <c r="I69" s="41" t="s">
        <v>8</v>
      </c>
    </row>
    <row r="70" spans="1:9" x14ac:dyDescent="0.3">
      <c r="A70" s="17"/>
      <c r="B70" s="18"/>
      <c r="C70" s="18"/>
      <c r="D70" s="18"/>
      <c r="E70" s="18"/>
      <c r="F70" s="18"/>
      <c r="G70" s="35" t="s">
        <v>443</v>
      </c>
      <c r="H70" s="11">
        <f>H69*H64*H63</f>
        <v>0.64000000000000012</v>
      </c>
      <c r="I70" s="21" t="s">
        <v>7</v>
      </c>
    </row>
    <row r="71" spans="1:9" x14ac:dyDescent="0.3">
      <c r="A71" s="17"/>
      <c r="B71" s="18"/>
      <c r="C71" s="18"/>
      <c r="D71" s="18"/>
      <c r="E71" s="18"/>
      <c r="F71" s="69" t="s">
        <v>28</v>
      </c>
      <c r="G71" s="2" t="s">
        <v>13</v>
      </c>
      <c r="H71" s="248">
        <v>10</v>
      </c>
      <c r="I71" s="41" t="s">
        <v>13</v>
      </c>
    </row>
    <row r="72" spans="1:9" x14ac:dyDescent="0.3">
      <c r="A72" s="17"/>
      <c r="B72" s="18"/>
      <c r="C72" s="18"/>
      <c r="D72" s="18"/>
      <c r="E72" s="18"/>
      <c r="F72" s="18"/>
      <c r="G72" s="35" t="s">
        <v>6</v>
      </c>
      <c r="H72" s="11">
        <f>H71*H70</f>
        <v>6.4000000000000012</v>
      </c>
      <c r="I72" s="21" t="s">
        <v>7</v>
      </c>
    </row>
    <row r="73" spans="1:9" x14ac:dyDescent="0.3">
      <c r="A73" s="17"/>
      <c r="B73" s="18"/>
      <c r="C73" s="18"/>
      <c r="D73" s="18"/>
      <c r="E73" s="18"/>
      <c r="F73" s="9" t="s">
        <v>19</v>
      </c>
      <c r="G73" s="10" t="s">
        <v>22</v>
      </c>
      <c r="H73" s="36">
        <f>ROUNDUP((H72*9),0)</f>
        <v>58</v>
      </c>
      <c r="I73" s="42" t="s">
        <v>22</v>
      </c>
    </row>
    <row r="74" spans="1:9" x14ac:dyDescent="0.3">
      <c r="A74" s="17"/>
      <c r="B74" s="18"/>
      <c r="C74" s="18"/>
      <c r="D74" s="18"/>
      <c r="E74" s="18"/>
      <c r="F74" s="24" t="s">
        <v>20</v>
      </c>
      <c r="G74" s="10" t="s">
        <v>7</v>
      </c>
      <c r="H74" s="36">
        <f>ROUNDUP((H72*0.5),1)</f>
        <v>3.2</v>
      </c>
      <c r="I74" s="43" t="s">
        <v>7</v>
      </c>
    </row>
    <row r="75" spans="1:9" x14ac:dyDescent="0.3">
      <c r="A75" s="17"/>
      <c r="B75" s="18"/>
      <c r="C75" s="18"/>
      <c r="D75" s="18"/>
      <c r="E75" s="18"/>
      <c r="F75" s="9" t="s">
        <v>21</v>
      </c>
      <c r="G75" s="10" t="s">
        <v>7</v>
      </c>
      <c r="H75" s="36">
        <f>ROUNDUP((H72*1),1)</f>
        <v>6.4</v>
      </c>
      <c r="I75" s="43" t="s">
        <v>7</v>
      </c>
    </row>
    <row r="76" spans="1:9" ht="15" thickBot="1" x14ac:dyDescent="0.35">
      <c r="A76" s="25"/>
      <c r="B76" s="26"/>
      <c r="C76" s="26"/>
      <c r="D76" s="26"/>
      <c r="E76" s="26"/>
      <c r="F76" s="26"/>
      <c r="G76" s="26"/>
      <c r="H76" s="26"/>
      <c r="I76" s="44"/>
    </row>
    <row r="77" spans="1:9" ht="15" thickBot="1" x14ac:dyDescent="0.35"/>
    <row r="78" spans="1:9" x14ac:dyDescent="0.3">
      <c r="A78" s="12" t="s">
        <v>24</v>
      </c>
      <c r="B78" s="13"/>
      <c r="C78" s="13"/>
      <c r="D78" s="13" t="s">
        <v>27</v>
      </c>
      <c r="E78" s="13"/>
      <c r="F78" s="13"/>
      <c r="G78" s="13"/>
      <c r="H78" s="13"/>
      <c r="I78" s="16"/>
    </row>
    <row r="79" spans="1:9" x14ac:dyDescent="0.3">
      <c r="A79" s="46" t="s">
        <v>37</v>
      </c>
      <c r="B79" s="18"/>
      <c r="C79" s="18"/>
      <c r="D79" s="18"/>
      <c r="E79" s="18"/>
      <c r="F79" s="18"/>
      <c r="G79" s="18"/>
      <c r="H79" s="18"/>
      <c r="I79" s="19"/>
    </row>
    <row r="80" spans="1:9" x14ac:dyDescent="0.3">
      <c r="A80" s="17"/>
      <c r="B80" s="18"/>
      <c r="C80" s="18"/>
      <c r="D80" s="18"/>
      <c r="E80" s="18"/>
      <c r="F80" s="18"/>
      <c r="G80" s="5" t="s">
        <v>32</v>
      </c>
      <c r="H80" s="142">
        <v>0.4</v>
      </c>
      <c r="I80" s="40" t="s">
        <v>8</v>
      </c>
    </row>
    <row r="81" spans="1:9" x14ac:dyDescent="0.3">
      <c r="A81" s="17"/>
      <c r="B81" s="18"/>
      <c r="C81" s="18"/>
      <c r="D81" s="18"/>
      <c r="E81" s="18"/>
      <c r="F81" s="18"/>
      <c r="G81" s="49"/>
      <c r="H81" s="50"/>
      <c r="I81" s="51"/>
    </row>
    <row r="82" spans="1:9" x14ac:dyDescent="0.3">
      <c r="A82" s="17"/>
      <c r="B82" s="18"/>
      <c r="C82" s="18"/>
      <c r="D82" s="18"/>
      <c r="E82" s="18"/>
      <c r="F82" s="18"/>
      <c r="G82" s="47" t="s">
        <v>36</v>
      </c>
      <c r="H82" s="33">
        <f>(3.1416*H80*H80)/4</f>
        <v>0.125664</v>
      </c>
      <c r="I82" s="23" t="s">
        <v>33</v>
      </c>
    </row>
    <row r="83" spans="1:9" x14ac:dyDescent="0.3">
      <c r="A83" s="17"/>
      <c r="B83" s="18"/>
      <c r="C83" s="18"/>
      <c r="D83" s="18"/>
      <c r="E83" s="18"/>
      <c r="F83" s="18"/>
      <c r="G83" s="7"/>
      <c r="H83" s="7"/>
      <c r="I83" s="48"/>
    </row>
    <row r="84" spans="1:9" x14ac:dyDescent="0.3">
      <c r="A84" s="17"/>
      <c r="B84" s="18"/>
      <c r="C84" s="18"/>
      <c r="D84" s="18"/>
      <c r="E84" s="29" t="s">
        <v>14</v>
      </c>
      <c r="F84" s="18"/>
      <c r="G84" s="30" t="s">
        <v>35</v>
      </c>
      <c r="H84" s="18"/>
      <c r="I84" s="19"/>
    </row>
    <row r="85" spans="1:9" x14ac:dyDescent="0.3">
      <c r="A85" s="17"/>
      <c r="B85" s="18"/>
      <c r="C85" s="18"/>
      <c r="D85" s="18"/>
      <c r="E85" s="18"/>
      <c r="F85" s="18"/>
      <c r="G85" s="31" t="s">
        <v>23</v>
      </c>
      <c r="H85" s="18"/>
      <c r="I85" s="19"/>
    </row>
    <row r="86" spans="1:9" x14ac:dyDescent="0.3">
      <c r="A86" s="17"/>
      <c r="B86" s="18"/>
      <c r="C86" s="18"/>
      <c r="D86" s="18"/>
      <c r="E86" s="18"/>
      <c r="F86" s="69" t="s">
        <v>29</v>
      </c>
      <c r="G86" s="2" t="s">
        <v>3</v>
      </c>
      <c r="H86" s="32">
        <v>3</v>
      </c>
      <c r="I86" s="41" t="s">
        <v>8</v>
      </c>
    </row>
    <row r="87" spans="1:9" x14ac:dyDescent="0.3">
      <c r="A87" s="17"/>
      <c r="B87" s="18"/>
      <c r="C87" s="18"/>
      <c r="D87" s="18"/>
      <c r="E87" s="18"/>
      <c r="F87" s="18"/>
      <c r="G87" s="264" t="s">
        <v>444</v>
      </c>
      <c r="H87" s="11">
        <f>H86*H82</f>
        <v>0.37699199999999999</v>
      </c>
      <c r="I87" s="21" t="s">
        <v>7</v>
      </c>
    </row>
    <row r="88" spans="1:9" x14ac:dyDescent="0.3">
      <c r="A88" s="17"/>
      <c r="B88" s="18"/>
      <c r="C88" s="18"/>
      <c r="D88" s="18"/>
      <c r="E88" s="18"/>
      <c r="F88" s="69" t="s">
        <v>28</v>
      </c>
      <c r="G88" s="2" t="s">
        <v>13</v>
      </c>
      <c r="H88" s="248">
        <v>10</v>
      </c>
      <c r="I88" s="41" t="s">
        <v>13</v>
      </c>
    </row>
    <row r="89" spans="1:9" x14ac:dyDescent="0.3">
      <c r="A89" s="17"/>
      <c r="B89" s="18"/>
      <c r="C89" s="18"/>
      <c r="D89" s="18"/>
      <c r="E89" s="18"/>
      <c r="F89" s="18"/>
      <c r="G89" s="35" t="s">
        <v>6</v>
      </c>
      <c r="H89" s="11">
        <f>H88*H87</f>
        <v>3.7699199999999999</v>
      </c>
      <c r="I89" s="21" t="s">
        <v>7</v>
      </c>
    </row>
    <row r="90" spans="1:9" x14ac:dyDescent="0.3">
      <c r="A90" s="17"/>
      <c r="B90" s="18"/>
      <c r="C90" s="18"/>
      <c r="D90" s="18"/>
      <c r="E90" s="18"/>
      <c r="F90" s="9" t="s">
        <v>19</v>
      </c>
      <c r="G90" s="10" t="s">
        <v>22</v>
      </c>
      <c r="H90" s="36">
        <f>ROUNDUP((H89*9),0)</f>
        <v>34</v>
      </c>
      <c r="I90" s="42" t="s">
        <v>22</v>
      </c>
    </row>
    <row r="91" spans="1:9" x14ac:dyDescent="0.3">
      <c r="A91" s="17"/>
      <c r="B91" s="18"/>
      <c r="C91" s="18"/>
      <c r="D91" s="18"/>
      <c r="E91" s="18"/>
      <c r="F91" s="24" t="s">
        <v>20</v>
      </c>
      <c r="G91" s="10" t="s">
        <v>7</v>
      </c>
      <c r="H91" s="36">
        <f>ROUNDUP((H89*0.5),1)</f>
        <v>1.9000000000000001</v>
      </c>
      <c r="I91" s="43" t="s">
        <v>7</v>
      </c>
    </row>
    <row r="92" spans="1:9" x14ac:dyDescent="0.3">
      <c r="A92" s="17"/>
      <c r="B92" s="18"/>
      <c r="C92" s="18"/>
      <c r="D92" s="18"/>
      <c r="E92" s="18"/>
      <c r="F92" s="9" t="s">
        <v>21</v>
      </c>
      <c r="G92" s="10" t="s">
        <v>7</v>
      </c>
      <c r="H92" s="36">
        <f>ROUNDUP((H89*1),1)</f>
        <v>3.8000000000000003</v>
      </c>
      <c r="I92" s="43" t="s">
        <v>7</v>
      </c>
    </row>
    <row r="93" spans="1:9" ht="15" thickBot="1" x14ac:dyDescent="0.35">
      <c r="A93" s="25"/>
      <c r="B93" s="26"/>
      <c r="C93" s="26"/>
      <c r="D93" s="26"/>
      <c r="E93" s="26"/>
      <c r="F93" s="26"/>
      <c r="G93" s="26"/>
      <c r="H93" s="26"/>
      <c r="I93" s="44"/>
    </row>
    <row r="94" spans="1:9" ht="15" thickBot="1" x14ac:dyDescent="0.35">
      <c r="A94" s="18"/>
      <c r="B94" s="18"/>
      <c r="C94" s="18"/>
      <c r="D94" s="18"/>
      <c r="E94" s="18"/>
      <c r="F94" s="18"/>
      <c r="G94" s="18"/>
      <c r="H94" s="18"/>
      <c r="I94" s="18"/>
    </row>
    <row r="95" spans="1:9" x14ac:dyDescent="0.3">
      <c r="A95" s="297"/>
      <c r="B95" s="297"/>
      <c r="C95" s="297"/>
      <c r="D95" s="297"/>
      <c r="E95" s="297"/>
      <c r="F95" s="297"/>
      <c r="G95" s="297"/>
      <c r="H95" s="297"/>
      <c r="I95" s="297"/>
    </row>
    <row r="96" spans="1:9" ht="15" thickBot="1" x14ac:dyDescent="0.35"/>
    <row r="97" spans="1:9" x14ac:dyDescent="0.3">
      <c r="A97" s="52"/>
      <c r="B97" s="13"/>
      <c r="C97" s="13"/>
      <c r="D97" s="13"/>
      <c r="E97" s="13"/>
      <c r="F97" s="13"/>
      <c r="G97" s="13"/>
      <c r="H97" s="13"/>
      <c r="I97" s="16"/>
    </row>
    <row r="98" spans="1:9" x14ac:dyDescent="0.3">
      <c r="A98" s="45" t="s">
        <v>38</v>
      </c>
      <c r="B98" s="18"/>
      <c r="C98" s="18"/>
      <c r="D98" s="18"/>
      <c r="E98" s="18"/>
      <c r="F98" s="18"/>
      <c r="G98" s="18"/>
      <c r="H98" s="18"/>
      <c r="I98" s="19"/>
    </row>
    <row r="99" spans="1:9" x14ac:dyDescent="0.3">
      <c r="A99" s="17"/>
      <c r="B99" s="18"/>
      <c r="C99" s="18"/>
      <c r="D99" s="18"/>
      <c r="E99" s="18"/>
      <c r="F99" s="18"/>
      <c r="G99" s="18"/>
      <c r="H99" s="18"/>
      <c r="I99" s="19"/>
    </row>
    <row r="100" spans="1:9" x14ac:dyDescent="0.3">
      <c r="A100" s="17"/>
      <c r="B100" s="18"/>
      <c r="C100" s="18"/>
      <c r="D100" s="18"/>
      <c r="E100" s="29" t="s">
        <v>14</v>
      </c>
      <c r="F100" s="18"/>
      <c r="G100" s="30" t="s">
        <v>43</v>
      </c>
      <c r="H100" s="18"/>
      <c r="I100" s="19"/>
    </row>
    <row r="101" spans="1:9" x14ac:dyDescent="0.3">
      <c r="A101" s="17"/>
      <c r="B101" s="18"/>
      <c r="C101" s="18"/>
      <c r="D101" s="18"/>
      <c r="E101" s="18"/>
      <c r="F101" s="18"/>
      <c r="G101" s="31" t="s">
        <v>23</v>
      </c>
      <c r="H101" s="18"/>
      <c r="I101" s="19"/>
    </row>
    <row r="102" spans="1:9" x14ac:dyDescent="0.3">
      <c r="A102" s="17"/>
      <c r="B102" s="18"/>
      <c r="C102" s="18"/>
      <c r="D102" s="18"/>
      <c r="E102" s="18"/>
      <c r="F102" s="69" t="s">
        <v>42</v>
      </c>
      <c r="G102" s="2" t="s">
        <v>16</v>
      </c>
      <c r="H102" s="248">
        <v>20</v>
      </c>
      <c r="I102" s="41" t="s">
        <v>8</v>
      </c>
    </row>
    <row r="103" spans="1:9" x14ac:dyDescent="0.3">
      <c r="A103" s="17"/>
      <c r="B103" s="18"/>
      <c r="C103" s="18"/>
      <c r="D103" s="18"/>
      <c r="E103" s="18"/>
      <c r="F103" s="69" t="s">
        <v>9</v>
      </c>
      <c r="G103" s="2" t="s">
        <v>4</v>
      </c>
      <c r="H103" s="248">
        <v>0.25</v>
      </c>
      <c r="I103" s="41" t="s">
        <v>8</v>
      </c>
    </row>
    <row r="104" spans="1:9" x14ac:dyDescent="0.3">
      <c r="A104" s="17" t="s">
        <v>39</v>
      </c>
      <c r="B104" s="18"/>
      <c r="C104" s="18"/>
      <c r="D104" s="18"/>
      <c r="E104" s="18"/>
      <c r="F104" s="69" t="s">
        <v>40</v>
      </c>
      <c r="G104" s="2" t="s">
        <v>41</v>
      </c>
      <c r="H104" s="248">
        <v>0.4</v>
      </c>
      <c r="I104" s="41" t="s">
        <v>8</v>
      </c>
    </row>
    <row r="105" spans="1:9" x14ac:dyDescent="0.3">
      <c r="A105" s="17"/>
      <c r="B105" s="18"/>
      <c r="C105" s="18"/>
      <c r="D105" s="18"/>
      <c r="E105" s="18"/>
      <c r="F105" s="18"/>
      <c r="G105" s="35" t="s">
        <v>6</v>
      </c>
      <c r="H105" s="11">
        <f>H102*H103*H104</f>
        <v>2</v>
      </c>
      <c r="I105" s="21" t="s">
        <v>7</v>
      </c>
    </row>
    <row r="106" spans="1:9" x14ac:dyDescent="0.3">
      <c r="A106" s="17"/>
      <c r="B106" s="18"/>
      <c r="C106" s="18"/>
      <c r="D106" s="18"/>
      <c r="E106" s="18"/>
      <c r="F106" s="9" t="s">
        <v>19</v>
      </c>
      <c r="G106" s="10" t="s">
        <v>22</v>
      </c>
      <c r="H106" s="36">
        <f>ROUNDUP((H105*9),0)</f>
        <v>18</v>
      </c>
      <c r="I106" s="42" t="s">
        <v>22</v>
      </c>
    </row>
    <row r="107" spans="1:9" x14ac:dyDescent="0.3">
      <c r="A107" s="17"/>
      <c r="B107" s="18"/>
      <c r="C107" s="18"/>
      <c r="D107" s="18"/>
      <c r="E107" s="18"/>
      <c r="F107" s="24" t="s">
        <v>20</v>
      </c>
      <c r="G107" s="10" t="s">
        <v>7</v>
      </c>
      <c r="H107" s="36">
        <f>ROUNDUP((H105*0.5),1)</f>
        <v>1</v>
      </c>
      <c r="I107" s="55" t="s">
        <v>7</v>
      </c>
    </row>
    <row r="108" spans="1:9" x14ac:dyDescent="0.3">
      <c r="A108" s="17"/>
      <c r="B108" s="18"/>
      <c r="C108" s="18"/>
      <c r="D108" s="18"/>
      <c r="E108" s="18"/>
      <c r="F108" s="9" t="s">
        <v>21</v>
      </c>
      <c r="G108" s="10" t="s">
        <v>7</v>
      </c>
      <c r="H108" s="36">
        <f>ROUNDUP((H105*1),1)</f>
        <v>2</v>
      </c>
      <c r="I108" s="55" t="s">
        <v>7</v>
      </c>
    </row>
    <row r="109" spans="1:9" ht="15" thickBot="1" x14ac:dyDescent="0.35">
      <c r="A109" s="25"/>
      <c r="B109" s="26"/>
      <c r="C109" s="26"/>
      <c r="D109" s="26"/>
      <c r="E109" s="26"/>
      <c r="F109" s="26"/>
      <c r="G109" s="26"/>
      <c r="H109" s="26"/>
      <c r="I109" s="44"/>
    </row>
    <row r="110" spans="1:9" ht="15" thickBot="1" x14ac:dyDescent="0.35"/>
    <row r="111" spans="1:9" x14ac:dyDescent="0.3">
      <c r="A111" s="12" t="s">
        <v>49</v>
      </c>
      <c r="B111" s="13"/>
      <c r="C111" s="13"/>
      <c r="D111" s="13"/>
      <c r="E111" s="13"/>
      <c r="F111" s="13"/>
      <c r="G111" s="13"/>
      <c r="H111" s="13"/>
      <c r="I111" s="16"/>
    </row>
    <row r="112" spans="1:9" x14ac:dyDescent="0.3">
      <c r="A112" s="17"/>
      <c r="B112" s="18"/>
      <c r="C112" s="18"/>
      <c r="D112" s="18"/>
      <c r="E112" s="18"/>
      <c r="F112" s="18"/>
      <c r="G112" s="18"/>
      <c r="H112" s="18"/>
      <c r="I112" s="19"/>
    </row>
    <row r="113" spans="1:9" x14ac:dyDescent="0.3">
      <c r="A113" s="17"/>
      <c r="B113" s="18"/>
      <c r="C113" s="18"/>
      <c r="D113" s="18"/>
      <c r="E113" s="18"/>
      <c r="F113" s="69" t="s">
        <v>50</v>
      </c>
      <c r="G113" s="2" t="s">
        <v>55</v>
      </c>
      <c r="H113" s="248">
        <v>0.2</v>
      </c>
      <c r="I113" s="41" t="s">
        <v>8</v>
      </c>
    </row>
    <row r="114" spans="1:9" x14ac:dyDescent="0.3">
      <c r="A114" s="17"/>
      <c r="B114" s="18"/>
      <c r="C114" s="18"/>
      <c r="D114" s="18"/>
      <c r="E114" s="18"/>
      <c r="F114" s="69" t="s">
        <v>51</v>
      </c>
      <c r="G114" s="2" t="s">
        <v>56</v>
      </c>
      <c r="H114" s="248">
        <v>0.3</v>
      </c>
      <c r="I114" s="41" t="s">
        <v>8</v>
      </c>
    </row>
    <row r="115" spans="1:9" x14ac:dyDescent="0.3">
      <c r="A115" s="17"/>
      <c r="B115" s="18"/>
      <c r="C115" s="18"/>
      <c r="D115" s="18"/>
      <c r="E115" s="18"/>
      <c r="F115" s="69" t="s">
        <v>52</v>
      </c>
      <c r="G115" s="2" t="s">
        <v>4</v>
      </c>
      <c r="H115" s="249">
        <v>1</v>
      </c>
      <c r="I115" s="41" t="s">
        <v>8</v>
      </c>
    </row>
    <row r="116" spans="1:9" x14ac:dyDescent="0.3">
      <c r="A116" s="17"/>
      <c r="B116" s="18"/>
      <c r="C116" s="18"/>
      <c r="D116" s="18"/>
      <c r="E116" s="18"/>
      <c r="F116" s="69" t="s">
        <v>53</v>
      </c>
      <c r="G116" s="2" t="s">
        <v>57</v>
      </c>
      <c r="H116" s="249">
        <v>17</v>
      </c>
      <c r="I116" s="41" t="s">
        <v>59</v>
      </c>
    </row>
    <row r="117" spans="1:9" x14ac:dyDescent="0.3">
      <c r="A117" s="17"/>
      <c r="B117" s="18"/>
      <c r="C117" s="18"/>
      <c r="D117" s="18"/>
      <c r="E117" s="18"/>
      <c r="F117" s="69" t="s">
        <v>54</v>
      </c>
      <c r="G117" s="2" t="s">
        <v>58</v>
      </c>
      <c r="H117" s="248">
        <v>0.15</v>
      </c>
      <c r="I117" s="41" t="s">
        <v>8</v>
      </c>
    </row>
    <row r="118" spans="1:9" x14ac:dyDescent="0.3">
      <c r="A118" s="17"/>
      <c r="B118" s="18"/>
      <c r="C118" s="18"/>
      <c r="D118" s="18"/>
      <c r="E118" s="18"/>
      <c r="F118" s="18"/>
      <c r="G118" s="18"/>
      <c r="H118" s="18"/>
      <c r="I118" s="19"/>
    </row>
    <row r="119" spans="1:9" x14ac:dyDescent="0.3">
      <c r="A119" s="17"/>
      <c r="B119" s="18"/>
      <c r="C119" s="18"/>
      <c r="D119" s="18"/>
      <c r="E119" s="18"/>
      <c r="F119" s="56">
        <f>((H113*H114/2)*H115)*H116</f>
        <v>0.51</v>
      </c>
      <c r="G119" s="56">
        <f>(SQRT((H114*H114)+(H113*H113)))*H116*H115*H117</f>
        <v>0.9194155752433173</v>
      </c>
      <c r="H119" s="56">
        <f>G119+F119</f>
        <v>1.4294155752433173</v>
      </c>
      <c r="I119" s="19"/>
    </row>
    <row r="120" spans="1:9" x14ac:dyDescent="0.3">
      <c r="A120" s="17"/>
      <c r="B120" s="18"/>
      <c r="C120" s="18"/>
      <c r="D120" s="18"/>
      <c r="E120" s="18"/>
      <c r="F120" s="18"/>
      <c r="G120" s="18"/>
      <c r="H120" s="18"/>
      <c r="I120" s="19"/>
    </row>
    <row r="121" spans="1:9" x14ac:dyDescent="0.3">
      <c r="A121" s="17"/>
      <c r="B121" s="18"/>
      <c r="C121" s="18"/>
      <c r="D121" s="18"/>
      <c r="E121" s="18"/>
      <c r="F121" s="18"/>
      <c r="G121" s="35" t="s">
        <v>6</v>
      </c>
      <c r="H121" s="11">
        <f>H119</f>
        <v>1.4294155752433173</v>
      </c>
      <c r="I121" s="21" t="s">
        <v>7</v>
      </c>
    </row>
    <row r="122" spans="1:9" x14ac:dyDescent="0.3">
      <c r="A122" s="17"/>
      <c r="B122" s="18"/>
      <c r="C122" s="18"/>
      <c r="D122" s="18"/>
      <c r="E122" s="18"/>
      <c r="F122" s="9" t="s">
        <v>19</v>
      </c>
      <c r="G122" s="10" t="s">
        <v>22</v>
      </c>
      <c r="H122" s="36">
        <f>ROUNDUP((H121*9),0)</f>
        <v>13</v>
      </c>
      <c r="I122" s="42" t="s">
        <v>22</v>
      </c>
    </row>
    <row r="123" spans="1:9" x14ac:dyDescent="0.3">
      <c r="A123" s="17"/>
      <c r="B123" s="18"/>
      <c r="C123" s="18"/>
      <c r="D123" s="18"/>
      <c r="E123" s="18"/>
      <c r="F123" s="24" t="s">
        <v>20</v>
      </c>
      <c r="G123" s="10" t="s">
        <v>7</v>
      </c>
      <c r="H123" s="36">
        <f>ROUNDUP((H121*0.5),1)</f>
        <v>0.79999999999999993</v>
      </c>
      <c r="I123" s="42" t="s">
        <v>7</v>
      </c>
    </row>
    <row r="124" spans="1:9" ht="15" thickBot="1" x14ac:dyDescent="0.35">
      <c r="A124" s="25"/>
      <c r="B124" s="26"/>
      <c r="C124" s="26"/>
      <c r="D124" s="26"/>
      <c r="E124" s="26"/>
      <c r="F124" s="27" t="s">
        <v>21</v>
      </c>
      <c r="G124" s="28" t="s">
        <v>7</v>
      </c>
      <c r="H124" s="57">
        <f>ROUNDUP((H121*1),1)</f>
        <v>1.5</v>
      </c>
      <c r="I124" s="58" t="s">
        <v>7</v>
      </c>
    </row>
    <row r="142" spans="2:4" x14ac:dyDescent="0.3">
      <c r="B142" s="4"/>
      <c r="C142" s="4"/>
      <c r="D142" s="4"/>
    </row>
    <row r="143" spans="2:4" x14ac:dyDescent="0.3">
      <c r="B143" s="4"/>
      <c r="C143" s="4"/>
      <c r="D143" s="4"/>
    </row>
    <row r="144" spans="2:4" x14ac:dyDescent="0.3">
      <c r="B144" s="4"/>
      <c r="C144" s="4"/>
      <c r="D144" s="4"/>
    </row>
    <row r="145" spans="2:4" x14ac:dyDescent="0.3">
      <c r="B145" s="4"/>
      <c r="C145" s="4"/>
      <c r="D145" s="4"/>
    </row>
    <row r="146" spans="2:4" x14ac:dyDescent="0.3">
      <c r="B146" s="4"/>
      <c r="C146" s="4"/>
      <c r="D146" s="4"/>
    </row>
    <row r="147" spans="2:4" x14ac:dyDescent="0.3">
      <c r="B147" s="4"/>
      <c r="C147" s="4"/>
      <c r="D147" s="4"/>
    </row>
    <row r="148" spans="2:4" x14ac:dyDescent="0.3">
      <c r="B148" s="4"/>
      <c r="C148" s="4"/>
      <c r="D148" s="4"/>
    </row>
    <row r="149" spans="2:4" x14ac:dyDescent="0.3">
      <c r="B149" s="4"/>
      <c r="C149" s="4"/>
      <c r="D149" s="4"/>
    </row>
    <row r="150" spans="2:4" x14ac:dyDescent="0.3">
      <c r="B150" s="4"/>
      <c r="C150" s="4"/>
      <c r="D150" s="4"/>
    </row>
    <row r="151" spans="2:4" x14ac:dyDescent="0.3">
      <c r="B151" s="4"/>
      <c r="C151" s="4"/>
      <c r="D151" s="4"/>
    </row>
  </sheetData>
  <mergeCells count="3">
    <mergeCell ref="A1:I1"/>
    <mergeCell ref="A3:I3"/>
    <mergeCell ref="A2:I2"/>
  </mergeCells>
  <pageMargins left="0.7" right="0.7" top="0.75" bottom="0.75" header="0.3" footer="0.3"/>
  <pageSetup orientation="portrait" r:id="rId1"/>
  <headerFooter>
    <oddFooter>&amp;LBASED ON MAX FAJARDO - SIMPLIFIED CONSTRUCTION ESTIMATE HANDBOOK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6"/>
  <sheetViews>
    <sheetView view="pageLayout" topLeftCell="A31" workbookViewId="0">
      <selection activeCell="H24" sqref="H24"/>
    </sheetView>
  </sheetViews>
  <sheetFormatPr defaultRowHeight="14.4" x14ac:dyDescent="0.3"/>
  <cols>
    <col min="8" max="8" width="9.5546875" bestFit="1" customWidth="1"/>
  </cols>
  <sheetData>
    <row r="1" spans="1:9" ht="15" thickBot="1" x14ac:dyDescent="0.35">
      <c r="A1" s="309"/>
      <c r="B1" s="309"/>
      <c r="C1" s="309"/>
      <c r="D1" s="309"/>
      <c r="E1" s="309"/>
      <c r="F1" s="309"/>
      <c r="G1" s="309"/>
      <c r="H1" s="309"/>
      <c r="I1" s="309"/>
    </row>
    <row r="2" spans="1:9" x14ac:dyDescent="0.3">
      <c r="A2" s="64" t="s">
        <v>61</v>
      </c>
      <c r="B2" s="65"/>
      <c r="C2" s="65"/>
      <c r="D2" s="13"/>
      <c r="E2" s="13"/>
      <c r="F2" s="13"/>
      <c r="G2" s="13"/>
      <c r="H2" s="13"/>
      <c r="I2" s="16"/>
    </row>
    <row r="3" spans="1:9" x14ac:dyDescent="0.3">
      <c r="A3" s="45" t="s">
        <v>62</v>
      </c>
      <c r="B3" s="18"/>
      <c r="C3" s="18"/>
      <c r="D3" s="18"/>
      <c r="E3" s="18"/>
      <c r="F3" s="18"/>
      <c r="G3" s="18"/>
      <c r="H3" s="18"/>
      <c r="I3" s="19"/>
    </row>
    <row r="4" spans="1:9" x14ac:dyDescent="0.3">
      <c r="A4" s="45" t="s">
        <v>78</v>
      </c>
      <c r="B4" s="18"/>
      <c r="C4" s="18"/>
      <c r="D4" s="18"/>
      <c r="E4" s="18"/>
      <c r="F4" s="18"/>
      <c r="G4" s="18"/>
      <c r="H4" s="18"/>
      <c r="I4" s="19"/>
    </row>
    <row r="5" spans="1:9" x14ac:dyDescent="0.3">
      <c r="A5" s="17"/>
      <c r="B5" s="18"/>
      <c r="C5" s="18"/>
      <c r="D5" s="18"/>
      <c r="E5" s="18"/>
      <c r="F5" s="69" t="s">
        <v>63</v>
      </c>
      <c r="G5" s="2" t="s">
        <v>68</v>
      </c>
      <c r="H5" s="248">
        <v>4.5</v>
      </c>
      <c r="I5" s="41" t="s">
        <v>8</v>
      </c>
    </row>
    <row r="6" spans="1:9" x14ac:dyDescent="0.3">
      <c r="A6" s="17"/>
      <c r="B6" s="18"/>
      <c r="C6" s="18"/>
      <c r="D6" s="18"/>
      <c r="E6" s="18"/>
      <c r="F6" s="69" t="s">
        <v>69</v>
      </c>
      <c r="G6" s="2" t="s">
        <v>3</v>
      </c>
      <c r="H6" s="248">
        <v>37</v>
      </c>
      <c r="I6" s="41" t="s">
        <v>8</v>
      </c>
    </row>
    <row r="7" spans="1:9" x14ac:dyDescent="0.3">
      <c r="A7" s="17"/>
      <c r="B7" s="18"/>
      <c r="C7" s="18"/>
      <c r="D7" s="18"/>
      <c r="E7" s="18"/>
      <c r="F7" s="69" t="s">
        <v>64</v>
      </c>
      <c r="G7" s="2" t="s">
        <v>67</v>
      </c>
      <c r="H7" s="249"/>
      <c r="I7" s="41" t="s">
        <v>47</v>
      </c>
    </row>
    <row r="8" spans="1:9" x14ac:dyDescent="0.3">
      <c r="A8" s="17"/>
      <c r="B8" s="18"/>
      <c r="C8" s="18"/>
      <c r="D8" s="18"/>
      <c r="E8" s="18"/>
      <c r="F8" s="69" t="s">
        <v>65</v>
      </c>
      <c r="G8" s="2" t="s">
        <v>66</v>
      </c>
      <c r="H8" s="248">
        <v>0</v>
      </c>
      <c r="I8" s="41" t="s">
        <v>33</v>
      </c>
    </row>
    <row r="9" spans="1:9" x14ac:dyDescent="0.3">
      <c r="A9" s="17"/>
      <c r="B9" s="18"/>
      <c r="C9" s="18"/>
      <c r="D9" s="18"/>
      <c r="E9" s="18"/>
      <c r="F9" s="69" t="s">
        <v>70</v>
      </c>
      <c r="G9" s="2" t="s">
        <v>71</v>
      </c>
      <c r="H9" s="248">
        <v>0</v>
      </c>
      <c r="I9" s="41" t="s">
        <v>71</v>
      </c>
    </row>
    <row r="10" spans="1:9" x14ac:dyDescent="0.3">
      <c r="A10" s="17"/>
      <c r="B10" s="18"/>
      <c r="C10" s="18"/>
      <c r="D10" s="18"/>
      <c r="E10" s="18"/>
      <c r="F10" s="18"/>
      <c r="G10" s="18"/>
      <c r="H10" s="18"/>
      <c r="I10" s="19"/>
    </row>
    <row r="11" spans="1:9" x14ac:dyDescent="0.3">
      <c r="A11" s="17"/>
      <c r="B11" s="18"/>
      <c r="C11" s="18"/>
      <c r="D11" s="18"/>
      <c r="E11" s="18"/>
      <c r="F11" s="18"/>
      <c r="G11" s="6" t="s">
        <v>74</v>
      </c>
      <c r="H11" s="63">
        <f>(H5*H6)-(H7+H8)</f>
        <v>166.5</v>
      </c>
      <c r="I11" s="21" t="s">
        <v>33</v>
      </c>
    </row>
    <row r="12" spans="1:9" x14ac:dyDescent="0.3">
      <c r="A12" s="17"/>
      <c r="B12" s="18"/>
      <c r="C12" s="18"/>
      <c r="D12" s="18"/>
      <c r="E12" s="18"/>
      <c r="F12" s="18"/>
      <c r="G12" s="6" t="s">
        <v>72</v>
      </c>
      <c r="H12" s="63">
        <f>ROUNDUP((((H6*H5)-(H7+H8))*12.5)*(1+(H9/100)),0)</f>
        <v>2082</v>
      </c>
      <c r="I12" s="21" t="s">
        <v>73</v>
      </c>
    </row>
    <row r="13" spans="1:9" x14ac:dyDescent="0.3">
      <c r="A13" s="17"/>
      <c r="B13" s="18"/>
      <c r="C13" s="18"/>
      <c r="D13" s="18"/>
      <c r="E13" s="18"/>
      <c r="F13" s="18"/>
      <c r="G13" s="18"/>
      <c r="H13" s="18"/>
      <c r="I13" s="19"/>
    </row>
    <row r="14" spans="1:9" x14ac:dyDescent="0.3">
      <c r="A14" s="17"/>
      <c r="B14" s="18"/>
      <c r="C14" s="18"/>
      <c r="D14" s="18"/>
      <c r="E14" s="18"/>
      <c r="F14" s="18"/>
      <c r="G14" s="66" t="s">
        <v>80</v>
      </c>
      <c r="H14" s="18"/>
      <c r="I14" s="19"/>
    </row>
    <row r="15" spans="1:9" x14ac:dyDescent="0.3">
      <c r="A15" s="17"/>
      <c r="B15" s="18"/>
      <c r="C15" s="18"/>
      <c r="D15" s="18"/>
      <c r="E15" s="18"/>
      <c r="F15" s="9" t="s">
        <v>19</v>
      </c>
      <c r="G15" s="10" t="s">
        <v>22</v>
      </c>
      <c r="H15" s="36">
        <f>ROUNDUP((H11*0.525),0)</f>
        <v>88</v>
      </c>
      <c r="I15" s="42" t="s">
        <v>22</v>
      </c>
    </row>
    <row r="16" spans="1:9" x14ac:dyDescent="0.3">
      <c r="A16" s="17"/>
      <c r="B16" s="18"/>
      <c r="C16" s="18"/>
      <c r="D16" s="18"/>
      <c r="E16" s="18"/>
      <c r="F16" s="24" t="s">
        <v>77</v>
      </c>
      <c r="G16" s="10" t="s">
        <v>7</v>
      </c>
      <c r="H16" s="36">
        <f>ROUNDUP((H11*0.0438),1)</f>
        <v>7.3</v>
      </c>
      <c r="I16" s="55" t="s">
        <v>7</v>
      </c>
    </row>
    <row r="17" spans="1:9" x14ac:dyDescent="0.3">
      <c r="A17" s="17"/>
      <c r="B17" s="18"/>
      <c r="C17" s="18"/>
      <c r="D17" s="18"/>
      <c r="E17" s="18"/>
      <c r="F17" s="18"/>
      <c r="G17" s="66" t="s">
        <v>81</v>
      </c>
      <c r="H17" s="18"/>
      <c r="I17" s="19"/>
    </row>
    <row r="18" spans="1:9" x14ac:dyDescent="0.3">
      <c r="A18" s="17"/>
      <c r="B18" s="18"/>
      <c r="C18" s="18"/>
      <c r="D18" s="18"/>
      <c r="E18" s="18"/>
      <c r="F18" s="9" t="s">
        <v>19</v>
      </c>
      <c r="G18" s="10" t="s">
        <v>22</v>
      </c>
      <c r="H18" s="36">
        <f>ROUNDUP((H11*1.013),0)</f>
        <v>169</v>
      </c>
      <c r="I18" s="42" t="s">
        <v>22</v>
      </c>
    </row>
    <row r="19" spans="1:9" x14ac:dyDescent="0.3">
      <c r="A19" s="17"/>
      <c r="B19" s="18"/>
      <c r="C19" s="18"/>
      <c r="D19" s="18"/>
      <c r="E19" s="18"/>
      <c r="F19" s="24" t="s">
        <v>77</v>
      </c>
      <c r="G19" s="10" t="s">
        <v>7</v>
      </c>
      <c r="H19" s="36">
        <f>ROUNDUP((H11*0.0844),1)</f>
        <v>14.1</v>
      </c>
      <c r="I19" s="55" t="s">
        <v>7</v>
      </c>
    </row>
    <row r="20" spans="1:9" x14ac:dyDescent="0.3">
      <c r="A20" s="17"/>
      <c r="B20" s="18"/>
      <c r="C20" s="18"/>
      <c r="D20" s="18"/>
      <c r="E20" s="18"/>
      <c r="F20" s="18"/>
      <c r="G20" s="18"/>
      <c r="H20" s="18"/>
      <c r="I20" s="19"/>
    </row>
    <row r="21" spans="1:9" x14ac:dyDescent="0.3">
      <c r="A21" s="17"/>
      <c r="B21" s="18"/>
      <c r="C21" s="18"/>
      <c r="D21" s="18"/>
      <c r="E21" s="18"/>
      <c r="F21" s="18"/>
      <c r="G21" s="66" t="s">
        <v>75</v>
      </c>
      <c r="H21" s="18"/>
      <c r="I21" s="19"/>
    </row>
    <row r="22" spans="1:9" x14ac:dyDescent="0.3">
      <c r="A22" s="17"/>
      <c r="B22" s="18"/>
      <c r="C22" s="18"/>
      <c r="D22" s="18"/>
      <c r="E22" s="18"/>
      <c r="F22" s="18"/>
      <c r="G22" s="67" t="s">
        <v>79</v>
      </c>
      <c r="H22" s="18"/>
      <c r="I22" s="19"/>
    </row>
    <row r="23" spans="1:9" x14ac:dyDescent="0.3">
      <c r="A23" s="17"/>
      <c r="B23" s="18"/>
      <c r="C23" s="18"/>
      <c r="D23" s="18"/>
      <c r="E23" s="18"/>
      <c r="F23" s="9" t="s">
        <v>19</v>
      </c>
      <c r="G23" s="10" t="s">
        <v>22</v>
      </c>
      <c r="H23" s="36">
        <f>ROUNDUP((H11*0.288),0)</f>
        <v>48</v>
      </c>
      <c r="I23" s="42" t="s">
        <v>22</v>
      </c>
    </row>
    <row r="24" spans="1:9" x14ac:dyDescent="0.3">
      <c r="A24" s="17"/>
      <c r="B24" s="18"/>
      <c r="C24" s="18"/>
      <c r="D24" s="18"/>
      <c r="E24" s="18"/>
      <c r="F24" s="24" t="s">
        <v>76</v>
      </c>
      <c r="G24" s="10" t="s">
        <v>7</v>
      </c>
      <c r="H24" s="36">
        <f>ROUNDUP((H11*0.016),1)</f>
        <v>2.7</v>
      </c>
      <c r="I24" s="55" t="s">
        <v>7</v>
      </c>
    </row>
    <row r="25" spans="1:9" x14ac:dyDescent="0.3">
      <c r="A25" s="17"/>
      <c r="B25" s="18"/>
      <c r="C25" s="18"/>
      <c r="D25" s="18"/>
      <c r="E25" s="18"/>
      <c r="F25" s="18"/>
      <c r="G25" s="66" t="s">
        <v>75</v>
      </c>
      <c r="H25" s="18"/>
      <c r="I25" s="19"/>
    </row>
    <row r="26" spans="1:9" x14ac:dyDescent="0.3">
      <c r="A26" s="17"/>
      <c r="B26" s="18"/>
      <c r="C26" s="18"/>
      <c r="D26" s="18"/>
      <c r="E26" s="18"/>
      <c r="F26" s="18"/>
      <c r="G26" s="67" t="s">
        <v>82</v>
      </c>
      <c r="H26" s="18"/>
      <c r="I26" s="19"/>
    </row>
    <row r="27" spans="1:9" x14ac:dyDescent="0.3">
      <c r="A27" s="17"/>
      <c r="B27" s="18"/>
      <c r="C27" s="18"/>
      <c r="D27" s="18"/>
      <c r="E27" s="18"/>
      <c r="F27" s="9" t="s">
        <v>19</v>
      </c>
      <c r="G27" s="10" t="s">
        <v>22</v>
      </c>
      <c r="H27" s="36">
        <f>ROUNDUP((H11*2*0.288),0)</f>
        <v>96</v>
      </c>
      <c r="I27" s="42" t="s">
        <v>22</v>
      </c>
    </row>
    <row r="28" spans="1:9" x14ac:dyDescent="0.3">
      <c r="A28" s="17"/>
      <c r="B28" s="18"/>
      <c r="C28" s="18"/>
      <c r="D28" s="18"/>
      <c r="E28" s="18"/>
      <c r="F28" s="24" t="s">
        <v>76</v>
      </c>
      <c r="G28" s="10" t="s">
        <v>7</v>
      </c>
      <c r="H28" s="36">
        <f>ROUNDUP((H11*2*0.016),1)</f>
        <v>5.3999999999999995</v>
      </c>
      <c r="I28" s="55" t="s">
        <v>7</v>
      </c>
    </row>
    <row r="29" spans="1:9" ht="15" thickBot="1" x14ac:dyDescent="0.35">
      <c r="A29" s="25"/>
      <c r="B29" s="26"/>
      <c r="C29" s="26"/>
      <c r="D29" s="26"/>
      <c r="E29" s="26"/>
      <c r="F29" s="26"/>
      <c r="G29" s="26"/>
      <c r="H29" s="26"/>
      <c r="I29" s="44"/>
    </row>
    <row r="30" spans="1:9" x14ac:dyDescent="0.3">
      <c r="A30" s="12" t="s">
        <v>83</v>
      </c>
      <c r="B30" s="13"/>
      <c r="C30" s="13"/>
      <c r="D30" s="13"/>
      <c r="E30" s="13"/>
      <c r="F30" s="13"/>
      <c r="G30" s="13"/>
      <c r="H30" s="13"/>
      <c r="I30" s="16"/>
    </row>
    <row r="31" spans="1:9" x14ac:dyDescent="0.3">
      <c r="A31" s="17"/>
      <c r="B31" s="18"/>
      <c r="C31" s="18"/>
      <c r="D31" s="18"/>
      <c r="E31" s="18"/>
      <c r="F31" s="69" t="s">
        <v>29</v>
      </c>
      <c r="G31" s="2" t="s">
        <v>68</v>
      </c>
      <c r="H31" s="248">
        <v>3</v>
      </c>
      <c r="I31" s="41" t="s">
        <v>8</v>
      </c>
    </row>
    <row r="32" spans="1:9" x14ac:dyDescent="0.3">
      <c r="A32" s="17"/>
      <c r="B32" s="18"/>
      <c r="C32" s="18"/>
      <c r="D32" s="18"/>
      <c r="E32" s="18"/>
      <c r="F32" s="69" t="s">
        <v>84</v>
      </c>
      <c r="G32" s="2" t="s">
        <v>86</v>
      </c>
      <c r="H32" s="248">
        <v>1</v>
      </c>
      <c r="I32" s="41" t="s">
        <v>8</v>
      </c>
    </row>
    <row r="33" spans="1:9" x14ac:dyDescent="0.3">
      <c r="A33" s="17"/>
      <c r="B33" s="18"/>
      <c r="C33" s="18"/>
      <c r="D33" s="18"/>
      <c r="E33" s="18"/>
      <c r="F33" s="69" t="s">
        <v>85</v>
      </c>
      <c r="G33" s="2" t="s">
        <v>87</v>
      </c>
      <c r="H33" s="248">
        <v>2</v>
      </c>
      <c r="I33" s="41" t="s">
        <v>8</v>
      </c>
    </row>
    <row r="34" spans="1:9" x14ac:dyDescent="0.3">
      <c r="A34" s="17"/>
      <c r="B34" s="18"/>
      <c r="C34" s="18"/>
      <c r="D34" s="18"/>
      <c r="E34" s="18"/>
      <c r="F34" s="69" t="s">
        <v>10</v>
      </c>
      <c r="G34" s="2" t="s">
        <v>3</v>
      </c>
      <c r="H34" s="248">
        <v>20</v>
      </c>
      <c r="I34" s="41" t="s">
        <v>8</v>
      </c>
    </row>
    <row r="35" spans="1:9" x14ac:dyDescent="0.3">
      <c r="A35" s="17"/>
      <c r="B35" s="18"/>
      <c r="C35" s="18"/>
      <c r="D35" s="18"/>
      <c r="E35" s="18"/>
      <c r="F35" s="18"/>
      <c r="G35" s="18"/>
      <c r="H35" s="18"/>
      <c r="I35" s="19"/>
    </row>
    <row r="36" spans="1:9" ht="15" customHeight="1" x14ac:dyDescent="0.3">
      <c r="A36" s="17"/>
      <c r="B36" s="18"/>
      <c r="C36" s="18"/>
      <c r="D36" s="18"/>
      <c r="E36" s="68" t="s">
        <v>91</v>
      </c>
      <c r="F36" s="307" t="s">
        <v>92</v>
      </c>
      <c r="G36" s="307"/>
      <c r="H36" s="307"/>
      <c r="I36" s="308"/>
    </row>
    <row r="37" spans="1:9" x14ac:dyDescent="0.3">
      <c r="A37" s="17"/>
      <c r="B37" s="18"/>
      <c r="C37" s="18"/>
      <c r="D37" s="18"/>
      <c r="E37" s="18"/>
      <c r="F37" s="307"/>
      <c r="G37" s="307"/>
      <c r="H37" s="307"/>
      <c r="I37" s="308"/>
    </row>
    <row r="38" spans="1:9" x14ac:dyDescent="0.3">
      <c r="A38" s="17"/>
      <c r="B38" s="18"/>
      <c r="C38" s="18"/>
      <c r="D38" s="18"/>
      <c r="E38" s="18"/>
      <c r="F38" s="307"/>
      <c r="G38" s="307"/>
      <c r="H38" s="307"/>
      <c r="I38" s="308"/>
    </row>
    <row r="39" spans="1:9" x14ac:dyDescent="0.3">
      <c r="A39" s="17"/>
      <c r="B39" s="18"/>
      <c r="C39" s="18"/>
      <c r="D39" s="18"/>
      <c r="E39" s="18"/>
      <c r="F39" s="18"/>
      <c r="G39" s="18"/>
      <c r="H39" s="18"/>
      <c r="I39" s="19"/>
    </row>
    <row r="40" spans="1:9" x14ac:dyDescent="0.3">
      <c r="A40" s="17"/>
      <c r="B40" s="18"/>
      <c r="C40" s="18"/>
      <c r="D40" s="18"/>
      <c r="E40" s="18"/>
      <c r="F40" s="18"/>
      <c r="G40" s="6" t="s">
        <v>88</v>
      </c>
      <c r="H40" s="63">
        <f>((H32+H33)/2)*H31</f>
        <v>4.5</v>
      </c>
      <c r="I40" s="21" t="s">
        <v>33</v>
      </c>
    </row>
    <row r="41" spans="1:9" x14ac:dyDescent="0.3">
      <c r="A41" s="17"/>
      <c r="B41" s="18"/>
      <c r="C41" s="18"/>
      <c r="D41" s="18"/>
      <c r="E41" s="18"/>
      <c r="F41" s="18"/>
      <c r="G41" s="6" t="s">
        <v>89</v>
      </c>
      <c r="H41" s="63">
        <f>H40*H34</f>
        <v>90</v>
      </c>
      <c r="I41" s="21" t="s">
        <v>7</v>
      </c>
    </row>
    <row r="42" spans="1:9" x14ac:dyDescent="0.3">
      <c r="A42" s="17"/>
      <c r="B42" s="18"/>
      <c r="C42" s="18"/>
      <c r="D42" s="18"/>
      <c r="E42" s="18"/>
      <c r="F42" s="9" t="s">
        <v>90</v>
      </c>
      <c r="G42" s="10" t="s">
        <v>7</v>
      </c>
      <c r="H42" s="36">
        <f>H41</f>
        <v>90</v>
      </c>
      <c r="I42" s="42" t="s">
        <v>7</v>
      </c>
    </row>
    <row r="43" spans="1:9" x14ac:dyDescent="0.3">
      <c r="A43" s="17"/>
      <c r="B43" s="18"/>
      <c r="C43" s="18"/>
      <c r="D43" s="18"/>
      <c r="E43" s="18"/>
      <c r="F43" s="9" t="s">
        <v>19</v>
      </c>
      <c r="G43" s="10" t="s">
        <v>22</v>
      </c>
      <c r="H43" s="36">
        <f>ROUNDUP((H41*2.574),0)</f>
        <v>232</v>
      </c>
      <c r="I43" s="42" t="s">
        <v>22</v>
      </c>
    </row>
    <row r="44" spans="1:9" x14ac:dyDescent="0.3">
      <c r="A44" s="17"/>
      <c r="B44" s="18"/>
      <c r="C44" s="18"/>
      <c r="D44" s="18"/>
      <c r="E44" s="18"/>
      <c r="F44" s="24" t="s">
        <v>20</v>
      </c>
      <c r="G44" s="10" t="s">
        <v>7</v>
      </c>
      <c r="H44" s="36">
        <f>ROUNDUP((H41*0.143),1)</f>
        <v>12.9</v>
      </c>
      <c r="I44" s="42" t="s">
        <v>7</v>
      </c>
    </row>
    <row r="45" spans="1:9" x14ac:dyDescent="0.3">
      <c r="A45" s="17"/>
      <c r="B45" s="18"/>
      <c r="C45" s="18"/>
      <c r="D45" s="18"/>
      <c r="E45" s="18"/>
      <c r="F45" s="18"/>
      <c r="G45" s="18"/>
      <c r="H45" s="18"/>
      <c r="I45" s="19"/>
    </row>
    <row r="46" spans="1:9" ht="15" thickBot="1" x14ac:dyDescent="0.35">
      <c r="A46" s="25"/>
      <c r="B46" s="26"/>
      <c r="C46" s="26"/>
      <c r="D46" s="26"/>
      <c r="E46" s="26"/>
      <c r="F46" s="26"/>
      <c r="G46" s="26"/>
      <c r="H46" s="26"/>
      <c r="I46" s="44"/>
    </row>
  </sheetData>
  <mergeCells count="2">
    <mergeCell ref="F36:I38"/>
    <mergeCell ref="A1:I1"/>
  </mergeCells>
  <pageMargins left="0.7" right="0.7" top="0.75" bottom="0.75" header="0.3" footer="0.3"/>
  <pageSetup orientation="portrait" r:id="rId1"/>
  <headerFooter>
    <oddFooter>&amp;LBASED ON MAX FAJARDO - SIMPLIFIED CONSTRUCTION ESTIMATE HANDBOOK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22"/>
  <sheetViews>
    <sheetView view="pageLayout" workbookViewId="0">
      <selection activeCell="H54" sqref="H54"/>
    </sheetView>
  </sheetViews>
  <sheetFormatPr defaultRowHeight="14.4" x14ac:dyDescent="0.3"/>
  <cols>
    <col min="8" max="8" width="10.21875" bestFit="1" customWidth="1"/>
  </cols>
  <sheetData>
    <row r="1" spans="1:9" x14ac:dyDescent="0.3">
      <c r="A1" s="322"/>
      <c r="B1" s="322"/>
      <c r="C1" s="322"/>
      <c r="D1" s="322"/>
      <c r="E1" s="322"/>
      <c r="F1" s="322"/>
      <c r="G1" s="322"/>
      <c r="H1" s="322"/>
      <c r="I1" s="322"/>
    </row>
    <row r="2" spans="1:9" x14ac:dyDescent="0.3">
      <c r="A2" s="61" t="s">
        <v>93</v>
      </c>
      <c r="B2" s="62"/>
      <c r="C2" s="62"/>
    </row>
    <row r="3" spans="1:9" x14ac:dyDescent="0.3">
      <c r="A3" s="326" t="s">
        <v>103</v>
      </c>
      <c r="B3" s="327"/>
      <c r="C3" s="327"/>
      <c r="D3" s="328"/>
    </row>
    <row r="4" spans="1:9" ht="34.200000000000003" x14ac:dyDescent="0.3">
      <c r="A4" s="74" t="s">
        <v>104</v>
      </c>
      <c r="B4" s="75" t="s">
        <v>105</v>
      </c>
      <c r="C4" s="75" t="s">
        <v>99</v>
      </c>
      <c r="D4" s="75" t="s">
        <v>106</v>
      </c>
    </row>
    <row r="5" spans="1:9" x14ac:dyDescent="0.3">
      <c r="A5" s="329">
        <v>40</v>
      </c>
      <c r="B5" s="332">
        <v>2.93</v>
      </c>
      <c r="C5" s="338" t="s">
        <v>100</v>
      </c>
      <c r="D5" s="323">
        <v>3.3</v>
      </c>
    </row>
    <row r="6" spans="1:9" x14ac:dyDescent="0.3">
      <c r="A6" s="330"/>
      <c r="B6" s="333"/>
      <c r="C6" s="339"/>
      <c r="D6" s="324"/>
    </row>
    <row r="7" spans="1:9" x14ac:dyDescent="0.3">
      <c r="A7" s="331"/>
      <c r="B7" s="334"/>
      <c r="C7" s="340"/>
      <c r="D7" s="325"/>
    </row>
    <row r="8" spans="1:9" ht="15.75" customHeight="1" x14ac:dyDescent="0.3">
      <c r="A8" s="341">
        <v>60</v>
      </c>
      <c r="B8" s="332">
        <v>2.13</v>
      </c>
      <c r="C8" s="335" t="s">
        <v>101</v>
      </c>
      <c r="D8" s="323">
        <v>2.15</v>
      </c>
    </row>
    <row r="9" spans="1:9" ht="15.75" customHeight="1" x14ac:dyDescent="0.3">
      <c r="A9" s="342"/>
      <c r="B9" s="333"/>
      <c r="C9" s="336"/>
      <c r="D9" s="324"/>
    </row>
    <row r="10" spans="1:9" ht="15.75" customHeight="1" x14ac:dyDescent="0.3">
      <c r="A10" s="343"/>
      <c r="B10" s="334"/>
      <c r="C10" s="337"/>
      <c r="D10" s="325"/>
    </row>
    <row r="11" spans="1:9" x14ac:dyDescent="0.3">
      <c r="A11" s="329">
        <v>80</v>
      </c>
      <c r="B11" s="332">
        <v>1.6</v>
      </c>
      <c r="C11" s="338" t="s">
        <v>102</v>
      </c>
      <c r="D11" s="323">
        <v>1.72</v>
      </c>
    </row>
    <row r="12" spans="1:9" x14ac:dyDescent="0.3">
      <c r="A12" s="330"/>
      <c r="B12" s="333"/>
      <c r="C12" s="339"/>
      <c r="D12" s="324"/>
    </row>
    <row r="13" spans="1:9" x14ac:dyDescent="0.3">
      <c r="A13" s="331"/>
      <c r="B13" s="334"/>
      <c r="C13" s="340"/>
      <c r="D13" s="325"/>
    </row>
    <row r="15" spans="1:9" x14ac:dyDescent="0.3">
      <c r="A15" s="1" t="s">
        <v>95</v>
      </c>
    </row>
    <row r="17" spans="1:9" x14ac:dyDescent="0.3">
      <c r="E17" s="18"/>
      <c r="F17" s="69" t="s">
        <v>63</v>
      </c>
      <c r="G17" s="2" t="s">
        <v>68</v>
      </c>
      <c r="H17" s="248">
        <v>3</v>
      </c>
      <c r="I17" s="41" t="s">
        <v>8</v>
      </c>
    </row>
    <row r="18" spans="1:9" x14ac:dyDescent="0.3">
      <c r="E18" s="18"/>
      <c r="F18" s="69" t="s">
        <v>69</v>
      </c>
      <c r="G18" s="2" t="s">
        <v>3</v>
      </c>
      <c r="H18" s="248">
        <v>61</v>
      </c>
      <c r="I18" s="41" t="s">
        <v>8</v>
      </c>
    </row>
    <row r="19" spans="1:9" x14ac:dyDescent="0.3">
      <c r="F19" s="109" t="s">
        <v>448</v>
      </c>
      <c r="G19" s="2" t="s">
        <v>47</v>
      </c>
      <c r="H19" s="248">
        <v>2</v>
      </c>
      <c r="I19" s="41" t="s">
        <v>33</v>
      </c>
    </row>
    <row r="20" spans="1:9" x14ac:dyDescent="0.3">
      <c r="E20" s="18"/>
      <c r="F20" s="76" t="s">
        <v>96</v>
      </c>
      <c r="G20" s="71" t="s">
        <v>109</v>
      </c>
      <c r="H20" s="275">
        <v>2.13</v>
      </c>
      <c r="I20" s="274" t="str">
        <f>IF(H20=2.93,"40cm",IF(H20=2.13,"60cm",IF(H20=1.6,"80cm","Sayop Uy!")))</f>
        <v>60cm</v>
      </c>
    </row>
    <row r="21" spans="1:9" x14ac:dyDescent="0.3">
      <c r="E21" s="18"/>
      <c r="F21" s="76" t="s">
        <v>96</v>
      </c>
      <c r="G21" s="71" t="s">
        <v>110</v>
      </c>
      <c r="H21" s="275">
        <v>2.15</v>
      </c>
      <c r="I21" s="274" t="str">
        <f>IF(H21=3.3,"2 layers",IF(H21=2.15,"3 layers",IF(H21=1.72,"4 layers","Sayop Uy!")))</f>
        <v>3 layers</v>
      </c>
    </row>
    <row r="22" spans="1:9" x14ac:dyDescent="0.3">
      <c r="G22" s="6" t="s">
        <v>74</v>
      </c>
      <c r="H22" s="63">
        <f>(H17*H18)-H19</f>
        <v>181</v>
      </c>
      <c r="I22" s="21" t="s">
        <v>33</v>
      </c>
    </row>
    <row r="23" spans="1:9" x14ac:dyDescent="0.3">
      <c r="G23" s="6" t="s">
        <v>107</v>
      </c>
      <c r="H23" s="63">
        <f>ROUNDUP((H22*H20/6),0)</f>
        <v>65</v>
      </c>
      <c r="I23" s="21" t="s">
        <v>94</v>
      </c>
    </row>
    <row r="24" spans="1:9" x14ac:dyDescent="0.3">
      <c r="G24" s="6" t="s">
        <v>108</v>
      </c>
      <c r="H24" s="63">
        <f>ROUNDUP((H21*H22/6),0)</f>
        <v>65</v>
      </c>
      <c r="I24" s="21" t="s">
        <v>94</v>
      </c>
    </row>
    <row r="25" spans="1:9" x14ac:dyDescent="0.3">
      <c r="G25" s="6" t="s">
        <v>97</v>
      </c>
      <c r="H25" s="63">
        <f>ROUNDUP((H22*0.047),1)</f>
        <v>8.6</v>
      </c>
      <c r="I25" s="21" t="s">
        <v>98</v>
      </c>
    </row>
    <row r="27" spans="1:9" x14ac:dyDescent="0.3">
      <c r="A27" s="1" t="s">
        <v>111</v>
      </c>
    </row>
    <row r="28" spans="1:9" x14ac:dyDescent="0.3">
      <c r="F28" s="109" t="s">
        <v>112</v>
      </c>
      <c r="G28" s="2" t="s">
        <v>3</v>
      </c>
      <c r="H28" s="248">
        <v>0.6</v>
      </c>
      <c r="I28" s="41" t="s">
        <v>8</v>
      </c>
    </row>
    <row r="29" spans="1:9" x14ac:dyDescent="0.3">
      <c r="F29" s="109" t="s">
        <v>113</v>
      </c>
      <c r="G29" s="2" t="s">
        <v>4</v>
      </c>
      <c r="H29" s="248">
        <v>0.6</v>
      </c>
      <c r="I29" s="41" t="s">
        <v>8</v>
      </c>
    </row>
    <row r="30" spans="1:9" x14ac:dyDescent="0.3">
      <c r="F30" s="109" t="s">
        <v>117</v>
      </c>
      <c r="G30" s="2" t="s">
        <v>119</v>
      </c>
      <c r="H30" s="248">
        <v>4</v>
      </c>
      <c r="I30" s="41" t="s">
        <v>120</v>
      </c>
    </row>
    <row r="31" spans="1:9" x14ac:dyDescent="0.3">
      <c r="F31" s="109" t="s">
        <v>118</v>
      </c>
      <c r="G31" s="2" t="s">
        <v>119</v>
      </c>
      <c r="H31" s="248">
        <v>4</v>
      </c>
      <c r="I31" s="41" t="s">
        <v>120</v>
      </c>
    </row>
    <row r="32" spans="1:9" x14ac:dyDescent="0.3">
      <c r="F32" s="109" t="s">
        <v>116</v>
      </c>
      <c r="G32" s="2" t="s">
        <v>119</v>
      </c>
      <c r="H32" s="248">
        <v>10</v>
      </c>
      <c r="I32" s="41" t="s">
        <v>13</v>
      </c>
    </row>
    <row r="33" spans="1:9" x14ac:dyDescent="0.3">
      <c r="F33" s="109" t="s">
        <v>114</v>
      </c>
      <c r="G33" s="2" t="s">
        <v>115</v>
      </c>
      <c r="H33" s="251">
        <v>0.05</v>
      </c>
      <c r="I33" s="41" t="s">
        <v>8</v>
      </c>
    </row>
    <row r="34" spans="1:9" x14ac:dyDescent="0.3">
      <c r="G34" s="77" t="s">
        <v>143</v>
      </c>
    </row>
    <row r="36" spans="1:9" x14ac:dyDescent="0.3">
      <c r="G36" s="6" t="s">
        <v>121</v>
      </c>
      <c r="H36" s="63">
        <f>H28-H33-H33</f>
        <v>0.49999999999999994</v>
      </c>
      <c r="I36" s="21" t="s">
        <v>8</v>
      </c>
    </row>
    <row r="37" spans="1:9" x14ac:dyDescent="0.3">
      <c r="G37" s="6" t="s">
        <v>122</v>
      </c>
      <c r="H37" s="63">
        <f>H29-H33-H33</f>
        <v>0.49999999999999994</v>
      </c>
      <c r="I37" s="21" t="s">
        <v>8</v>
      </c>
    </row>
    <row r="38" spans="1:9" x14ac:dyDescent="0.3">
      <c r="G38" s="6" t="s">
        <v>123</v>
      </c>
      <c r="H38" s="63">
        <f>(H28*H30*H32/6)+(H29*H31*H32/6)</f>
        <v>8</v>
      </c>
      <c r="I38" s="21" t="s">
        <v>94</v>
      </c>
    </row>
    <row r="39" spans="1:9" x14ac:dyDescent="0.3">
      <c r="G39" s="6" t="s">
        <v>97</v>
      </c>
      <c r="H39" s="63">
        <f>ROUNDUP((H30*H31*0.4*H32/53),1)</f>
        <v>1.3</v>
      </c>
      <c r="I39" s="21" t="s">
        <v>98</v>
      </c>
    </row>
    <row r="46" spans="1:9" x14ac:dyDescent="0.3">
      <c r="A46" s="322"/>
      <c r="B46" s="322"/>
      <c r="C46" s="322"/>
      <c r="D46" s="322"/>
      <c r="E46" s="322"/>
      <c r="F46" s="322"/>
      <c r="G46" s="322"/>
      <c r="H46" s="322"/>
      <c r="I46" s="322"/>
    </row>
    <row r="47" spans="1:9" x14ac:dyDescent="0.3">
      <c r="A47" s="1" t="s">
        <v>125</v>
      </c>
    </row>
    <row r="48" spans="1:9" x14ac:dyDescent="0.3">
      <c r="F48" s="109" t="s">
        <v>126</v>
      </c>
      <c r="G48" s="2" t="s">
        <v>4</v>
      </c>
      <c r="H48" s="248">
        <v>1.1000000000000001</v>
      </c>
      <c r="I48" s="41" t="s">
        <v>8</v>
      </c>
    </row>
    <row r="49" spans="5:9" x14ac:dyDescent="0.3">
      <c r="F49" s="109" t="s">
        <v>127</v>
      </c>
      <c r="G49" s="2" t="s">
        <v>16</v>
      </c>
      <c r="H49" s="248">
        <v>1.5</v>
      </c>
      <c r="I49" s="41" t="s">
        <v>8</v>
      </c>
    </row>
    <row r="50" spans="5:9" x14ac:dyDescent="0.3">
      <c r="F50" s="109" t="s">
        <v>128</v>
      </c>
      <c r="G50" s="2" t="s">
        <v>129</v>
      </c>
      <c r="H50" s="248">
        <v>0.15</v>
      </c>
      <c r="I50" s="34" t="s">
        <v>8</v>
      </c>
    </row>
    <row r="51" spans="5:9" x14ac:dyDescent="0.3">
      <c r="E51" s="7"/>
      <c r="F51" s="80"/>
      <c r="G51" s="3"/>
      <c r="H51" s="54"/>
      <c r="I51" s="8"/>
    </row>
    <row r="52" spans="5:9" x14ac:dyDescent="0.3">
      <c r="E52" s="7"/>
      <c r="G52" s="81" t="s">
        <v>131</v>
      </c>
      <c r="H52" s="83">
        <f>ROUNDUP(((H49/H50)+1),0)</f>
        <v>11</v>
      </c>
      <c r="I52" s="82" t="s">
        <v>73</v>
      </c>
    </row>
    <row r="53" spans="5:9" x14ac:dyDescent="0.3">
      <c r="E53" s="7"/>
      <c r="G53" s="81" t="s">
        <v>130</v>
      </c>
      <c r="H53" s="83">
        <f>ROUNDUP((2*H49/5.5),0)</f>
        <v>1</v>
      </c>
      <c r="I53" s="82" t="s">
        <v>124</v>
      </c>
    </row>
    <row r="54" spans="5:9" x14ac:dyDescent="0.3">
      <c r="E54" s="7"/>
      <c r="G54" s="6" t="s">
        <v>132</v>
      </c>
      <c r="H54" s="63">
        <f>ROUNDUP(((H52*H48)/6)+H53,0)</f>
        <v>4</v>
      </c>
      <c r="I54" s="21" t="s">
        <v>94</v>
      </c>
    </row>
    <row r="55" spans="5:9" x14ac:dyDescent="0.3">
      <c r="G55" s="6" t="s">
        <v>97</v>
      </c>
      <c r="H55" s="63">
        <f>ROUNDUP((H52*2*0.4/53),1)</f>
        <v>0.2</v>
      </c>
      <c r="I55" s="21" t="s">
        <v>98</v>
      </c>
    </row>
    <row r="69" spans="1:1" x14ac:dyDescent="0.3">
      <c r="A69" s="1" t="s">
        <v>148</v>
      </c>
    </row>
    <row r="83" spans="1:9" x14ac:dyDescent="0.3">
      <c r="F83" s="109" t="s">
        <v>133</v>
      </c>
      <c r="G83" s="2" t="s">
        <v>68</v>
      </c>
      <c r="H83" s="248">
        <v>4</v>
      </c>
      <c r="I83" s="34" t="s">
        <v>8</v>
      </c>
    </row>
    <row r="84" spans="1:9" x14ac:dyDescent="0.3">
      <c r="F84" s="109" t="s">
        <v>134</v>
      </c>
      <c r="G84" s="2" t="s">
        <v>119</v>
      </c>
      <c r="H84" s="248">
        <v>20</v>
      </c>
      <c r="I84" s="34" t="s">
        <v>13</v>
      </c>
    </row>
    <row r="85" spans="1:9" ht="16.2" x14ac:dyDescent="0.3">
      <c r="F85" s="109" t="s">
        <v>506</v>
      </c>
      <c r="G85" s="84" t="s">
        <v>139</v>
      </c>
      <c r="H85" s="248">
        <v>12</v>
      </c>
      <c r="I85" s="34" t="s">
        <v>140</v>
      </c>
    </row>
    <row r="86" spans="1:9" x14ac:dyDescent="0.3">
      <c r="F86" s="109" t="s">
        <v>135</v>
      </c>
      <c r="G86" s="2" t="s">
        <v>129</v>
      </c>
      <c r="H86" s="248">
        <v>0.25</v>
      </c>
      <c r="I86" s="34" t="s">
        <v>8</v>
      </c>
    </row>
    <row r="87" spans="1:9" x14ac:dyDescent="0.3">
      <c r="F87" s="252" t="s">
        <v>136</v>
      </c>
      <c r="G87" s="2" t="s">
        <v>129</v>
      </c>
      <c r="H87" s="248">
        <v>0.25</v>
      </c>
      <c r="I87" s="34" t="s">
        <v>8</v>
      </c>
    </row>
    <row r="88" spans="1:9" x14ac:dyDescent="0.3">
      <c r="F88" s="207"/>
    </row>
    <row r="89" spans="1:9" x14ac:dyDescent="0.3">
      <c r="F89" s="252" t="s">
        <v>138</v>
      </c>
      <c r="G89" s="2" t="s">
        <v>129</v>
      </c>
      <c r="H89" s="248">
        <v>6</v>
      </c>
      <c r="I89" s="34" t="s">
        <v>73</v>
      </c>
    </row>
    <row r="90" spans="1:9" ht="16.2" x14ac:dyDescent="0.3">
      <c r="F90" s="252" t="s">
        <v>505</v>
      </c>
      <c r="G90" s="84" t="s">
        <v>139</v>
      </c>
      <c r="H90" s="248">
        <v>10</v>
      </c>
      <c r="I90" s="34" t="s">
        <v>140</v>
      </c>
    </row>
    <row r="91" spans="1:9" x14ac:dyDescent="0.3">
      <c r="F91" s="252" t="s">
        <v>137</v>
      </c>
      <c r="G91" s="2" t="s">
        <v>129</v>
      </c>
      <c r="H91" s="248">
        <v>0.2</v>
      </c>
      <c r="I91" s="34" t="s">
        <v>8</v>
      </c>
    </row>
    <row r="92" spans="1:9" x14ac:dyDescent="0.3">
      <c r="F92" s="252"/>
      <c r="G92" s="78"/>
      <c r="H92" s="295"/>
      <c r="I92" s="79"/>
    </row>
    <row r="93" spans="1:9" x14ac:dyDescent="0.3">
      <c r="A93" s="322"/>
      <c r="B93" s="322"/>
      <c r="C93" s="322"/>
      <c r="D93" s="322"/>
      <c r="E93" s="322"/>
      <c r="F93" s="322"/>
      <c r="G93" s="322"/>
      <c r="H93" s="322"/>
      <c r="I93" s="322"/>
    </row>
    <row r="94" spans="1:9" x14ac:dyDescent="0.3">
      <c r="D94" s="86"/>
      <c r="E94" s="85">
        <f>IF(H83+H95+0.5&lt;=(3),0.5,1)</f>
        <v>1</v>
      </c>
      <c r="F94" s="85">
        <f>IF(H85=12, 0.2, IF(H85=16, 0.25, IF(H85=20,0.35,IF(H85=25,0.435, "Use DSB 12mm to 25mm only"))))</f>
        <v>0.2</v>
      </c>
      <c r="G94" s="85"/>
    </row>
    <row r="95" spans="1:9" x14ac:dyDescent="0.3">
      <c r="G95" s="119" t="s">
        <v>141</v>
      </c>
      <c r="H95" s="87">
        <f>F94</f>
        <v>0.2</v>
      </c>
      <c r="I95" s="88" t="s">
        <v>8</v>
      </c>
    </row>
    <row r="96" spans="1:9" x14ac:dyDescent="0.3">
      <c r="E96" s="1"/>
      <c r="F96" s="1"/>
      <c r="G96" s="119" t="s">
        <v>142</v>
      </c>
      <c r="H96" s="89">
        <f>ROUNDUP((H95+H83+(H85*4/100)),1)</f>
        <v>4.6999999999999993</v>
      </c>
      <c r="I96" s="88" t="s">
        <v>8</v>
      </c>
    </row>
    <row r="97" spans="1:9" x14ac:dyDescent="0.3">
      <c r="G97" s="6" t="s">
        <v>147</v>
      </c>
      <c r="H97" s="63">
        <f>G98*H84*H89/6</f>
        <v>120</v>
      </c>
      <c r="I97" s="21" t="s">
        <v>73</v>
      </c>
    </row>
    <row r="98" spans="1:9" x14ac:dyDescent="0.3">
      <c r="G98" s="85">
        <f>IF(H96&lt;=3,3,6)</f>
        <v>6</v>
      </c>
    </row>
    <row r="99" spans="1:9" x14ac:dyDescent="0.3">
      <c r="G99" s="119" t="s">
        <v>144</v>
      </c>
      <c r="H99" s="90">
        <f>ROUNDUP((((2*(H86-0.08))+(2*(H87-0.08)))+(0.1*2)),1)</f>
        <v>0.9</v>
      </c>
      <c r="I99" s="91" t="s">
        <v>8</v>
      </c>
    </row>
    <row r="100" spans="1:9" x14ac:dyDescent="0.3">
      <c r="G100" s="175" t="s">
        <v>145</v>
      </c>
      <c r="H100" s="90">
        <f>ROUNDUP((((H83+0.2)/H91)+10),0)</f>
        <v>31</v>
      </c>
      <c r="I100" s="91" t="s">
        <v>73</v>
      </c>
    </row>
    <row r="101" spans="1:9" x14ac:dyDescent="0.3">
      <c r="G101" s="6" t="s">
        <v>146</v>
      </c>
      <c r="H101" s="63">
        <f>ROUNDUP((H100*H99*H84/6),0)</f>
        <v>93</v>
      </c>
      <c r="I101" s="21" t="s">
        <v>73</v>
      </c>
    </row>
    <row r="103" spans="1:9" x14ac:dyDescent="0.3">
      <c r="G103" s="6" t="s">
        <v>97</v>
      </c>
      <c r="H103" s="63">
        <f>ROUNDUP(H100*4*0.3*H84/53,1)</f>
        <v>14.1</v>
      </c>
      <c r="I103" s="21" t="s">
        <v>98</v>
      </c>
    </row>
    <row r="105" spans="1:9" x14ac:dyDescent="0.3">
      <c r="A105" s="1" t="s">
        <v>149</v>
      </c>
    </row>
    <row r="107" spans="1:9" x14ac:dyDescent="0.3">
      <c r="F107" s="109" t="s">
        <v>133</v>
      </c>
      <c r="G107" s="2" t="s">
        <v>68</v>
      </c>
      <c r="H107" s="248">
        <v>3.5</v>
      </c>
      <c r="I107" s="34" t="s">
        <v>8</v>
      </c>
    </row>
    <row r="108" spans="1:9" x14ac:dyDescent="0.3">
      <c r="F108" s="109" t="s">
        <v>134</v>
      </c>
      <c r="G108" s="2" t="s">
        <v>119</v>
      </c>
      <c r="H108" s="248">
        <v>8</v>
      </c>
      <c r="I108" s="34" t="s">
        <v>13</v>
      </c>
    </row>
    <row r="109" spans="1:9" ht="16.2" x14ac:dyDescent="0.3">
      <c r="F109" s="109" t="s">
        <v>506</v>
      </c>
      <c r="G109" s="84" t="s">
        <v>139</v>
      </c>
      <c r="H109" s="248">
        <v>12</v>
      </c>
      <c r="I109" s="34" t="s">
        <v>140</v>
      </c>
    </row>
    <row r="110" spans="1:9" x14ac:dyDescent="0.3">
      <c r="F110" s="109" t="s">
        <v>150</v>
      </c>
      <c r="G110" s="2" t="s">
        <v>129</v>
      </c>
      <c r="H110" s="248">
        <v>0.3</v>
      </c>
      <c r="I110" s="34" t="s">
        <v>8</v>
      </c>
    </row>
    <row r="111" spans="1:9" x14ac:dyDescent="0.3">
      <c r="D111" s="18"/>
      <c r="E111" s="18"/>
      <c r="F111" s="80"/>
      <c r="G111" s="78"/>
      <c r="H111" s="54"/>
      <c r="I111" s="79"/>
    </row>
    <row r="113" spans="5:9" x14ac:dyDescent="0.3">
      <c r="F113" s="252" t="s">
        <v>138</v>
      </c>
      <c r="G113" s="2" t="s">
        <v>129</v>
      </c>
      <c r="H113" s="248">
        <v>6</v>
      </c>
      <c r="I113" s="34" t="s">
        <v>73</v>
      </c>
    </row>
    <row r="114" spans="5:9" ht="16.2" x14ac:dyDescent="0.3">
      <c r="F114" s="252" t="s">
        <v>505</v>
      </c>
      <c r="G114" s="84" t="s">
        <v>139</v>
      </c>
      <c r="H114" s="248">
        <v>10</v>
      </c>
      <c r="I114" s="34" t="s">
        <v>140</v>
      </c>
    </row>
    <row r="115" spans="5:9" x14ac:dyDescent="0.3">
      <c r="F115" s="252" t="s">
        <v>137</v>
      </c>
      <c r="G115" s="2" t="s">
        <v>129</v>
      </c>
      <c r="H115" s="248">
        <v>0.2</v>
      </c>
      <c r="I115" s="34" t="s">
        <v>8</v>
      </c>
    </row>
    <row r="116" spans="5:9" x14ac:dyDescent="0.3">
      <c r="E116" s="85"/>
      <c r="F116" s="85"/>
      <c r="G116" s="85"/>
    </row>
    <row r="117" spans="5:9" x14ac:dyDescent="0.3">
      <c r="E117" s="85">
        <f>IF(H107+H118+0.5&lt;=(3),0.5,1)</f>
        <v>1</v>
      </c>
      <c r="F117" s="85">
        <f>IF(H109=12, 0.2, IF(H109=16, 0.25, IF(H109=20,0.35,IF(H109=25,0.435, "Use DSB 12mm to 25mm only"))))</f>
        <v>0.2</v>
      </c>
      <c r="G117" s="85"/>
    </row>
    <row r="118" spans="5:9" x14ac:dyDescent="0.3">
      <c r="G118" s="119" t="s">
        <v>141</v>
      </c>
      <c r="H118" s="87">
        <f>F117</f>
        <v>0.2</v>
      </c>
      <c r="I118" s="88" t="s">
        <v>8</v>
      </c>
    </row>
    <row r="119" spans="5:9" x14ac:dyDescent="0.3">
      <c r="E119" s="1"/>
      <c r="F119" s="1"/>
      <c r="G119" s="119" t="s">
        <v>142</v>
      </c>
      <c r="H119" s="89">
        <f>ROUNDUP((H118+H107+(H109*0.04)),1)</f>
        <v>4.1999999999999993</v>
      </c>
      <c r="I119" s="88" t="s">
        <v>8</v>
      </c>
    </row>
    <row r="120" spans="5:9" x14ac:dyDescent="0.3">
      <c r="G120" s="6" t="s">
        <v>147</v>
      </c>
      <c r="H120" s="63">
        <f>F121*H108*H113/6</f>
        <v>48</v>
      </c>
      <c r="I120" s="21" t="s">
        <v>73</v>
      </c>
    </row>
    <row r="121" spans="5:9" x14ac:dyDescent="0.3">
      <c r="F121" s="85">
        <f>IF(H119&lt;=3,3,6)</f>
        <v>6</v>
      </c>
      <c r="G121" s="93" t="s">
        <v>151</v>
      </c>
    </row>
    <row r="122" spans="5:9" x14ac:dyDescent="0.3">
      <c r="G122" s="119" t="s">
        <v>144</v>
      </c>
      <c r="H122" s="90">
        <f>ROUNDUP(((H110-0.08)*3.1416)+((H114*0.001*6)*2),1)</f>
        <v>0.9</v>
      </c>
      <c r="I122" s="91" t="s">
        <v>8</v>
      </c>
    </row>
    <row r="123" spans="5:9" x14ac:dyDescent="0.3">
      <c r="G123" s="175" t="s">
        <v>145</v>
      </c>
      <c r="H123" s="90">
        <f>((H107+0.2)/H115)+10</f>
        <v>28.5</v>
      </c>
      <c r="I123" s="91" t="s">
        <v>8</v>
      </c>
    </row>
    <row r="124" spans="5:9" x14ac:dyDescent="0.3">
      <c r="G124" s="6" t="s">
        <v>503</v>
      </c>
      <c r="H124" s="63">
        <f>ROUNDUP((H123*H122*H108/6),0)</f>
        <v>35</v>
      </c>
      <c r="I124" s="21" t="s">
        <v>73</v>
      </c>
    </row>
    <row r="125" spans="5:9" x14ac:dyDescent="0.3">
      <c r="G125" s="6" t="s">
        <v>504</v>
      </c>
      <c r="H125" s="63">
        <f>ROUNDUP(H123*H113*0.3*H108/53,1)</f>
        <v>7.8</v>
      </c>
      <c r="I125" s="21" t="s">
        <v>98</v>
      </c>
    </row>
    <row r="127" spans="5:9" x14ac:dyDescent="0.3">
      <c r="G127" s="93" t="s">
        <v>152</v>
      </c>
    </row>
    <row r="128" spans="5:9" x14ac:dyDescent="0.3">
      <c r="E128" s="85"/>
      <c r="F128" s="85"/>
      <c r="G128" s="94" t="s">
        <v>144</v>
      </c>
      <c r="H128" s="95">
        <f>ROUNDUP((H110-0.08)*3.1416,1)</f>
        <v>0.7</v>
      </c>
      <c r="I128" s="96" t="s">
        <v>8</v>
      </c>
    </row>
    <row r="129" spans="1:9" x14ac:dyDescent="0.3">
      <c r="G129" s="175" t="s">
        <v>153</v>
      </c>
      <c r="H129" s="90">
        <f>((H107+0.2)/H115)+10</f>
        <v>28.5</v>
      </c>
      <c r="I129" s="91" t="s">
        <v>8</v>
      </c>
    </row>
    <row r="130" spans="1:9" x14ac:dyDescent="0.3">
      <c r="G130" s="6" t="s">
        <v>503</v>
      </c>
      <c r="H130" s="97">
        <f>ROUNDUP((H128*H129*H108/5.5),0)</f>
        <v>30</v>
      </c>
      <c r="I130" s="98" t="s">
        <v>73</v>
      </c>
    </row>
    <row r="131" spans="1:9" x14ac:dyDescent="0.3">
      <c r="G131" s="6" t="s">
        <v>504</v>
      </c>
      <c r="H131" s="99">
        <f>ROUNDUP((H129*H108*H113*0.3/53),1)</f>
        <v>7.8</v>
      </c>
      <c r="I131" s="21" t="s">
        <v>98</v>
      </c>
    </row>
    <row r="140" spans="1:9" x14ac:dyDescent="0.3">
      <c r="A140" s="322"/>
      <c r="B140" s="322"/>
      <c r="C140" s="322"/>
      <c r="D140" s="322"/>
      <c r="E140" s="322"/>
      <c r="F140" s="322"/>
      <c r="G140" s="322"/>
      <c r="H140" s="322"/>
      <c r="I140" s="322"/>
    </row>
    <row r="142" spans="1:9" x14ac:dyDescent="0.3">
      <c r="A142" s="1" t="s">
        <v>176</v>
      </c>
    </row>
    <row r="144" spans="1:9" x14ac:dyDescent="0.3">
      <c r="F144" s="109" t="s">
        <v>169</v>
      </c>
      <c r="G144" s="2" t="s">
        <v>3</v>
      </c>
      <c r="H144" s="248">
        <v>6</v>
      </c>
      <c r="I144" s="34" t="s">
        <v>8</v>
      </c>
    </row>
    <row r="145" spans="5:9" x14ac:dyDescent="0.3">
      <c r="F145" s="109" t="s">
        <v>163</v>
      </c>
      <c r="G145" s="2" t="s">
        <v>4</v>
      </c>
      <c r="H145" s="248">
        <v>0.25</v>
      </c>
      <c r="I145" s="34" t="s">
        <v>8</v>
      </c>
    </row>
    <row r="146" spans="5:9" x14ac:dyDescent="0.3">
      <c r="F146" s="109" t="s">
        <v>164</v>
      </c>
      <c r="G146" s="2" t="s">
        <v>41</v>
      </c>
      <c r="H146" s="248">
        <v>0.5</v>
      </c>
      <c r="I146" s="34" t="s">
        <v>8</v>
      </c>
    </row>
    <row r="147" spans="5:9" x14ac:dyDescent="0.3">
      <c r="F147" s="109" t="s">
        <v>162</v>
      </c>
      <c r="G147" s="2" t="s">
        <v>170</v>
      </c>
      <c r="H147" s="248">
        <v>0.4</v>
      </c>
      <c r="I147" s="34" t="s">
        <v>8</v>
      </c>
    </row>
    <row r="148" spans="5:9" ht="41.4" x14ac:dyDescent="0.3">
      <c r="F148" s="103" t="s">
        <v>156</v>
      </c>
      <c r="G148" s="103" t="s">
        <v>155</v>
      </c>
      <c r="H148" s="101" t="s">
        <v>154</v>
      </c>
      <c r="I148" s="100" t="s">
        <v>13</v>
      </c>
    </row>
    <row r="149" spans="5:9" ht="16.2" x14ac:dyDescent="0.3">
      <c r="E149" s="109" t="s">
        <v>157</v>
      </c>
      <c r="F149" s="253">
        <v>2</v>
      </c>
      <c r="G149" s="254">
        <v>0</v>
      </c>
      <c r="H149" s="248">
        <v>20</v>
      </c>
      <c r="I149" s="34" t="s">
        <v>140</v>
      </c>
    </row>
    <row r="150" spans="5:9" x14ac:dyDescent="0.3">
      <c r="F150" s="102"/>
      <c r="G150" s="102"/>
    </row>
    <row r="151" spans="5:9" ht="16.2" x14ac:dyDescent="0.3">
      <c r="E151" s="109" t="s">
        <v>158</v>
      </c>
      <c r="F151" s="255">
        <v>0</v>
      </c>
      <c r="G151" s="256">
        <v>0</v>
      </c>
      <c r="H151" s="248">
        <v>10</v>
      </c>
      <c r="I151" s="34" t="s">
        <v>140</v>
      </c>
    </row>
    <row r="152" spans="5:9" x14ac:dyDescent="0.3">
      <c r="E152" t="s">
        <v>160</v>
      </c>
      <c r="F152" s="102"/>
      <c r="G152" s="102"/>
    </row>
    <row r="153" spans="5:9" ht="16.2" x14ac:dyDescent="0.3">
      <c r="E153" s="109" t="s">
        <v>159</v>
      </c>
      <c r="F153" s="253">
        <v>2</v>
      </c>
      <c r="G153" s="254">
        <v>0</v>
      </c>
      <c r="H153" s="248">
        <v>20</v>
      </c>
      <c r="I153" s="34" t="s">
        <v>140</v>
      </c>
    </row>
    <row r="155" spans="5:9" x14ac:dyDescent="0.3">
      <c r="G155" s="252" t="s">
        <v>502</v>
      </c>
      <c r="H155" s="248">
        <v>10</v>
      </c>
      <c r="I155" s="34" t="s">
        <v>140</v>
      </c>
    </row>
    <row r="156" spans="5:9" x14ac:dyDescent="0.3">
      <c r="G156" s="252" t="s">
        <v>161</v>
      </c>
      <c r="H156" s="248">
        <v>0.2</v>
      </c>
      <c r="I156" s="34" t="s">
        <v>8</v>
      </c>
    </row>
    <row r="172" spans="5:9" x14ac:dyDescent="0.3">
      <c r="E172" s="7"/>
      <c r="F172" s="177"/>
      <c r="G172" s="3"/>
      <c r="H172" s="73"/>
      <c r="I172" s="178"/>
    </row>
    <row r="174" spans="5:9" x14ac:dyDescent="0.3">
      <c r="E174" s="104" t="s">
        <v>165</v>
      </c>
      <c r="G174" s="105"/>
    </row>
    <row r="175" spans="5:9" x14ac:dyDescent="0.3">
      <c r="G175" s="109" t="s">
        <v>501</v>
      </c>
      <c r="H175" s="118">
        <f>ROUNDUP(((H144+(((H147/2)-0.08)*2)+((H146-0.08)*2))*F149/6),0)</f>
        <v>3</v>
      </c>
      <c r="I175" s="117" t="s">
        <v>73</v>
      </c>
    </row>
    <row r="176" spans="5:9" x14ac:dyDescent="0.3">
      <c r="G176" s="108" t="s">
        <v>499</v>
      </c>
      <c r="H176" s="118">
        <f>ROUNDUP((((((H144/4)+0.1)+(H147/2)+(H146-0.08))*2)*G149)/6,0)</f>
        <v>0</v>
      </c>
      <c r="I176" s="117" t="s">
        <v>73</v>
      </c>
    </row>
    <row r="177" spans="1:9" x14ac:dyDescent="0.3">
      <c r="E177" s="104" t="s">
        <v>167</v>
      </c>
      <c r="H177" s="115"/>
      <c r="I177" s="115"/>
    </row>
    <row r="178" spans="1:9" x14ac:dyDescent="0.3">
      <c r="G178" s="110" t="s">
        <v>500</v>
      </c>
      <c r="H178" s="83">
        <f>ROUNDUP(((H144+(H147-0.08))*F151)/6,0)</f>
        <v>0</v>
      </c>
      <c r="I178" s="116" t="s">
        <v>73</v>
      </c>
    </row>
    <row r="179" spans="1:9" x14ac:dyDescent="0.3">
      <c r="E179" s="104" t="s">
        <v>168</v>
      </c>
      <c r="F179" s="111"/>
      <c r="G179" s="92"/>
      <c r="H179" s="113"/>
      <c r="I179" s="114"/>
    </row>
    <row r="180" spans="1:9" x14ac:dyDescent="0.3">
      <c r="G180" s="109" t="s">
        <v>501</v>
      </c>
      <c r="H180" s="118">
        <f>ROUNDUP(((H144+(((H147/2)-0.08)*2)+((H146-0.08)*2))*F153/6),0)</f>
        <v>3</v>
      </c>
      <c r="I180" s="117" t="s">
        <v>73</v>
      </c>
    </row>
    <row r="181" spans="1:9" x14ac:dyDescent="0.3">
      <c r="G181" s="108" t="s">
        <v>499</v>
      </c>
      <c r="H181" s="83">
        <f>ROUNDUP((H144-((0.15*H144)*2))*G153/6,0)</f>
        <v>0</v>
      </c>
      <c r="I181" s="116" t="s">
        <v>73</v>
      </c>
    </row>
    <row r="182" spans="1:9" x14ac:dyDescent="0.3">
      <c r="G182" s="108"/>
      <c r="H182" s="113"/>
      <c r="I182" s="114"/>
    </row>
    <row r="183" spans="1:9" x14ac:dyDescent="0.3">
      <c r="G183" s="108"/>
      <c r="H183" s="113"/>
      <c r="I183" s="114"/>
    </row>
    <row r="185" spans="1:9" x14ac:dyDescent="0.3">
      <c r="A185" s="322"/>
      <c r="B185" s="322"/>
      <c r="C185" s="322"/>
      <c r="D185" s="322"/>
      <c r="E185" s="322"/>
      <c r="F185" s="322"/>
      <c r="G185" s="322"/>
      <c r="H185" s="322"/>
      <c r="I185" s="322"/>
    </row>
    <row r="186" spans="1:9" x14ac:dyDescent="0.3">
      <c r="E186" s="141"/>
      <c r="F186" s="1"/>
      <c r="G186" s="119" t="str">
        <f>CONCATENATE("Number of ",H149,"mm bars used as main bars")</f>
        <v>Number of 20mm bars used as main bars</v>
      </c>
      <c r="H186" s="106">
        <f>ROUNDUP(H180+H181+H176+H175,0)</f>
        <v>6</v>
      </c>
      <c r="I186" s="107" t="s">
        <v>73</v>
      </c>
    </row>
    <row r="187" spans="1:9" x14ac:dyDescent="0.3">
      <c r="D187" s="119"/>
      <c r="E187" s="141"/>
      <c r="F187" s="1"/>
      <c r="G187" s="119" t="str">
        <f>CONCATENATE("Number of ",H151,"mm bars used as web bars")</f>
        <v>Number of 10mm bars used as web bars</v>
      </c>
      <c r="H187" s="106">
        <f>ROUNDUP(H178,0)</f>
        <v>0</v>
      </c>
      <c r="I187" s="107" t="s">
        <v>73</v>
      </c>
    </row>
    <row r="188" spans="1:9" x14ac:dyDescent="0.3">
      <c r="D188" s="119"/>
      <c r="E188" s="141"/>
      <c r="F188" s="1"/>
      <c r="G188" s="119" t="str">
        <f>CONCATENATE("Number of ",H155,"mm bars used as stirrups")</f>
        <v>Number of 10mm bars used as stirrups</v>
      </c>
      <c r="H188" s="112">
        <f>ROUNDUP(((H144/H156)+10)*(((H145-0.08)*2)+((H146-0.08)*2)+0.2)/6,0)</f>
        <v>10</v>
      </c>
      <c r="I188" s="107" t="s">
        <v>73</v>
      </c>
    </row>
    <row r="189" spans="1:9" x14ac:dyDescent="0.3">
      <c r="G189" s="6" t="s">
        <v>97</v>
      </c>
      <c r="H189" s="179">
        <f>ROUNDUP(((F149+G149+F151+G151+F153+G153)*((H144/H147)+10)*0.3)/53,1)</f>
        <v>0.6</v>
      </c>
      <c r="I189" s="21" t="s">
        <v>98</v>
      </c>
    </row>
    <row r="190" spans="1:9" x14ac:dyDescent="0.3">
      <c r="A190" s="1" t="s">
        <v>284</v>
      </c>
    </row>
    <row r="191" spans="1:9" x14ac:dyDescent="0.3">
      <c r="F191" s="109" t="s">
        <v>171</v>
      </c>
      <c r="G191" s="2" t="s">
        <v>173</v>
      </c>
      <c r="H191" s="248">
        <v>5</v>
      </c>
      <c r="I191" s="34" t="s">
        <v>8</v>
      </c>
    </row>
    <row r="192" spans="1:9" x14ac:dyDescent="0.3">
      <c r="F192" s="109" t="s">
        <v>172</v>
      </c>
      <c r="G192" s="2" t="s">
        <v>174</v>
      </c>
      <c r="H192" s="248">
        <v>5</v>
      </c>
      <c r="I192" s="34" t="s">
        <v>8</v>
      </c>
    </row>
    <row r="193" spans="5:9" x14ac:dyDescent="0.3">
      <c r="F193" s="109" t="s">
        <v>163</v>
      </c>
      <c r="G193" s="2" t="s">
        <v>4</v>
      </c>
      <c r="H193" s="248">
        <v>0.2</v>
      </c>
      <c r="I193" s="34" t="s">
        <v>8</v>
      </c>
    </row>
    <row r="194" spans="5:9" x14ac:dyDescent="0.3">
      <c r="F194" s="109" t="s">
        <v>164</v>
      </c>
      <c r="G194" s="2" t="s">
        <v>41</v>
      </c>
      <c r="H194" s="248">
        <v>0.3</v>
      </c>
      <c r="I194" s="34" t="s">
        <v>8</v>
      </c>
    </row>
    <row r="195" spans="5:9" x14ac:dyDescent="0.3">
      <c r="F195" s="109" t="s">
        <v>175</v>
      </c>
      <c r="G195" s="2" t="s">
        <v>170</v>
      </c>
      <c r="H195" s="248">
        <v>0.3</v>
      </c>
      <c r="I195" s="34" t="s">
        <v>8</v>
      </c>
    </row>
    <row r="196" spans="5:9" ht="41.4" x14ac:dyDescent="0.3">
      <c r="F196" s="103" t="s">
        <v>156</v>
      </c>
      <c r="G196" s="103" t="s">
        <v>155</v>
      </c>
      <c r="H196" s="101" t="s">
        <v>154</v>
      </c>
      <c r="I196" s="100" t="s">
        <v>13</v>
      </c>
    </row>
    <row r="197" spans="5:9" ht="16.2" x14ac:dyDescent="0.3">
      <c r="E197" s="109" t="s">
        <v>157</v>
      </c>
      <c r="F197" s="253">
        <v>2</v>
      </c>
      <c r="G197" s="254">
        <v>1</v>
      </c>
      <c r="H197" s="248">
        <v>12</v>
      </c>
      <c r="I197" s="34" t="s">
        <v>140</v>
      </c>
    </row>
    <row r="198" spans="5:9" x14ac:dyDescent="0.3">
      <c r="F198" s="102"/>
      <c r="G198" s="102"/>
    </row>
    <row r="199" spans="5:9" ht="16.2" x14ac:dyDescent="0.3">
      <c r="E199" s="109" t="s">
        <v>158</v>
      </c>
      <c r="F199" s="255">
        <v>0</v>
      </c>
      <c r="G199" s="256">
        <v>0</v>
      </c>
      <c r="H199" s="248">
        <v>10</v>
      </c>
      <c r="I199" s="34" t="s">
        <v>140</v>
      </c>
    </row>
    <row r="200" spans="5:9" x14ac:dyDescent="0.3">
      <c r="E200" t="s">
        <v>160</v>
      </c>
      <c r="F200" s="102"/>
      <c r="G200" s="102"/>
    </row>
    <row r="201" spans="5:9" ht="16.2" x14ac:dyDescent="0.3">
      <c r="E201" s="109" t="s">
        <v>159</v>
      </c>
      <c r="F201" s="253">
        <v>2</v>
      </c>
      <c r="G201" s="254">
        <v>1</v>
      </c>
      <c r="H201" s="248">
        <v>12</v>
      </c>
      <c r="I201" s="34" t="s">
        <v>140</v>
      </c>
    </row>
    <row r="203" spans="5:9" x14ac:dyDescent="0.3">
      <c r="G203" s="252" t="s">
        <v>502</v>
      </c>
      <c r="H203" s="248">
        <v>10</v>
      </c>
      <c r="I203" s="34" t="s">
        <v>140</v>
      </c>
    </row>
    <row r="204" spans="5:9" x14ac:dyDescent="0.3">
      <c r="G204" s="252" t="s">
        <v>161</v>
      </c>
      <c r="H204" s="248">
        <v>0.2</v>
      </c>
      <c r="I204" s="34" t="s">
        <v>8</v>
      </c>
    </row>
    <row r="219" spans="5:9" x14ac:dyDescent="0.3">
      <c r="F219" s="177"/>
      <c r="G219" s="3"/>
      <c r="H219" s="73"/>
      <c r="I219" s="178"/>
    </row>
    <row r="220" spans="5:9" x14ac:dyDescent="0.3">
      <c r="F220" s="177"/>
      <c r="G220" s="3"/>
      <c r="H220" s="73"/>
      <c r="I220" s="178"/>
    </row>
    <row r="221" spans="5:9" x14ac:dyDescent="0.3">
      <c r="E221" s="104" t="s">
        <v>165</v>
      </c>
      <c r="G221" s="105"/>
    </row>
    <row r="222" spans="5:9" x14ac:dyDescent="0.3">
      <c r="G222" s="109" t="s">
        <v>501</v>
      </c>
      <c r="H222" s="118">
        <f>ROUNDUP(((((H191+H192)+(H195-0.08)+((H194-0.08)*2))*F197)/(6-(H197*0.04))),0)</f>
        <v>4</v>
      </c>
      <c r="I222" s="117" t="s">
        <v>73</v>
      </c>
    </row>
    <row r="223" spans="5:9" x14ac:dyDescent="0.3">
      <c r="G223" s="108" t="s">
        <v>499</v>
      </c>
      <c r="H223" s="118">
        <f>ROUNDUP(((((H191/4)+((H195/2)-0.08)+(H194-0.08)))+(((H191/4)+0.1))+(((H192/4)+0.1))+(((H192/4)+0.1)+(((H195/2)-0.08)+(H194-0.08))))*G197/(6-(H197*0.04)),0)</f>
        <v>2</v>
      </c>
      <c r="I223" s="117" t="s">
        <v>73</v>
      </c>
    </row>
    <row r="224" spans="5:9" x14ac:dyDescent="0.3">
      <c r="E224" s="104" t="s">
        <v>167</v>
      </c>
      <c r="F224" s="7"/>
      <c r="H224" s="115"/>
      <c r="I224" s="115"/>
    </row>
    <row r="225" spans="1:9" x14ac:dyDescent="0.3">
      <c r="G225" s="110" t="s">
        <v>500</v>
      </c>
      <c r="H225" s="83">
        <f>ROUNDUP(((H192+H191+H195)*F199/(6-(H199*0.04))),0)</f>
        <v>0</v>
      </c>
      <c r="I225" s="116" t="s">
        <v>73</v>
      </c>
    </row>
    <row r="226" spans="1:9" x14ac:dyDescent="0.3">
      <c r="E226" s="104" t="s">
        <v>168</v>
      </c>
      <c r="F226" s="111"/>
      <c r="G226" s="92"/>
      <c r="H226" s="113"/>
      <c r="I226" s="114"/>
    </row>
    <row r="227" spans="1:9" x14ac:dyDescent="0.3">
      <c r="G227" s="109" t="s">
        <v>166</v>
      </c>
      <c r="H227" s="118">
        <f>ROUNDUP(((((H191+H192)+(H195-0.08)+((H194-0.08)*2))*F201)/(6-(H201*0.04))),0)</f>
        <v>4</v>
      </c>
      <c r="I227" s="117" t="s">
        <v>73</v>
      </c>
    </row>
    <row r="228" spans="1:9" x14ac:dyDescent="0.3">
      <c r="G228" s="108" t="s">
        <v>499</v>
      </c>
      <c r="H228" s="118">
        <f>ROUNDUP((((H191-(0.3*H191))+0.2)+((H192-(0.3*H192))+0.2))/(6-(H201*0.04)),0)</f>
        <v>2</v>
      </c>
      <c r="I228" s="116" t="s">
        <v>73</v>
      </c>
    </row>
    <row r="229" spans="1:9" x14ac:dyDescent="0.3">
      <c r="G229" s="108"/>
      <c r="H229" s="296"/>
      <c r="I229" s="114"/>
    </row>
    <row r="230" spans="1:9" x14ac:dyDescent="0.3">
      <c r="A230" s="322"/>
      <c r="B230" s="322"/>
      <c r="C230" s="322"/>
      <c r="D230" s="322"/>
      <c r="E230" s="322"/>
      <c r="F230" s="322"/>
      <c r="G230" s="322"/>
      <c r="H230" s="322"/>
      <c r="I230" s="322"/>
    </row>
    <row r="231" spans="1:9" x14ac:dyDescent="0.3">
      <c r="D231" s="119"/>
      <c r="E231" s="141"/>
      <c r="F231" s="1"/>
      <c r="G231" s="119" t="str">
        <f>CONCATENATE("Number of ",H197,"mm bars required as main bars")</f>
        <v>Number of 12mm bars required as main bars</v>
      </c>
      <c r="H231" s="106">
        <f>ROUNDUP((H222+H223+H227+H228),0)</f>
        <v>12</v>
      </c>
      <c r="I231" s="107" t="s">
        <v>73</v>
      </c>
    </row>
    <row r="232" spans="1:9" x14ac:dyDescent="0.3">
      <c r="D232" s="119"/>
      <c r="E232" s="141"/>
      <c r="F232" s="1"/>
      <c r="G232" s="119" t="str">
        <f>CONCATENATE("Number of ",H199,"mm bars required as web bars")</f>
        <v>Number of 10mm bars required as web bars</v>
      </c>
      <c r="H232" s="106">
        <f>ROUNDUP(H225,0)</f>
        <v>0</v>
      </c>
      <c r="I232" s="107" t="s">
        <v>73</v>
      </c>
    </row>
    <row r="233" spans="1:9" x14ac:dyDescent="0.3">
      <c r="D233" s="119"/>
      <c r="E233" s="141"/>
      <c r="F233" s="1"/>
      <c r="G233" s="119" t="str">
        <f>CONCATENATE("Number of ",H203,"mm bars required as stirrups")</f>
        <v>Number of 10mm bars required as stirrups</v>
      </c>
      <c r="H233" s="63">
        <f>ROUNDUP(((((H219+H220)/H204)+12)*((H194-0.08)+(H193-0.08))*2/6),0)</f>
        <v>2</v>
      </c>
      <c r="I233" s="107" t="s">
        <v>73</v>
      </c>
    </row>
    <row r="234" spans="1:9" x14ac:dyDescent="0.3">
      <c r="G234" s="6" t="s">
        <v>97</v>
      </c>
      <c r="H234" s="112">
        <f>ROUNDUP(((((H191+H192)/H204)+12)*(F197+G197+F199+G199+F201+G201)*(0.3))/53,1)</f>
        <v>2.2000000000000002</v>
      </c>
      <c r="I234" s="21" t="s">
        <v>98</v>
      </c>
    </row>
    <row r="235" spans="1:9" x14ac:dyDescent="0.3">
      <c r="A235" s="61" t="s">
        <v>177</v>
      </c>
      <c r="B235" s="62"/>
    </row>
    <row r="258" spans="2:9" x14ac:dyDescent="0.3">
      <c r="B258" s="1" t="s">
        <v>178</v>
      </c>
      <c r="C258" s="1"/>
      <c r="D258" s="1"/>
      <c r="E258" s="1"/>
      <c r="F258" s="1"/>
      <c r="G258" s="1"/>
      <c r="H258" s="1"/>
      <c r="I258" s="1"/>
    </row>
    <row r="260" spans="2:9" ht="15" customHeight="1" x14ac:dyDescent="0.3">
      <c r="B260" s="316" t="s">
        <v>179</v>
      </c>
      <c r="C260" s="317"/>
      <c r="D260" s="318"/>
      <c r="E260" s="319" t="s">
        <v>180</v>
      </c>
      <c r="F260" s="320"/>
      <c r="G260" s="320"/>
      <c r="H260" s="321"/>
      <c r="I260" s="121" t="s">
        <v>181</v>
      </c>
    </row>
    <row r="261" spans="2:9" x14ac:dyDescent="0.3">
      <c r="B261" s="310">
        <v>10</v>
      </c>
      <c r="C261" s="311"/>
      <c r="D261" s="312"/>
      <c r="E261" s="313">
        <v>3.7639999999999998</v>
      </c>
      <c r="F261" s="314"/>
      <c r="G261" s="314"/>
      <c r="H261" s="315"/>
      <c r="I261" s="120">
        <v>0.47399999999999998</v>
      </c>
    </row>
    <row r="262" spans="2:9" x14ac:dyDescent="0.3">
      <c r="B262" s="310">
        <v>12.5</v>
      </c>
      <c r="C262" s="311"/>
      <c r="D262" s="312"/>
      <c r="E262" s="313">
        <v>3.0619999999999998</v>
      </c>
      <c r="F262" s="314"/>
      <c r="G262" s="314"/>
      <c r="H262" s="315"/>
      <c r="I262" s="120">
        <v>0.316</v>
      </c>
    </row>
    <row r="263" spans="2:9" x14ac:dyDescent="0.3">
      <c r="B263" s="310">
        <v>15</v>
      </c>
      <c r="C263" s="311"/>
      <c r="D263" s="312"/>
      <c r="E263" s="313">
        <v>2.5840000000000001</v>
      </c>
      <c r="F263" s="314"/>
      <c r="G263" s="314"/>
      <c r="H263" s="315"/>
      <c r="I263" s="120">
        <v>0.22800000000000001</v>
      </c>
    </row>
    <row r="264" spans="2:9" x14ac:dyDescent="0.3">
      <c r="B264" s="310">
        <v>17.5</v>
      </c>
      <c r="C264" s="311"/>
      <c r="D264" s="312"/>
      <c r="E264" s="313">
        <v>2.2320000000000002</v>
      </c>
      <c r="F264" s="314"/>
      <c r="G264" s="314"/>
      <c r="H264" s="315"/>
      <c r="I264" s="120">
        <v>0.16800000000000001</v>
      </c>
    </row>
    <row r="265" spans="2:9" x14ac:dyDescent="0.3">
      <c r="B265" s="310">
        <v>20</v>
      </c>
      <c r="C265" s="311"/>
      <c r="D265" s="312"/>
      <c r="E265" s="313">
        <v>1.98</v>
      </c>
      <c r="F265" s="314"/>
      <c r="G265" s="314"/>
      <c r="H265" s="315"/>
      <c r="I265" s="120">
        <v>0.13200000000000001</v>
      </c>
    </row>
    <row r="266" spans="2:9" x14ac:dyDescent="0.3">
      <c r="B266" s="344">
        <v>22.2</v>
      </c>
      <c r="C266" s="345"/>
      <c r="D266" s="346"/>
      <c r="E266" s="313">
        <v>1.786</v>
      </c>
      <c r="F266" s="314"/>
      <c r="G266" s="314"/>
      <c r="H266" s="315"/>
      <c r="I266" s="120">
        <v>0.11</v>
      </c>
    </row>
    <row r="267" spans="2:9" x14ac:dyDescent="0.3">
      <c r="B267" s="310">
        <v>25</v>
      </c>
      <c r="C267" s="311"/>
      <c r="D267" s="312"/>
      <c r="E267" s="313">
        <v>1.627</v>
      </c>
      <c r="F267" s="314"/>
      <c r="G267" s="314"/>
      <c r="H267" s="315"/>
      <c r="I267" s="120">
        <v>8.8999999999999996E-2</v>
      </c>
    </row>
    <row r="269" spans="2:9" x14ac:dyDescent="0.3">
      <c r="F269" s="69" t="s">
        <v>10</v>
      </c>
      <c r="G269" s="2" t="s">
        <v>18</v>
      </c>
      <c r="H269" s="248">
        <v>9</v>
      </c>
      <c r="I269" s="34" t="s">
        <v>8</v>
      </c>
    </row>
    <row r="270" spans="2:9" x14ac:dyDescent="0.3">
      <c r="F270" s="69" t="s">
        <v>9</v>
      </c>
      <c r="G270" s="2" t="s">
        <v>4</v>
      </c>
      <c r="H270" s="248">
        <v>7</v>
      </c>
      <c r="I270" s="34" t="s">
        <v>8</v>
      </c>
    </row>
    <row r="271" spans="2:9" x14ac:dyDescent="0.3">
      <c r="F271" s="122" t="s">
        <v>192</v>
      </c>
      <c r="G271" s="2" t="s">
        <v>182</v>
      </c>
      <c r="H271" s="248">
        <v>15</v>
      </c>
      <c r="I271" s="34" t="s">
        <v>183</v>
      </c>
    </row>
    <row r="273" spans="1:9" x14ac:dyDescent="0.3">
      <c r="F273" s="125" t="s">
        <v>184</v>
      </c>
      <c r="G273" s="2" t="s">
        <v>186</v>
      </c>
      <c r="H273" s="123">
        <f>IF(H271=B261,E261,IF(H271=B262,E262,IF(H271=B263,E263,IF(H271=B264,E264,IF(H271=B265,E265,IF(H271=B266,E266,IF(H271=B267,E267,"error entry")))))))</f>
        <v>2.5840000000000001</v>
      </c>
      <c r="I273" s="124"/>
    </row>
    <row r="274" spans="1:9" x14ac:dyDescent="0.3">
      <c r="F274" s="125" t="s">
        <v>185</v>
      </c>
      <c r="G274" s="2" t="s">
        <v>186</v>
      </c>
      <c r="H274" s="123">
        <f>IF(H271=B261,I261,IF(H271=B262,I262,IF(H271=B263,I263,IF(H271=B264,I264,IF(H271=B265,I265,IF(H271=B266,I266,IF(H271=B267,I267,"error entry")))))))</f>
        <v>0.22800000000000001</v>
      </c>
      <c r="I274" s="124"/>
    </row>
    <row r="275" spans="1:9" x14ac:dyDescent="0.3">
      <c r="F275" s="126" t="s">
        <v>498</v>
      </c>
      <c r="G275" s="10" t="s">
        <v>94</v>
      </c>
      <c r="H275" s="22">
        <f>ROUNDUP((H270*H269*H273),0)</f>
        <v>163</v>
      </c>
      <c r="I275" s="23" t="s">
        <v>73</v>
      </c>
    </row>
    <row r="276" spans="1:9" x14ac:dyDescent="0.3">
      <c r="F276" s="127" t="s">
        <v>497</v>
      </c>
      <c r="G276" s="10" t="s">
        <v>188</v>
      </c>
      <c r="H276" s="22">
        <f>ROUNDUP(H270*H269*H274,0)</f>
        <v>15</v>
      </c>
      <c r="I276" s="37" t="s">
        <v>188</v>
      </c>
    </row>
    <row r="277" spans="1:9" x14ac:dyDescent="0.3">
      <c r="A277" s="322"/>
      <c r="B277" s="322"/>
      <c r="C277" s="322"/>
      <c r="D277" s="322"/>
      <c r="E277" s="322"/>
      <c r="F277" s="322"/>
      <c r="G277" s="322"/>
      <c r="H277" s="322"/>
      <c r="I277" s="322"/>
    </row>
    <row r="281" spans="1:9" x14ac:dyDescent="0.3">
      <c r="A281" s="1" t="s">
        <v>189</v>
      </c>
    </row>
    <row r="304" spans="2:9" x14ac:dyDescent="0.3">
      <c r="B304" s="1" t="s">
        <v>178</v>
      </c>
      <c r="C304" s="1"/>
      <c r="D304" s="1"/>
      <c r="E304" s="1"/>
      <c r="F304" s="1"/>
      <c r="G304" s="1"/>
      <c r="H304" s="1"/>
      <c r="I304" s="1"/>
    </row>
    <row r="306" spans="2:9" x14ac:dyDescent="0.3">
      <c r="B306" s="316" t="s">
        <v>179</v>
      </c>
      <c r="C306" s="317"/>
      <c r="D306" s="318"/>
      <c r="E306" s="319" t="s">
        <v>180</v>
      </c>
      <c r="F306" s="320"/>
      <c r="G306" s="320"/>
      <c r="H306" s="321"/>
      <c r="I306" s="121" t="s">
        <v>181</v>
      </c>
    </row>
    <row r="307" spans="2:9" x14ac:dyDescent="0.3">
      <c r="B307" s="310">
        <v>10</v>
      </c>
      <c r="C307" s="311"/>
      <c r="D307" s="312"/>
      <c r="E307" s="313">
        <v>4.3689999999999998</v>
      </c>
      <c r="F307" s="314"/>
      <c r="G307" s="314"/>
      <c r="H307" s="315"/>
      <c r="I307" s="120">
        <v>0.59199999999999997</v>
      </c>
    </row>
    <row r="308" spans="2:9" x14ac:dyDescent="0.3">
      <c r="B308" s="310">
        <v>12.5</v>
      </c>
      <c r="C308" s="311"/>
      <c r="D308" s="312"/>
      <c r="E308" s="313">
        <v>3.6030000000000002</v>
      </c>
      <c r="F308" s="314"/>
      <c r="G308" s="314"/>
      <c r="H308" s="315"/>
      <c r="I308" s="120">
        <v>0.41599999999999998</v>
      </c>
    </row>
    <row r="309" spans="2:9" x14ac:dyDescent="0.3">
      <c r="B309" s="310">
        <v>15</v>
      </c>
      <c r="C309" s="311"/>
      <c r="D309" s="312"/>
      <c r="E309" s="313">
        <v>3.2210000000000001</v>
      </c>
      <c r="F309" s="314"/>
      <c r="G309" s="314"/>
      <c r="H309" s="315"/>
      <c r="I309" s="120">
        <v>0.35</v>
      </c>
    </row>
    <row r="310" spans="2:9" x14ac:dyDescent="0.3">
      <c r="B310" s="310">
        <v>17.5</v>
      </c>
      <c r="C310" s="311"/>
      <c r="D310" s="312"/>
      <c r="E310" s="313">
        <v>2.6469999999999998</v>
      </c>
      <c r="F310" s="314"/>
      <c r="G310" s="314"/>
      <c r="H310" s="315"/>
      <c r="I310" s="120">
        <v>0.247</v>
      </c>
    </row>
    <row r="311" spans="2:9" x14ac:dyDescent="0.3">
      <c r="B311" s="310">
        <v>20</v>
      </c>
      <c r="C311" s="311"/>
      <c r="D311" s="312"/>
      <c r="E311" s="313">
        <v>2.36</v>
      </c>
      <c r="F311" s="314"/>
      <c r="G311" s="314"/>
      <c r="H311" s="315"/>
      <c r="I311" s="120">
        <v>0.17399999999999999</v>
      </c>
    </row>
    <row r="312" spans="2:9" x14ac:dyDescent="0.3">
      <c r="B312" s="310">
        <v>22.2</v>
      </c>
      <c r="C312" s="311"/>
      <c r="D312" s="312"/>
      <c r="E312" s="313">
        <v>2.1680000000000001</v>
      </c>
      <c r="F312" s="314"/>
      <c r="G312" s="314"/>
      <c r="H312" s="315"/>
      <c r="I312" s="120">
        <v>0.16800000000000001</v>
      </c>
    </row>
    <row r="313" spans="2:9" x14ac:dyDescent="0.3">
      <c r="B313" s="310">
        <v>25</v>
      </c>
      <c r="C313" s="311"/>
      <c r="D313" s="312"/>
      <c r="E313" s="313">
        <v>1.9770000000000001</v>
      </c>
      <c r="F313" s="314"/>
      <c r="G313" s="314"/>
      <c r="H313" s="315"/>
      <c r="I313" s="120">
        <v>0.14199999999999999</v>
      </c>
    </row>
    <row r="315" spans="2:9" x14ac:dyDescent="0.3">
      <c r="F315" s="69" t="s">
        <v>10</v>
      </c>
      <c r="G315" s="2" t="s">
        <v>18</v>
      </c>
      <c r="H315" s="248">
        <v>9</v>
      </c>
      <c r="I315" s="34" t="s">
        <v>8</v>
      </c>
    </row>
    <row r="316" spans="2:9" x14ac:dyDescent="0.3">
      <c r="F316" s="69" t="s">
        <v>9</v>
      </c>
      <c r="G316" s="2" t="s">
        <v>4</v>
      </c>
      <c r="H316" s="248">
        <v>7</v>
      </c>
      <c r="I316" s="34" t="s">
        <v>8</v>
      </c>
    </row>
    <row r="317" spans="2:9" x14ac:dyDescent="0.3">
      <c r="F317" s="122" t="s">
        <v>192</v>
      </c>
      <c r="G317" s="2" t="s">
        <v>182</v>
      </c>
      <c r="H317" s="248">
        <v>15</v>
      </c>
      <c r="I317" s="34" t="s">
        <v>183</v>
      </c>
    </row>
    <row r="319" spans="2:9" x14ac:dyDescent="0.3">
      <c r="F319" s="125" t="s">
        <v>184</v>
      </c>
      <c r="G319" s="2" t="s">
        <v>186</v>
      </c>
      <c r="H319" s="123">
        <f>IF(H317=B307,E307,IF(H317=B308,E308,IF(H317=B309,E309,IF(H317=B310,E310,IF(H317=B311,E311,IF(H317=B312,E312,IF(H317=B313,E313,"error entry")))))))</f>
        <v>3.2210000000000001</v>
      </c>
      <c r="I319" s="124"/>
    </row>
    <row r="320" spans="2:9" x14ac:dyDescent="0.3">
      <c r="F320" s="125" t="s">
        <v>185</v>
      </c>
      <c r="G320" s="2" t="s">
        <v>186</v>
      </c>
      <c r="H320" s="123">
        <f>IF(H317=B307,I307,IF(H317=B308,I308,IF(H317=B309,I309,IF(H317=B310,I310,IF(H317=B311,I311,IF(H317=B312,I312,IF(H317=B313,I313,"error entry")))))))</f>
        <v>0.35</v>
      </c>
      <c r="I320" s="124"/>
    </row>
    <row r="321" spans="1:9" x14ac:dyDescent="0.3">
      <c r="F321" s="126" t="s">
        <v>498</v>
      </c>
      <c r="G321" s="10" t="s">
        <v>94</v>
      </c>
      <c r="H321" s="22">
        <f>ROUNDUP((H316*H315*H319),0)</f>
        <v>203</v>
      </c>
      <c r="I321" s="23" t="s">
        <v>73</v>
      </c>
    </row>
    <row r="322" spans="1:9" x14ac:dyDescent="0.3">
      <c r="F322" s="127" t="s">
        <v>497</v>
      </c>
      <c r="G322" s="10" t="s">
        <v>188</v>
      </c>
      <c r="H322" s="22">
        <f>ROUNDUP(H316*H315*H320,0)</f>
        <v>23</v>
      </c>
      <c r="I322" s="37" t="s">
        <v>188</v>
      </c>
    </row>
    <row r="324" spans="1:9" x14ac:dyDescent="0.3">
      <c r="A324" s="322"/>
      <c r="B324" s="322"/>
      <c r="C324" s="322"/>
      <c r="D324" s="322"/>
      <c r="E324" s="322"/>
      <c r="F324" s="322"/>
      <c r="G324" s="322"/>
      <c r="H324" s="322"/>
      <c r="I324" s="322"/>
    </row>
    <row r="328" spans="1:9" x14ac:dyDescent="0.3">
      <c r="A328" s="1" t="s">
        <v>190</v>
      </c>
    </row>
    <row r="330" spans="1:9" x14ac:dyDescent="0.3">
      <c r="F330" s="69" t="s">
        <v>10</v>
      </c>
      <c r="G330" s="2" t="s">
        <v>18</v>
      </c>
      <c r="H330" s="248">
        <v>9</v>
      </c>
      <c r="I330" s="5" t="s">
        <v>8</v>
      </c>
    </row>
    <row r="331" spans="1:9" x14ac:dyDescent="0.3">
      <c r="F331" s="69" t="s">
        <v>9</v>
      </c>
      <c r="G331" s="2" t="s">
        <v>4</v>
      </c>
      <c r="H331" s="248">
        <v>7</v>
      </c>
      <c r="I331" s="5" t="s">
        <v>8</v>
      </c>
    </row>
    <row r="332" spans="1:9" x14ac:dyDescent="0.3">
      <c r="F332" s="122" t="s">
        <v>191</v>
      </c>
      <c r="G332" s="2" t="s">
        <v>182</v>
      </c>
      <c r="H332" s="248">
        <v>40</v>
      </c>
      <c r="I332" s="5" t="s">
        <v>183</v>
      </c>
    </row>
    <row r="333" spans="1:9" x14ac:dyDescent="0.3">
      <c r="F333" s="122" t="s">
        <v>193</v>
      </c>
      <c r="G333" s="2" t="s">
        <v>182</v>
      </c>
      <c r="H333" s="248">
        <v>40</v>
      </c>
      <c r="I333" s="5" t="s">
        <v>183</v>
      </c>
    </row>
    <row r="335" spans="1:9" x14ac:dyDescent="0.3">
      <c r="F335" s="126" t="s">
        <v>195</v>
      </c>
      <c r="G335" s="10" t="s">
        <v>94</v>
      </c>
      <c r="H335" s="22">
        <f>ROUNDUP(((((H331/(H332/100))+1)*H330)/5.5),0)</f>
        <v>31</v>
      </c>
      <c r="I335" s="23" t="s">
        <v>73</v>
      </c>
    </row>
    <row r="336" spans="1:9" x14ac:dyDescent="0.3">
      <c r="F336" s="126" t="s">
        <v>194</v>
      </c>
      <c r="G336" s="10" t="s">
        <v>94</v>
      </c>
      <c r="H336" s="22">
        <f>ROUNDUP(((((H330/(H333/100))+1)*H331)/5.5),0)</f>
        <v>30</v>
      </c>
      <c r="I336" s="23" t="s">
        <v>73</v>
      </c>
    </row>
    <row r="337" spans="1:9" x14ac:dyDescent="0.3">
      <c r="F337" s="127" t="s">
        <v>497</v>
      </c>
      <c r="G337" s="10" t="s">
        <v>188</v>
      </c>
      <c r="H337" s="22">
        <f>ROUNDUP((H335*H336*0.3/53),0)</f>
        <v>6</v>
      </c>
      <c r="I337" s="37" t="s">
        <v>188</v>
      </c>
    </row>
    <row r="340" spans="1:9" x14ac:dyDescent="0.3">
      <c r="A340" s="1" t="s">
        <v>49</v>
      </c>
    </row>
    <row r="341" spans="1:9" x14ac:dyDescent="0.3">
      <c r="F341" s="69" t="s">
        <v>50</v>
      </c>
      <c r="G341" s="2" t="s">
        <v>55</v>
      </c>
      <c r="H341" s="248">
        <v>0.2</v>
      </c>
      <c r="I341" s="41" t="s">
        <v>8</v>
      </c>
    </row>
    <row r="342" spans="1:9" x14ac:dyDescent="0.3">
      <c r="F342" s="69" t="s">
        <v>51</v>
      </c>
      <c r="G342" s="2" t="s">
        <v>56</v>
      </c>
      <c r="H342" s="248">
        <v>0.3</v>
      </c>
      <c r="I342" s="41" t="s">
        <v>8</v>
      </c>
    </row>
    <row r="343" spans="1:9" x14ac:dyDescent="0.3">
      <c r="F343" s="69" t="s">
        <v>52</v>
      </c>
      <c r="G343" s="2" t="s">
        <v>4</v>
      </c>
      <c r="H343" s="249">
        <v>1.2</v>
      </c>
      <c r="I343" s="41" t="s">
        <v>8</v>
      </c>
    </row>
    <row r="344" spans="1:9" x14ac:dyDescent="0.3">
      <c r="F344" s="69" t="s">
        <v>53</v>
      </c>
      <c r="G344" s="2" t="s">
        <v>57</v>
      </c>
      <c r="H344" s="248">
        <v>17</v>
      </c>
      <c r="I344" s="34" t="s">
        <v>59</v>
      </c>
    </row>
    <row r="345" spans="1:9" x14ac:dyDescent="0.3">
      <c r="F345" s="69" t="s">
        <v>54</v>
      </c>
      <c r="G345" s="2" t="s">
        <v>58</v>
      </c>
      <c r="H345" s="248">
        <v>0.15</v>
      </c>
      <c r="I345" s="41" t="s">
        <v>8</v>
      </c>
    </row>
    <row r="346" spans="1:9" x14ac:dyDescent="0.3">
      <c r="G346" s="56">
        <f>((H341*H342/2)*H343)*H344</f>
        <v>0.61199999999999999</v>
      </c>
      <c r="H346" s="56">
        <f>(SQRT((H342*H342)+(H341*H341)))</f>
        <v>0.36055512754639896</v>
      </c>
      <c r="I346" s="56">
        <f>H346+G346</f>
        <v>0.97255512754639895</v>
      </c>
    </row>
    <row r="347" spans="1:9" x14ac:dyDescent="0.3">
      <c r="F347" s="143" t="s">
        <v>242</v>
      </c>
    </row>
    <row r="348" spans="1:9" x14ac:dyDescent="0.3">
      <c r="F348" s="257">
        <v>0.3</v>
      </c>
    </row>
    <row r="349" spans="1:9" x14ac:dyDescent="0.3">
      <c r="A349" s="144" t="s">
        <v>242</v>
      </c>
      <c r="F349" s="145" t="s">
        <v>243</v>
      </c>
    </row>
    <row r="350" spans="1:9" x14ac:dyDescent="0.3">
      <c r="A350" s="257">
        <v>0.3</v>
      </c>
      <c r="F350" s="258">
        <v>12</v>
      </c>
    </row>
    <row r="351" spans="1:9" x14ac:dyDescent="0.3">
      <c r="A351" s="144" t="s">
        <v>244</v>
      </c>
    </row>
    <row r="352" spans="1:9" x14ac:dyDescent="0.3">
      <c r="A352" s="258">
        <v>16</v>
      </c>
    </row>
    <row r="353" spans="1:9" x14ac:dyDescent="0.3">
      <c r="F353" s="146" t="s">
        <v>242</v>
      </c>
    </row>
    <row r="354" spans="1:9" x14ac:dyDescent="0.3">
      <c r="D354" s="7"/>
      <c r="E354" s="7"/>
      <c r="F354" s="257">
        <v>0.3</v>
      </c>
      <c r="G354" s="7"/>
      <c r="H354" s="7"/>
      <c r="I354" s="147"/>
    </row>
    <row r="355" spans="1:9" x14ac:dyDescent="0.3">
      <c r="A355" s="148" t="s">
        <v>242</v>
      </c>
      <c r="D355" s="7"/>
      <c r="E355" s="7"/>
      <c r="F355" s="146" t="s">
        <v>243</v>
      </c>
      <c r="G355" s="7"/>
      <c r="H355" s="7"/>
      <c r="I355" s="7"/>
    </row>
    <row r="356" spans="1:9" x14ac:dyDescent="0.3">
      <c r="A356" s="257">
        <v>0.3</v>
      </c>
      <c r="D356" s="7"/>
      <c r="E356" s="7"/>
      <c r="F356" s="258">
        <v>12</v>
      </c>
      <c r="G356" s="6"/>
      <c r="H356" s="73"/>
      <c r="I356" s="149"/>
    </row>
    <row r="357" spans="1:9" x14ac:dyDescent="0.3">
      <c r="A357" s="148" t="s">
        <v>245</v>
      </c>
      <c r="D357" s="7"/>
      <c r="E357" s="7"/>
      <c r="F357" s="9"/>
      <c r="G357" s="72"/>
      <c r="H357" s="73"/>
      <c r="I357" s="128"/>
    </row>
    <row r="358" spans="1:9" x14ac:dyDescent="0.3">
      <c r="A358" s="258">
        <v>12</v>
      </c>
      <c r="D358" s="7"/>
      <c r="E358" s="7"/>
      <c r="F358" s="9"/>
      <c r="G358" s="72"/>
      <c r="H358" s="73"/>
      <c r="I358" s="128"/>
    </row>
    <row r="359" spans="1:9" x14ac:dyDescent="0.3">
      <c r="B359" s="150"/>
      <c r="C359" s="151"/>
      <c r="D359" s="152"/>
      <c r="E359" s="211"/>
      <c r="F359" s="109" t="str">
        <f>CONCATENATE("Number of ",F350," mm Lateral Bars required @ Steps")</f>
        <v>Number of 12 mm Lateral Bars required @ Steps</v>
      </c>
      <c r="G359" s="10" t="s">
        <v>94</v>
      </c>
      <c r="H359" s="22">
        <f>ROUNDUP(((((H341+H342+0.0125)*H344)+1.2)*((H343/F348)+1)/5.5),0)</f>
        <v>10</v>
      </c>
      <c r="I359" s="23" t="s">
        <v>73</v>
      </c>
    </row>
    <row r="360" spans="1:9" x14ac:dyDescent="0.3">
      <c r="B360" s="153"/>
      <c r="C360" s="154"/>
      <c r="D360" s="155"/>
      <c r="E360" s="212"/>
      <c r="F360" s="110" t="str">
        <f>CONCATENATE("Number of ",F356," mm Horizontal Bars required @ Steps")</f>
        <v>Number of 12 mm Horizontal Bars required @ Steps</v>
      </c>
      <c r="G360" s="10" t="s">
        <v>94</v>
      </c>
      <c r="H360" s="22">
        <f>ROUNDUP((((H343*2)+H343)*H344)/6,0)</f>
        <v>11</v>
      </c>
      <c r="I360" s="23" t="s">
        <v>73</v>
      </c>
    </row>
    <row r="361" spans="1:9" x14ac:dyDescent="0.3">
      <c r="B361" s="156"/>
      <c r="C361" s="157"/>
      <c r="D361" s="158"/>
      <c r="E361" s="213"/>
      <c r="F361" s="108" t="str">
        <f>CONCATENATE("Number of ",A352," mm Lateral Bars required @ Stringer")</f>
        <v>Number of 16 mm Lateral Bars required @ Stringer</v>
      </c>
      <c r="G361" s="10" t="s">
        <v>94</v>
      </c>
      <c r="H361" s="22">
        <f>ROUNDUP(((((H346*H344)+1.2)*((H343/A350)+1))/5.5),0)</f>
        <v>7</v>
      </c>
      <c r="I361" s="23" t="s">
        <v>73</v>
      </c>
    </row>
    <row r="362" spans="1:9" x14ac:dyDescent="0.3">
      <c r="B362" s="159"/>
      <c r="C362" s="160"/>
      <c r="D362" s="161"/>
      <c r="E362" s="214"/>
      <c r="F362" s="216" t="str">
        <f>CONCATENATE("Number of ",A358," mm Horizontal Bars required @ Stringer")</f>
        <v>Number of 12 mm Horizontal Bars required @ Stringer</v>
      </c>
      <c r="G362" s="10" t="s">
        <v>94</v>
      </c>
      <c r="H362" s="22">
        <f>ROUNDUP((((H343*H344)+H343)/6),0)</f>
        <v>4</v>
      </c>
      <c r="I362" s="23" t="s">
        <v>73</v>
      </c>
    </row>
    <row r="363" spans="1:9" x14ac:dyDescent="0.3">
      <c r="F363" s="119" t="s">
        <v>187</v>
      </c>
      <c r="G363" s="10" t="s">
        <v>188</v>
      </c>
      <c r="H363" s="22">
        <f>ROUNDUP((H344*((H343/F348)+1)*3*0.3/53),0)</f>
        <v>2</v>
      </c>
      <c r="I363" s="37" t="s">
        <v>188</v>
      </c>
    </row>
    <row r="365" spans="1:9" x14ac:dyDescent="0.3">
      <c r="A365" s="93" t="s">
        <v>246</v>
      </c>
      <c r="B365" s="93" t="s">
        <v>247</v>
      </c>
      <c r="C365" s="1"/>
      <c r="D365" s="1"/>
      <c r="E365" s="1"/>
      <c r="F365" s="1"/>
      <c r="G365" s="1"/>
      <c r="H365" s="1"/>
    </row>
    <row r="366" spans="1:9" x14ac:dyDescent="0.3">
      <c r="B366" s="93" t="s">
        <v>248</v>
      </c>
      <c r="C366" s="93"/>
      <c r="D366" s="93"/>
      <c r="E366" s="93"/>
      <c r="F366" s="93"/>
      <c r="G366" s="93"/>
      <c r="H366" s="93"/>
    </row>
    <row r="371" spans="1:9" x14ac:dyDescent="0.3">
      <c r="A371" s="322"/>
      <c r="B371" s="322"/>
      <c r="C371" s="322"/>
      <c r="D371" s="322"/>
      <c r="E371" s="322"/>
      <c r="F371" s="322"/>
      <c r="G371" s="322"/>
      <c r="H371" s="322"/>
      <c r="I371" s="322"/>
    </row>
    <row r="375" spans="1:9" x14ac:dyDescent="0.3">
      <c r="A375" s="1" t="s">
        <v>249</v>
      </c>
    </row>
    <row r="380" spans="1:9" x14ac:dyDescent="0.3">
      <c r="F380" s="162" t="s">
        <v>250</v>
      </c>
      <c r="G380" s="2" t="s">
        <v>129</v>
      </c>
      <c r="H380" s="248">
        <v>100</v>
      </c>
      <c r="I380" s="34" t="s">
        <v>8</v>
      </c>
    </row>
    <row r="381" spans="1:9" x14ac:dyDescent="0.3">
      <c r="F381" s="162" t="s">
        <v>251</v>
      </c>
      <c r="G381" s="2" t="s">
        <v>129</v>
      </c>
      <c r="H381" s="248">
        <v>0.8</v>
      </c>
      <c r="I381" s="34" t="s">
        <v>8</v>
      </c>
    </row>
    <row r="382" spans="1:9" x14ac:dyDescent="0.3">
      <c r="F382" s="162" t="s">
        <v>252</v>
      </c>
      <c r="G382" s="2" t="s">
        <v>253</v>
      </c>
      <c r="H382" s="248">
        <v>0.5</v>
      </c>
      <c r="I382" s="34" t="s">
        <v>8</v>
      </c>
    </row>
    <row r="383" spans="1:9" x14ac:dyDescent="0.3">
      <c r="F383" s="162" t="s">
        <v>254</v>
      </c>
      <c r="G383" s="2" t="s">
        <v>253</v>
      </c>
      <c r="H383" s="248">
        <v>0.3</v>
      </c>
      <c r="I383" s="34" t="s">
        <v>8</v>
      </c>
    </row>
    <row r="384" spans="1:9" x14ac:dyDescent="0.3">
      <c r="F384" s="162" t="s">
        <v>255</v>
      </c>
      <c r="G384" s="2" t="s">
        <v>129</v>
      </c>
      <c r="H384" s="248">
        <v>0.5</v>
      </c>
      <c r="I384" s="34" t="s">
        <v>8</v>
      </c>
    </row>
    <row r="385" spans="1:9" x14ac:dyDescent="0.3">
      <c r="F385" s="162" t="s">
        <v>256</v>
      </c>
      <c r="G385" s="2" t="s">
        <v>129</v>
      </c>
      <c r="H385" s="248">
        <v>0.15</v>
      </c>
      <c r="I385" s="34" t="s">
        <v>8</v>
      </c>
    </row>
    <row r="387" spans="1:9" x14ac:dyDescent="0.3">
      <c r="F387" s="162" t="s">
        <v>257</v>
      </c>
      <c r="G387" s="2" t="s">
        <v>258</v>
      </c>
      <c r="H387" s="248">
        <v>3</v>
      </c>
      <c r="I387" s="34" t="s">
        <v>259</v>
      </c>
    </row>
    <row r="388" spans="1:9" ht="20.399999999999999" x14ac:dyDescent="0.3">
      <c r="F388" s="163" t="s">
        <v>496</v>
      </c>
      <c r="G388" s="164" t="s">
        <v>260</v>
      </c>
      <c r="H388" s="248">
        <v>0.1</v>
      </c>
      <c r="I388" s="34" t="s">
        <v>8</v>
      </c>
    </row>
    <row r="389" spans="1:9" x14ac:dyDescent="0.3">
      <c r="F389" s="165" t="s">
        <v>261</v>
      </c>
      <c r="G389" s="166" t="s">
        <v>71</v>
      </c>
      <c r="H389" s="259">
        <v>10</v>
      </c>
      <c r="I389" s="100" t="s">
        <v>71</v>
      </c>
    </row>
    <row r="390" spans="1:9" x14ac:dyDescent="0.3">
      <c r="F390" s="167" t="s">
        <v>262</v>
      </c>
      <c r="G390" s="168">
        <f>((SQRT((((H388+H382)/2)-((H383+H388)/2)*((H388+H382)/2)-((H383+H388)/2))+((H381*H381))))*2)+H384+H388+0.2</f>
        <v>2.4492422502470648</v>
      </c>
    </row>
    <row r="392" spans="1:9" x14ac:dyDescent="0.3">
      <c r="F392" s="169" t="s">
        <v>263</v>
      </c>
      <c r="G392" s="2" t="s">
        <v>73</v>
      </c>
      <c r="H392" s="248">
        <v>4</v>
      </c>
      <c r="I392" s="34" t="s">
        <v>73</v>
      </c>
    </row>
    <row r="393" spans="1:9" x14ac:dyDescent="0.3">
      <c r="F393" s="170" t="s">
        <v>264</v>
      </c>
      <c r="G393" s="2" t="s">
        <v>73</v>
      </c>
      <c r="H393" s="248">
        <v>3</v>
      </c>
      <c r="I393" s="34" t="s">
        <v>73</v>
      </c>
    </row>
    <row r="394" spans="1:9" x14ac:dyDescent="0.3">
      <c r="F394" s="171" t="s">
        <v>265</v>
      </c>
      <c r="G394" s="2" t="s">
        <v>253</v>
      </c>
      <c r="H394" s="248">
        <v>0.6</v>
      </c>
      <c r="I394" s="34" t="s">
        <v>8</v>
      </c>
    </row>
    <row r="395" spans="1:9" x14ac:dyDescent="0.3">
      <c r="G395" s="269">
        <f>IF(H396="AA",12,IF(H396="A",9,IF(H396="B",7.5,"ERROR")))</f>
        <v>7.5</v>
      </c>
      <c r="H395" s="269">
        <v>0.5</v>
      </c>
      <c r="I395" s="269">
        <v>1</v>
      </c>
    </row>
    <row r="396" spans="1:9" x14ac:dyDescent="0.3">
      <c r="A396" s="1" t="s">
        <v>266</v>
      </c>
      <c r="F396" s="265" t="s">
        <v>445</v>
      </c>
      <c r="G396" s="289" t="s">
        <v>507</v>
      </c>
      <c r="H396" s="260" t="s">
        <v>447</v>
      </c>
      <c r="I396" s="2" t="str">
        <f>IF(H396="A"," 1:2:4 ",IF(H396="B","1:3:6 ","AorB"))</f>
        <v xml:space="preserve">1:3:6 </v>
      </c>
    </row>
    <row r="397" spans="1:9" x14ac:dyDescent="0.3">
      <c r="A397" s="85"/>
      <c r="B397" s="290" t="s">
        <v>267</v>
      </c>
      <c r="C397" s="290"/>
      <c r="D397" s="290" t="s">
        <v>268</v>
      </c>
      <c r="E397" s="290"/>
      <c r="F397" s="291">
        <f>H384*H385*H380</f>
        <v>7.5</v>
      </c>
      <c r="G397" s="292" t="s">
        <v>269</v>
      </c>
      <c r="H397" s="168">
        <f>F397*G395</f>
        <v>56.25</v>
      </c>
      <c r="I397" s="168">
        <f>H397*0.5</f>
        <v>28.125</v>
      </c>
    </row>
    <row r="398" spans="1:9" x14ac:dyDescent="0.3">
      <c r="A398" s="85"/>
      <c r="B398" s="290" t="s">
        <v>270</v>
      </c>
      <c r="C398" s="290"/>
      <c r="D398" s="290" t="s">
        <v>268</v>
      </c>
      <c r="E398" s="290"/>
      <c r="F398" s="293">
        <f>0.05*H388*H380*2</f>
        <v>1.0000000000000002</v>
      </c>
      <c r="G398" s="292" t="s">
        <v>269</v>
      </c>
      <c r="H398" s="168">
        <f>F398*9</f>
        <v>9.0000000000000018</v>
      </c>
      <c r="I398" s="168">
        <f>F398*1</f>
        <v>1.0000000000000002</v>
      </c>
    </row>
    <row r="399" spans="1:9" x14ac:dyDescent="0.3">
      <c r="G399" s="119" t="s">
        <v>271</v>
      </c>
      <c r="H399" s="106">
        <f>ROUNDUP((H398+H397),0)</f>
        <v>66</v>
      </c>
      <c r="I399" s="107" t="s">
        <v>22</v>
      </c>
    </row>
    <row r="400" spans="1:9" x14ac:dyDescent="0.3">
      <c r="G400" s="119" t="s">
        <v>272</v>
      </c>
      <c r="H400" s="106">
        <f>I398+I397</f>
        <v>29.125</v>
      </c>
      <c r="I400" s="107" t="s">
        <v>7</v>
      </c>
    </row>
    <row r="401" spans="1:9" x14ac:dyDescent="0.3">
      <c r="G401" s="119" t="s">
        <v>273</v>
      </c>
      <c r="H401" s="106">
        <f>F397*1</f>
        <v>7.5</v>
      </c>
      <c r="I401" s="107" t="s">
        <v>7</v>
      </c>
    </row>
    <row r="402" spans="1:9" x14ac:dyDescent="0.3">
      <c r="A402" s="1" t="s">
        <v>274</v>
      </c>
    </row>
    <row r="403" spans="1:9" x14ac:dyDescent="0.3">
      <c r="G403" s="119" t="s">
        <v>275</v>
      </c>
      <c r="H403" s="172">
        <f>ROUNDUP(((H380/0.4)*2)*(1+(H389/100)),0)</f>
        <v>550</v>
      </c>
      <c r="I403" s="107" t="s">
        <v>73</v>
      </c>
    </row>
    <row r="404" spans="1:9" x14ac:dyDescent="0.3">
      <c r="G404" s="173" t="s">
        <v>276</v>
      </c>
      <c r="H404" s="85">
        <f>(0.2*H380*H387*2)</f>
        <v>120</v>
      </c>
    </row>
    <row r="405" spans="1:9" x14ac:dyDescent="0.3">
      <c r="F405" s="18"/>
      <c r="G405" s="66" t="s">
        <v>80</v>
      </c>
      <c r="H405" s="18"/>
      <c r="I405" s="18"/>
    </row>
    <row r="406" spans="1:9" x14ac:dyDescent="0.3">
      <c r="F406" s="9" t="s">
        <v>19</v>
      </c>
      <c r="G406" s="10" t="s">
        <v>22</v>
      </c>
      <c r="H406" s="36">
        <f>ROUNDUP((H404*0.525),0)</f>
        <v>63</v>
      </c>
      <c r="I406" s="174" t="s">
        <v>22</v>
      </c>
    </row>
    <row r="407" spans="1:9" x14ac:dyDescent="0.3">
      <c r="F407" s="24" t="s">
        <v>77</v>
      </c>
      <c r="G407" s="10" t="s">
        <v>7</v>
      </c>
      <c r="H407" s="36">
        <f>ROUNDUP((H404*0.0438),1)</f>
        <v>5.3</v>
      </c>
      <c r="I407" s="36" t="s">
        <v>7</v>
      </c>
    </row>
    <row r="408" spans="1:9" x14ac:dyDescent="0.3">
      <c r="F408" s="18"/>
      <c r="G408" s="66" t="s">
        <v>81</v>
      </c>
      <c r="H408" s="18"/>
      <c r="I408" s="18"/>
    </row>
    <row r="409" spans="1:9" x14ac:dyDescent="0.3">
      <c r="F409" s="9" t="s">
        <v>19</v>
      </c>
      <c r="G409" s="10" t="s">
        <v>22</v>
      </c>
      <c r="H409" s="36">
        <f>ROUNDUP((H404*1.013),0)</f>
        <v>122</v>
      </c>
      <c r="I409" s="174" t="s">
        <v>22</v>
      </c>
    </row>
    <row r="410" spans="1:9" x14ac:dyDescent="0.3">
      <c r="F410" s="24" t="s">
        <v>77</v>
      </c>
      <c r="G410" s="10" t="s">
        <v>7</v>
      </c>
      <c r="H410" s="36">
        <f>ROUNDUP((H404*0.0844),1)</f>
        <v>10.199999999999999</v>
      </c>
      <c r="I410" s="174" t="s">
        <v>7</v>
      </c>
    </row>
    <row r="411" spans="1:9" x14ac:dyDescent="0.3">
      <c r="F411" s="18"/>
      <c r="G411" s="18"/>
      <c r="H411" s="18"/>
      <c r="I411" s="18"/>
    </row>
    <row r="412" spans="1:9" x14ac:dyDescent="0.3">
      <c r="F412" s="18"/>
      <c r="G412" s="66" t="s">
        <v>75</v>
      </c>
      <c r="H412" s="18"/>
      <c r="I412" s="18"/>
    </row>
    <row r="413" spans="1:9" x14ac:dyDescent="0.3">
      <c r="F413" s="18"/>
      <c r="G413" s="67" t="s">
        <v>79</v>
      </c>
      <c r="H413" s="18"/>
      <c r="I413" s="18"/>
    </row>
    <row r="414" spans="1:9" x14ac:dyDescent="0.3">
      <c r="F414" s="9" t="s">
        <v>19</v>
      </c>
      <c r="G414" s="10" t="s">
        <v>22</v>
      </c>
      <c r="H414" s="36">
        <f>ROUNDUP((H404*0.288),0)</f>
        <v>35</v>
      </c>
      <c r="I414" s="174" t="s">
        <v>22</v>
      </c>
    </row>
    <row r="415" spans="1:9" x14ac:dyDescent="0.3">
      <c r="F415" s="24" t="s">
        <v>76</v>
      </c>
      <c r="G415" s="10" t="s">
        <v>7</v>
      </c>
      <c r="H415" s="36">
        <f>ROUNDUP((H404*0.016),1)</f>
        <v>2</v>
      </c>
      <c r="I415" s="36" t="s">
        <v>7</v>
      </c>
    </row>
    <row r="416" spans="1:9" x14ac:dyDescent="0.3">
      <c r="F416" s="24"/>
      <c r="G416" s="72"/>
      <c r="H416" s="22"/>
      <c r="I416" s="22"/>
    </row>
    <row r="417" spans="1:9" x14ac:dyDescent="0.3">
      <c r="A417" s="322"/>
      <c r="B417" s="322"/>
      <c r="C417" s="322"/>
      <c r="D417" s="322"/>
      <c r="E417" s="322"/>
      <c r="F417" s="322"/>
      <c r="G417" s="322"/>
      <c r="H417" s="322"/>
      <c r="I417" s="322"/>
    </row>
    <row r="418" spans="1:9" x14ac:dyDescent="0.3">
      <c r="A418" s="1" t="s">
        <v>277</v>
      </c>
    </row>
    <row r="419" spans="1:9" x14ac:dyDescent="0.3">
      <c r="G419" s="119" t="s">
        <v>278</v>
      </c>
      <c r="H419" s="106">
        <f>ROUNDUP((H380/5.5)*H392,0)</f>
        <v>73</v>
      </c>
      <c r="I419" s="107" t="s">
        <v>94</v>
      </c>
    </row>
    <row r="420" spans="1:9" x14ac:dyDescent="0.3">
      <c r="G420" s="119" t="s">
        <v>279</v>
      </c>
      <c r="H420" s="106">
        <f>ROUNDUP((H380/5.5)*H393,0)</f>
        <v>55</v>
      </c>
      <c r="I420" s="107" t="s">
        <v>94</v>
      </c>
    </row>
    <row r="421" spans="1:9" x14ac:dyDescent="0.3">
      <c r="G421" s="119" t="s">
        <v>280</v>
      </c>
      <c r="H421" s="106">
        <f>ROUNDUP(((H380/H394)+1),0)</f>
        <v>168</v>
      </c>
      <c r="I421" s="107" t="s">
        <v>73</v>
      </c>
    </row>
    <row r="422" spans="1:9" x14ac:dyDescent="0.3">
      <c r="G422" s="175" t="s">
        <v>281</v>
      </c>
      <c r="H422" s="106">
        <f>ROUNDUP(H421*G390/6,0)</f>
        <v>69</v>
      </c>
      <c r="I422" s="107" t="s">
        <v>94</v>
      </c>
    </row>
  </sheetData>
  <mergeCells count="55">
    <mergeCell ref="A5:A7"/>
    <mergeCell ref="B5:B7"/>
    <mergeCell ref="C5:C7"/>
    <mergeCell ref="A8:A10"/>
    <mergeCell ref="A371:I371"/>
    <mergeCell ref="D5:D7"/>
    <mergeCell ref="B262:D262"/>
    <mergeCell ref="B263:D263"/>
    <mergeCell ref="B264:D264"/>
    <mergeCell ref="C11:C13"/>
    <mergeCell ref="B261:D261"/>
    <mergeCell ref="E260:H260"/>
    <mergeCell ref="A230:I230"/>
    <mergeCell ref="B266:D266"/>
    <mergeCell ref="B267:D267"/>
    <mergeCell ref="E261:H261"/>
    <mergeCell ref="A417:I417"/>
    <mergeCell ref="A1:I1"/>
    <mergeCell ref="A46:I46"/>
    <mergeCell ref="A93:I93"/>
    <mergeCell ref="A140:I140"/>
    <mergeCell ref="A185:I185"/>
    <mergeCell ref="B260:D260"/>
    <mergeCell ref="D8:D10"/>
    <mergeCell ref="D11:D13"/>
    <mergeCell ref="A3:D3"/>
    <mergeCell ref="A11:A13"/>
    <mergeCell ref="B11:B13"/>
    <mergeCell ref="C8:C10"/>
    <mergeCell ref="A277:I277"/>
    <mergeCell ref="A324:I324"/>
    <mergeCell ref="B8:B10"/>
    <mergeCell ref="B308:D308"/>
    <mergeCell ref="E308:H308"/>
    <mergeCell ref="B265:D265"/>
    <mergeCell ref="E267:H267"/>
    <mergeCell ref="B306:D306"/>
    <mergeCell ref="E306:H306"/>
    <mergeCell ref="B307:D307"/>
    <mergeCell ref="E307:H307"/>
    <mergeCell ref="E262:H262"/>
    <mergeCell ref="E263:H263"/>
    <mergeCell ref="E264:H264"/>
    <mergeCell ref="E265:H265"/>
    <mergeCell ref="E266:H266"/>
    <mergeCell ref="B313:D313"/>
    <mergeCell ref="E313:H313"/>
    <mergeCell ref="B309:D309"/>
    <mergeCell ref="E309:H309"/>
    <mergeCell ref="B310:D310"/>
    <mergeCell ref="B312:D312"/>
    <mergeCell ref="E312:H312"/>
    <mergeCell ref="E310:H310"/>
    <mergeCell ref="B311:D311"/>
    <mergeCell ref="E311:H311"/>
  </mergeCells>
  <pageMargins left="0.7" right="0.7" top="0.75" bottom="0.75" header="0.3" footer="0.3"/>
  <pageSetup orientation="portrait" r:id="rId1"/>
  <headerFooter>
    <oddFooter>&amp;LBASED ON MAX FAJARDO - SIMPLIFIED CONSTRUCTION ESTIMATE HANDBOOK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88"/>
  <sheetViews>
    <sheetView view="pageLayout" topLeftCell="A22" workbookViewId="0">
      <selection activeCell="H7" sqref="H7"/>
    </sheetView>
  </sheetViews>
  <sheetFormatPr defaultRowHeight="14.4" x14ac:dyDescent="0.3"/>
  <sheetData>
    <row r="1" spans="1:9" x14ac:dyDescent="0.3">
      <c r="A1" s="322"/>
      <c r="B1" s="322"/>
      <c r="C1" s="322"/>
      <c r="D1" s="322"/>
      <c r="E1" s="322"/>
      <c r="F1" s="322"/>
      <c r="G1" s="322"/>
      <c r="H1" s="322"/>
      <c r="I1" s="322"/>
    </row>
    <row r="2" spans="1:9" x14ac:dyDescent="0.3">
      <c r="A2" s="1" t="s">
        <v>196</v>
      </c>
    </row>
    <row r="3" spans="1:9" x14ac:dyDescent="0.3">
      <c r="A3" s="61" t="s">
        <v>197</v>
      </c>
      <c r="B3" s="62"/>
      <c r="C3" s="62"/>
      <c r="D3" s="62"/>
      <c r="E3" s="62"/>
    </row>
    <row r="4" spans="1:9" x14ac:dyDescent="0.3">
      <c r="F4" s="69" t="s">
        <v>198</v>
      </c>
      <c r="G4" s="2" t="s">
        <v>119</v>
      </c>
      <c r="H4" s="248">
        <v>100</v>
      </c>
      <c r="I4" s="5" t="s">
        <v>73</v>
      </c>
    </row>
    <row r="5" spans="1:9" x14ac:dyDescent="0.3">
      <c r="F5" s="69" t="s">
        <v>199</v>
      </c>
      <c r="G5" s="2" t="s">
        <v>202</v>
      </c>
      <c r="H5" s="248">
        <v>2</v>
      </c>
      <c r="I5" s="5" t="s">
        <v>203</v>
      </c>
    </row>
    <row r="6" spans="1:9" x14ac:dyDescent="0.3">
      <c r="F6" s="122"/>
      <c r="G6" s="2" t="s">
        <v>201</v>
      </c>
      <c r="H6" s="248">
        <v>4</v>
      </c>
      <c r="I6" s="5" t="s">
        <v>203</v>
      </c>
    </row>
    <row r="7" spans="1:9" x14ac:dyDescent="0.3">
      <c r="F7" s="122"/>
      <c r="G7" s="2" t="s">
        <v>200</v>
      </c>
      <c r="H7" s="248">
        <v>12</v>
      </c>
      <c r="I7" s="5" t="s">
        <v>204</v>
      </c>
    </row>
    <row r="9" spans="1:9" x14ac:dyDescent="0.3">
      <c r="F9" s="127" t="s">
        <v>205</v>
      </c>
      <c r="G9" s="10" t="s">
        <v>206</v>
      </c>
      <c r="H9" s="36">
        <f>H4*H5*H6*H7/12</f>
        <v>800</v>
      </c>
      <c r="I9" s="129" t="s">
        <v>207</v>
      </c>
    </row>
    <row r="10" spans="1:9" x14ac:dyDescent="0.3">
      <c r="F10" s="126"/>
      <c r="G10" s="72"/>
      <c r="H10" s="73"/>
      <c r="I10" s="128"/>
    </row>
    <row r="16" spans="1:9" x14ac:dyDescent="0.3">
      <c r="A16" s="61" t="s">
        <v>208</v>
      </c>
      <c r="B16" s="62"/>
      <c r="C16" s="62"/>
      <c r="D16" s="62"/>
      <c r="E16" s="62"/>
    </row>
    <row r="17" spans="2:9" ht="18" x14ac:dyDescent="0.3">
      <c r="B17" s="1" t="s">
        <v>14</v>
      </c>
      <c r="D17" s="130" t="s">
        <v>210</v>
      </c>
      <c r="E17" s="132"/>
    </row>
    <row r="18" spans="2:9" ht="18" x14ac:dyDescent="0.3">
      <c r="D18" s="131">
        <v>16</v>
      </c>
      <c r="E18" s="132"/>
    </row>
    <row r="30" spans="2:9" x14ac:dyDescent="0.3">
      <c r="F30" s="76" t="s">
        <v>198</v>
      </c>
      <c r="G30" s="2" t="s">
        <v>119</v>
      </c>
      <c r="H30" s="248">
        <v>1</v>
      </c>
      <c r="I30" s="5" t="s">
        <v>73</v>
      </c>
    </row>
    <row r="31" spans="2:9" x14ac:dyDescent="0.3">
      <c r="F31" s="76" t="s">
        <v>199</v>
      </c>
      <c r="G31" s="2" t="s">
        <v>209</v>
      </c>
      <c r="H31" s="248">
        <v>28</v>
      </c>
      <c r="I31" s="5" t="s">
        <v>203</v>
      </c>
    </row>
    <row r="32" spans="2:9" x14ac:dyDescent="0.3">
      <c r="F32" s="122"/>
      <c r="G32" s="2" t="s">
        <v>200</v>
      </c>
      <c r="H32" s="248">
        <v>20</v>
      </c>
      <c r="I32" s="5" t="s">
        <v>204</v>
      </c>
    </row>
    <row r="34" spans="1:9" x14ac:dyDescent="0.3">
      <c r="F34" s="127" t="s">
        <v>205</v>
      </c>
      <c r="G34" s="117" t="s">
        <v>206</v>
      </c>
      <c r="H34" s="36">
        <f>((H31-4)*(H31-4)*H32)/16</f>
        <v>720</v>
      </c>
      <c r="I34" s="129" t="s">
        <v>207</v>
      </c>
    </row>
    <row r="36" spans="1:9" x14ac:dyDescent="0.3">
      <c r="A36" s="61" t="s">
        <v>211</v>
      </c>
      <c r="B36" s="62"/>
      <c r="C36" s="62"/>
      <c r="D36" s="62"/>
      <c r="E36" s="62"/>
      <c r="F36" s="62"/>
      <c r="G36" s="62"/>
    </row>
    <row r="38" spans="1:9" x14ac:dyDescent="0.3">
      <c r="B38" s="1"/>
      <c r="F38" s="109" t="s">
        <v>212</v>
      </c>
      <c r="G38" s="117" t="s">
        <v>206</v>
      </c>
      <c r="H38" s="259">
        <v>720</v>
      </c>
    </row>
    <row r="39" spans="1:9" x14ac:dyDescent="0.3">
      <c r="F39" s="109" t="s">
        <v>213</v>
      </c>
      <c r="G39" s="100" t="s">
        <v>214</v>
      </c>
      <c r="H39" s="100" t="s">
        <v>215</v>
      </c>
      <c r="I39" s="100" t="s">
        <v>216</v>
      </c>
    </row>
    <row r="40" spans="1:9" x14ac:dyDescent="0.3">
      <c r="G40" s="260">
        <v>2</v>
      </c>
      <c r="H40" s="260">
        <v>4</v>
      </c>
      <c r="I40" s="260">
        <v>10</v>
      </c>
    </row>
    <row r="42" spans="1:9" x14ac:dyDescent="0.3">
      <c r="F42" s="127" t="s">
        <v>217</v>
      </c>
      <c r="G42" s="117" t="s">
        <v>73</v>
      </c>
      <c r="H42" s="36">
        <f>H38/(G40*H40*I40/12)</f>
        <v>108</v>
      </c>
      <c r="I42" s="129" t="s">
        <v>73</v>
      </c>
    </row>
    <row r="47" spans="1:9" x14ac:dyDescent="0.3">
      <c r="A47" s="322"/>
      <c r="B47" s="322"/>
      <c r="C47" s="322"/>
      <c r="D47" s="322"/>
      <c r="E47" s="322"/>
      <c r="F47" s="322"/>
      <c r="G47" s="322"/>
      <c r="H47" s="322"/>
      <c r="I47" s="322"/>
    </row>
    <row r="49" spans="2:7" x14ac:dyDescent="0.3">
      <c r="B49" s="1" t="s">
        <v>232</v>
      </c>
    </row>
    <row r="50" spans="2:7" x14ac:dyDescent="0.3">
      <c r="B50" s="347" t="s">
        <v>227</v>
      </c>
      <c r="C50" s="349" t="s">
        <v>228</v>
      </c>
      <c r="D50" s="349"/>
      <c r="E50" s="349"/>
      <c r="F50" s="349"/>
      <c r="G50" s="349"/>
    </row>
    <row r="51" spans="2:7" x14ac:dyDescent="0.3">
      <c r="B51" s="348"/>
      <c r="C51" s="133" t="s">
        <v>222</v>
      </c>
      <c r="D51" s="2" t="s">
        <v>223</v>
      </c>
      <c r="E51" s="2" t="s">
        <v>224</v>
      </c>
      <c r="F51" s="2" t="s">
        <v>225</v>
      </c>
      <c r="G51" s="135" t="s">
        <v>226</v>
      </c>
    </row>
    <row r="52" spans="2:7" x14ac:dyDescent="0.3">
      <c r="B52" s="2" t="s">
        <v>218</v>
      </c>
      <c r="C52" s="134">
        <v>4.1029999999999998</v>
      </c>
      <c r="D52" s="134">
        <v>3.1469999999999998</v>
      </c>
      <c r="E52" s="134">
        <v>3.1890000000000001</v>
      </c>
      <c r="F52" s="134">
        <v>2.6859999999999999</v>
      </c>
      <c r="G52" s="136">
        <v>2.2679999999999998</v>
      </c>
    </row>
    <row r="53" spans="2:7" x14ac:dyDescent="0.3">
      <c r="B53" s="2" t="s">
        <v>219</v>
      </c>
      <c r="C53" s="134">
        <v>8.1980000000000004</v>
      </c>
      <c r="D53" s="134">
        <v>6.2930000000000001</v>
      </c>
      <c r="E53" s="134">
        <v>6.3789999999999996</v>
      </c>
      <c r="F53" s="134">
        <v>5.3730000000000002</v>
      </c>
      <c r="G53" s="136">
        <v>4.5940000000000003</v>
      </c>
    </row>
    <row r="54" spans="2:7" x14ac:dyDescent="0.3">
      <c r="B54" s="137" t="s">
        <v>220</v>
      </c>
      <c r="C54" s="138">
        <v>12.284000000000001</v>
      </c>
      <c r="D54" s="138">
        <v>9.44</v>
      </c>
      <c r="E54" s="138">
        <v>9.5690000000000008</v>
      </c>
      <c r="F54" s="138">
        <v>8.06</v>
      </c>
      <c r="G54" s="140">
        <v>6.8979999999999997</v>
      </c>
    </row>
    <row r="55" spans="2:7" x14ac:dyDescent="0.3">
      <c r="B55" s="2" t="s">
        <v>221</v>
      </c>
      <c r="C55" s="134">
        <v>16.414000000000001</v>
      </c>
      <c r="D55" s="134">
        <v>12.592000000000001</v>
      </c>
      <c r="E55" s="134">
        <v>12.757999999999999</v>
      </c>
      <c r="F55" s="134">
        <v>10.746</v>
      </c>
      <c r="G55" s="134">
        <v>9.1950000000000003</v>
      </c>
    </row>
    <row r="71" spans="6:9" x14ac:dyDescent="0.3">
      <c r="F71" s="69" t="s">
        <v>230</v>
      </c>
      <c r="G71" s="2" t="s">
        <v>18</v>
      </c>
      <c r="H71" s="248">
        <v>9</v>
      </c>
      <c r="I71" s="5" t="s">
        <v>8</v>
      </c>
    </row>
    <row r="72" spans="6:9" x14ac:dyDescent="0.3">
      <c r="F72" s="69" t="s">
        <v>229</v>
      </c>
      <c r="G72" s="2" t="s">
        <v>68</v>
      </c>
      <c r="H72" s="248">
        <v>3</v>
      </c>
      <c r="I72" s="5" t="s">
        <v>8</v>
      </c>
    </row>
    <row r="73" spans="6:9" x14ac:dyDescent="0.3">
      <c r="F73" s="122" t="s">
        <v>96</v>
      </c>
      <c r="G73" s="2" t="s">
        <v>231</v>
      </c>
      <c r="H73" s="251">
        <v>6.8979999999999997</v>
      </c>
      <c r="I73" s="5"/>
    </row>
    <row r="74" spans="6:9" x14ac:dyDescent="0.3">
      <c r="F74" s="126" t="s">
        <v>233</v>
      </c>
      <c r="G74" s="10" t="s">
        <v>207</v>
      </c>
      <c r="H74" s="22">
        <f>H71*H72*H73</f>
        <v>186.24599999999998</v>
      </c>
      <c r="I74" s="23" t="s">
        <v>234</v>
      </c>
    </row>
    <row r="75" spans="6:9" x14ac:dyDescent="0.3">
      <c r="F75" s="70"/>
    </row>
    <row r="76" spans="6:9" x14ac:dyDescent="0.3">
      <c r="F76" s="109" t="s">
        <v>212</v>
      </c>
      <c r="G76" s="117" t="s">
        <v>206</v>
      </c>
      <c r="H76" s="261">
        <f>H74</f>
        <v>186.24599999999998</v>
      </c>
    </row>
    <row r="77" spans="6:9" x14ac:dyDescent="0.3">
      <c r="F77" s="109" t="s">
        <v>213</v>
      </c>
      <c r="G77" s="100" t="s">
        <v>214</v>
      </c>
      <c r="H77" s="100" t="s">
        <v>215</v>
      </c>
      <c r="I77" s="100" t="s">
        <v>216</v>
      </c>
    </row>
    <row r="78" spans="6:9" x14ac:dyDescent="0.3">
      <c r="G78" s="260">
        <v>2</v>
      </c>
      <c r="H78" s="260">
        <v>3</v>
      </c>
      <c r="I78" s="260">
        <v>8</v>
      </c>
    </row>
    <row r="79" spans="6:9" x14ac:dyDescent="0.3">
      <c r="F79" s="127" t="s">
        <v>217</v>
      </c>
      <c r="G79" s="117" t="s">
        <v>73</v>
      </c>
      <c r="H79" s="36">
        <f>ROUNDUP(H76/(G78*H78*I78/12),0)</f>
        <v>47</v>
      </c>
      <c r="I79" s="129" t="s">
        <v>73</v>
      </c>
    </row>
    <row r="82" spans="3:9" x14ac:dyDescent="0.3">
      <c r="C82" s="139" t="s">
        <v>283</v>
      </c>
    </row>
    <row r="83" spans="3:9" x14ac:dyDescent="0.3">
      <c r="F83" s="119" t="s">
        <v>237</v>
      </c>
      <c r="G83" s="2" t="s">
        <v>235</v>
      </c>
      <c r="H83" s="107">
        <f>ROUNDUP((H71*H72/2.88),0)</f>
        <v>10</v>
      </c>
      <c r="I83" s="107" t="s">
        <v>236</v>
      </c>
    </row>
    <row r="84" spans="3:9" x14ac:dyDescent="0.3">
      <c r="F84" s="119" t="s">
        <v>238</v>
      </c>
      <c r="G84" s="2" t="s">
        <v>235</v>
      </c>
      <c r="H84" s="107">
        <f>ROUNDUP((H71*H72/2.88)*2,0)</f>
        <v>19</v>
      </c>
      <c r="I84" s="107" t="s">
        <v>236</v>
      </c>
    </row>
    <row r="86" spans="3:9" x14ac:dyDescent="0.3">
      <c r="F86" s="119" t="s">
        <v>239</v>
      </c>
      <c r="G86" s="2" t="s">
        <v>188</v>
      </c>
      <c r="H86" s="107">
        <f>ROUNDUP((H83*0.055),1)</f>
        <v>0.6</v>
      </c>
      <c r="I86" s="107" t="s">
        <v>188</v>
      </c>
    </row>
    <row r="87" spans="3:9" x14ac:dyDescent="0.3">
      <c r="F87" s="119" t="s">
        <v>240</v>
      </c>
      <c r="G87" s="2" t="s">
        <v>188</v>
      </c>
      <c r="H87" s="107">
        <f>ROUNDUP((H84*0.055),1)</f>
        <v>1.1000000000000001</v>
      </c>
      <c r="I87" s="107" t="s">
        <v>188</v>
      </c>
    </row>
    <row r="88" spans="3:9" x14ac:dyDescent="0.3">
      <c r="F88" s="119" t="s">
        <v>241</v>
      </c>
      <c r="G88" s="2" t="s">
        <v>188</v>
      </c>
      <c r="H88" s="107">
        <f>ROUNDUP((H71*H72*0.05),1)</f>
        <v>1.4000000000000001</v>
      </c>
      <c r="I88" s="107" t="s">
        <v>188</v>
      </c>
    </row>
  </sheetData>
  <mergeCells count="4">
    <mergeCell ref="B50:B51"/>
    <mergeCell ref="C50:G50"/>
    <mergeCell ref="A1:I1"/>
    <mergeCell ref="A47:I47"/>
  </mergeCells>
  <pageMargins left="0.7" right="0.7" top="0.75" bottom="0.75" header="0.3" footer="0.3"/>
  <pageSetup orientation="portrait" r:id="rId1"/>
  <headerFooter>
    <oddFooter>&amp;LBASED ON MAX FAJARDO - SIMPLIFIED CONSTRUCTION ESTIMATE HANDBOOK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21"/>
  <sheetViews>
    <sheetView view="pageLayout" topLeftCell="A49" zoomScale="115" zoomScalePageLayoutView="115" workbookViewId="0">
      <selection activeCell="A96" sqref="A96:I96"/>
    </sheetView>
  </sheetViews>
  <sheetFormatPr defaultRowHeight="14.4" x14ac:dyDescent="0.3"/>
  <sheetData>
    <row r="1" spans="1:9" x14ac:dyDescent="0.3">
      <c r="A1" s="322"/>
      <c r="B1" s="322"/>
      <c r="C1" s="322"/>
      <c r="D1" s="322"/>
      <c r="E1" s="322"/>
      <c r="F1" s="322"/>
      <c r="G1" s="322"/>
      <c r="H1" s="322"/>
      <c r="I1" s="322"/>
    </row>
    <row r="2" spans="1:9" x14ac:dyDescent="0.3">
      <c r="A2" s="61" t="s">
        <v>282</v>
      </c>
      <c r="B2" s="62"/>
    </row>
    <row r="17" spans="1:4" x14ac:dyDescent="0.3">
      <c r="A17" s="200"/>
      <c r="B17" s="201" t="s">
        <v>304</v>
      </c>
      <c r="C17" s="203">
        <v>2.5</v>
      </c>
      <c r="D17" s="205">
        <v>1.5</v>
      </c>
    </row>
    <row r="18" spans="1:4" x14ac:dyDescent="0.3">
      <c r="A18" s="199"/>
      <c r="B18" s="202" t="s">
        <v>305</v>
      </c>
      <c r="C18" s="204">
        <v>0.6</v>
      </c>
      <c r="D18" s="206">
        <v>0.7</v>
      </c>
    </row>
    <row r="20" spans="1:4" x14ac:dyDescent="0.3">
      <c r="A20" s="200"/>
      <c r="B20" s="201" t="s">
        <v>306</v>
      </c>
      <c r="C20" s="350" t="s">
        <v>307</v>
      </c>
      <c r="D20" s="351"/>
    </row>
    <row r="23" spans="1:4" x14ac:dyDescent="0.3">
      <c r="B23" s="176"/>
    </row>
    <row r="48" spans="1:9" x14ac:dyDescent="0.3">
      <c r="A48" s="322"/>
      <c r="B48" s="322"/>
      <c r="C48" s="322"/>
      <c r="D48" s="322"/>
      <c r="E48" s="322"/>
      <c r="F48" s="322"/>
      <c r="G48" s="322"/>
      <c r="H48" s="322"/>
      <c r="I48" s="322"/>
    </row>
    <row r="49" spans="1:9" x14ac:dyDescent="0.3">
      <c r="A49" s="196" t="s">
        <v>449</v>
      </c>
      <c r="B49" s="197"/>
      <c r="C49" s="197"/>
      <c r="D49" s="62"/>
      <c r="E49" s="62"/>
      <c r="F49" s="62"/>
      <c r="G49" s="62"/>
      <c r="H49" s="62"/>
      <c r="I49" s="62"/>
    </row>
    <row r="50" spans="1:9" x14ac:dyDescent="0.3">
      <c r="A50" s="85"/>
      <c r="B50" s="94" t="s">
        <v>290</v>
      </c>
      <c r="C50" s="85">
        <f>SQRT((H51*H51)+(H50*H50))</f>
        <v>3.2310988842807022</v>
      </c>
      <c r="D50" s="193"/>
      <c r="F50" s="122" t="s">
        <v>285</v>
      </c>
      <c r="G50" s="100" t="s">
        <v>8</v>
      </c>
      <c r="H50" s="248">
        <v>3</v>
      </c>
      <c r="I50" s="2" t="s">
        <v>8</v>
      </c>
    </row>
    <row r="51" spans="1:9" x14ac:dyDescent="0.3">
      <c r="A51" s="85"/>
      <c r="B51" s="94" t="s">
        <v>288</v>
      </c>
      <c r="C51" s="85">
        <f>TAN(H51/H50)</f>
        <v>0.42279321873816172</v>
      </c>
      <c r="D51" s="193"/>
      <c r="F51" s="122" t="s">
        <v>286</v>
      </c>
      <c r="G51" s="100" t="s">
        <v>8</v>
      </c>
      <c r="H51" s="248">
        <v>1.2</v>
      </c>
      <c r="I51" s="2" t="s">
        <v>8</v>
      </c>
    </row>
    <row r="52" spans="1:9" x14ac:dyDescent="0.3">
      <c r="A52" s="85"/>
      <c r="B52" s="94" t="s">
        <v>291</v>
      </c>
      <c r="C52" s="168">
        <f>(TANH(C51))*H52</f>
        <v>0.3992809564354089</v>
      </c>
      <c r="D52" s="193"/>
      <c r="F52" s="122" t="s">
        <v>287</v>
      </c>
      <c r="G52" s="100" t="s">
        <v>8</v>
      </c>
      <c r="H52" s="248">
        <v>1</v>
      </c>
      <c r="I52" s="2" t="s">
        <v>8</v>
      </c>
    </row>
    <row r="53" spans="1:9" x14ac:dyDescent="0.3">
      <c r="A53" s="85"/>
      <c r="B53" s="94" t="s">
        <v>292</v>
      </c>
      <c r="C53" s="85">
        <f>SQRT((C52*C52)+(H52*H52))</f>
        <v>1.076766122318108</v>
      </c>
      <c r="D53" s="193"/>
      <c r="G53" s="276"/>
      <c r="I53" s="181"/>
    </row>
    <row r="54" spans="1:9" x14ac:dyDescent="0.3">
      <c r="A54" s="85"/>
      <c r="B54" s="94" t="s">
        <v>293</v>
      </c>
      <c r="C54" s="168">
        <f>ROUNDUP(((H54/H80)+1),0)</f>
        <v>8</v>
      </c>
      <c r="D54" s="193"/>
      <c r="E54" s="193"/>
      <c r="F54" s="184" t="s">
        <v>289</v>
      </c>
      <c r="G54" s="185" t="s">
        <v>8</v>
      </c>
      <c r="H54" s="186">
        <f>C53+C50</f>
        <v>4.30786500659881</v>
      </c>
      <c r="I54" s="187" t="s">
        <v>8</v>
      </c>
    </row>
    <row r="55" spans="1:9" x14ac:dyDescent="0.3">
      <c r="A55" s="85"/>
      <c r="B55" s="85"/>
      <c r="C55" s="85"/>
      <c r="D55" s="193"/>
      <c r="G55" s="192" t="s">
        <v>301</v>
      </c>
    </row>
    <row r="56" spans="1:9" x14ac:dyDescent="0.3">
      <c r="A56" s="85"/>
      <c r="B56" s="94" t="s">
        <v>294</v>
      </c>
      <c r="C56" s="168">
        <f>H54+0.025+0.05</f>
        <v>4.3828650065988102</v>
      </c>
      <c r="D56" s="193"/>
      <c r="F56" s="119" t="s">
        <v>295</v>
      </c>
      <c r="G56" s="100" t="s">
        <v>8</v>
      </c>
      <c r="H56" s="188">
        <f>C56</f>
        <v>4.3828650065988102</v>
      </c>
      <c r="I56" s="180" t="s">
        <v>8</v>
      </c>
    </row>
    <row r="57" spans="1:9" x14ac:dyDescent="0.3">
      <c r="A57" s="85"/>
      <c r="B57" s="85"/>
      <c r="C57" s="194">
        <f>IF(H57=12,3.6,IF(H57=10,3,IF(H57=8,2.4,"ERROR!: Input 12,10 or 8 ft only")))</f>
        <v>2.4</v>
      </c>
      <c r="D57" s="277"/>
      <c r="F57" s="70" t="s">
        <v>296</v>
      </c>
      <c r="G57" s="100" t="s">
        <v>298</v>
      </c>
      <c r="H57" s="260">
        <v>8</v>
      </c>
      <c r="I57" s="2" t="s">
        <v>298</v>
      </c>
    </row>
    <row r="58" spans="1:9" x14ac:dyDescent="0.3">
      <c r="A58" s="85"/>
      <c r="B58" s="85"/>
      <c r="C58" s="194">
        <f>IF(H58=12,3.3,IF(H58=10,2.7,IF(H58=8,2.1,"ERROR!: Input 12,10 or 8 ft only")))</f>
        <v>2.1</v>
      </c>
      <c r="D58" s="193"/>
      <c r="F58" s="70" t="s">
        <v>297</v>
      </c>
      <c r="G58" s="100" t="s">
        <v>298</v>
      </c>
      <c r="H58" s="260">
        <v>8</v>
      </c>
      <c r="I58" s="2" t="s">
        <v>298</v>
      </c>
    </row>
    <row r="59" spans="1:9" x14ac:dyDescent="0.3">
      <c r="A59" s="85"/>
      <c r="B59" s="85"/>
      <c r="C59" s="85"/>
      <c r="D59" s="193"/>
      <c r="E59" s="189" t="s">
        <v>299</v>
      </c>
      <c r="F59" s="190">
        <f>C57+C58-H56+0.3</f>
        <v>0.41713499340118981</v>
      </c>
      <c r="G59" s="100" t="s">
        <v>8</v>
      </c>
      <c r="H59" s="190">
        <f>CONVERT(F59,"m","ft")</f>
        <v>1.3685531279566594</v>
      </c>
      <c r="I59" s="166" t="s">
        <v>298</v>
      </c>
    </row>
    <row r="60" spans="1:9" x14ac:dyDescent="0.3">
      <c r="A60" s="193"/>
      <c r="B60" s="193"/>
      <c r="C60" s="193"/>
      <c r="D60" s="193"/>
      <c r="F60" s="183"/>
      <c r="G60" s="191" t="str">
        <f>IF(F59&gt;=0.3,"OK Roof Sheet combination","Adjust Sheet Length!")</f>
        <v>OK Roof Sheet combination</v>
      </c>
    </row>
    <row r="61" spans="1:9" x14ac:dyDescent="0.3">
      <c r="C61" s="85"/>
      <c r="F61" s="183"/>
      <c r="G61" s="195" t="str">
        <f>IF(F59&lt;=0.6,"","But not economical, cost you more money!")</f>
        <v/>
      </c>
    </row>
    <row r="62" spans="1:9" x14ac:dyDescent="0.3">
      <c r="C62" s="85"/>
      <c r="F62" s="183"/>
      <c r="G62" s="195" t="str">
        <f>IF(F59&lt;=0.6,"","End Lapping must not be more than 2 ft")</f>
        <v/>
      </c>
    </row>
    <row r="63" spans="1:9" x14ac:dyDescent="0.3">
      <c r="A63" s="193"/>
      <c r="B63" s="193"/>
      <c r="C63" s="85"/>
      <c r="G63" s="192" t="s">
        <v>302</v>
      </c>
    </row>
    <row r="64" spans="1:9" x14ac:dyDescent="0.3">
      <c r="A64" s="85"/>
      <c r="B64" s="94" t="s">
        <v>294</v>
      </c>
      <c r="C64" s="168">
        <f>C56</f>
        <v>4.3828650065988102</v>
      </c>
      <c r="D64" s="181"/>
      <c r="F64" s="119" t="s">
        <v>295</v>
      </c>
      <c r="G64" s="100" t="s">
        <v>8</v>
      </c>
      <c r="H64" s="188">
        <f>C64</f>
        <v>4.3828650065988102</v>
      </c>
      <c r="I64" s="180" t="s">
        <v>8</v>
      </c>
    </row>
    <row r="65" spans="1:9" x14ac:dyDescent="0.3">
      <c r="A65" s="181"/>
      <c r="B65" s="181"/>
      <c r="C65" s="194">
        <f>IF(H65=12,3.6,IF(H65=10,3,IF(H65=8,2.4,"ERROR!: Input 12,10 or 8 ft only")))</f>
        <v>2.4</v>
      </c>
      <c r="D65" s="182"/>
      <c r="F65" s="70" t="s">
        <v>296</v>
      </c>
      <c r="G65" s="100" t="s">
        <v>298</v>
      </c>
      <c r="H65" s="260">
        <v>8</v>
      </c>
      <c r="I65" s="2" t="s">
        <v>298</v>
      </c>
    </row>
    <row r="66" spans="1:9" x14ac:dyDescent="0.3">
      <c r="A66" s="181"/>
      <c r="B66" s="181"/>
      <c r="C66" s="194">
        <f>IF(H66=12,3.3,IF(H66=10,2.7,IF(H66=8,2.1,"ERROR!: Input 12,10 or 8 ft only")))</f>
        <v>2.1</v>
      </c>
      <c r="D66" s="181"/>
      <c r="F66" s="70" t="s">
        <v>297</v>
      </c>
      <c r="G66" s="100" t="s">
        <v>298</v>
      </c>
      <c r="H66" s="260">
        <v>8</v>
      </c>
      <c r="I66" s="2" t="s">
        <v>298</v>
      </c>
    </row>
    <row r="67" spans="1:9" x14ac:dyDescent="0.3">
      <c r="A67" s="181"/>
      <c r="B67" s="181"/>
      <c r="C67" s="194">
        <f>IF(H67=12,3.3,IF(H67=10,2.7,IF(H67=8,2.1,"ERROR!: Input 12,10 or 8 ft only")))</f>
        <v>2.1</v>
      </c>
      <c r="F67" s="70" t="s">
        <v>300</v>
      </c>
      <c r="G67" s="100" t="s">
        <v>298</v>
      </c>
      <c r="H67" s="260">
        <v>8</v>
      </c>
      <c r="I67" s="2" t="s">
        <v>298</v>
      </c>
    </row>
    <row r="68" spans="1:9" x14ac:dyDescent="0.3">
      <c r="E68" s="189" t="s">
        <v>299</v>
      </c>
      <c r="F68" s="190">
        <f>((C67+C66+C65-H64+0.3+0.3)/2)</f>
        <v>1.4085674967005946</v>
      </c>
      <c r="G68" s="100" t="s">
        <v>8</v>
      </c>
      <c r="H68" s="190">
        <f>CONVERT(F68,"m","ft")</f>
        <v>4.6212844379940767</v>
      </c>
      <c r="I68" s="166" t="s">
        <v>298</v>
      </c>
    </row>
    <row r="69" spans="1:9" x14ac:dyDescent="0.3">
      <c r="F69" s="183"/>
      <c r="G69" s="191" t="str">
        <f>IF(F68&gt;=0.3,"OK Roof Sheet combination","Adjust Sheet Length!")</f>
        <v>OK Roof Sheet combination</v>
      </c>
    </row>
    <row r="70" spans="1:9" x14ac:dyDescent="0.3">
      <c r="G70" s="195" t="str">
        <f>IF(F68&lt;=0.6,"","But not economical, cost you more money!")</f>
        <v>But not economical, cost you more money!</v>
      </c>
    </row>
    <row r="71" spans="1:9" x14ac:dyDescent="0.3">
      <c r="G71" s="195" t="str">
        <f>IF(F68&lt;=0.6,"","End Lapping must not be more than 2 ft")</f>
        <v>End Lapping must not be more than 2 ft</v>
      </c>
    </row>
    <row r="72" spans="1:9" x14ac:dyDescent="0.3">
      <c r="A72" s="196" t="s">
        <v>311</v>
      </c>
      <c r="B72" s="62"/>
      <c r="C72" s="62"/>
      <c r="D72" s="62"/>
      <c r="E72" s="62"/>
    </row>
    <row r="73" spans="1:9" x14ac:dyDescent="0.3">
      <c r="A73" s="198"/>
      <c r="B73" s="4"/>
      <c r="C73" s="4"/>
      <c r="D73" s="4"/>
      <c r="E73" s="4"/>
    </row>
    <row r="77" spans="1:9" x14ac:dyDescent="0.3">
      <c r="F77" s="200"/>
      <c r="G77" s="201" t="s">
        <v>304</v>
      </c>
      <c r="H77" s="203">
        <v>2.5</v>
      </c>
      <c r="I77" s="205">
        <v>1.5</v>
      </c>
    </row>
    <row r="78" spans="1:9" x14ac:dyDescent="0.3">
      <c r="F78" s="199"/>
      <c r="G78" s="202" t="s">
        <v>305</v>
      </c>
      <c r="H78" s="204">
        <v>0.6</v>
      </c>
      <c r="I78" s="206">
        <v>0.7</v>
      </c>
    </row>
    <row r="79" spans="1:9" x14ac:dyDescent="0.3">
      <c r="F79" s="122" t="s">
        <v>303</v>
      </c>
      <c r="G79" s="100" t="s">
        <v>8</v>
      </c>
      <c r="H79" s="248">
        <f>9+2</f>
        <v>11</v>
      </c>
      <c r="I79" s="2" t="s">
        <v>8</v>
      </c>
    </row>
    <row r="80" spans="1:9" x14ac:dyDescent="0.3">
      <c r="F80" s="70" t="s">
        <v>308</v>
      </c>
      <c r="G80" s="100" t="s">
        <v>8</v>
      </c>
      <c r="H80" s="248">
        <v>0.7</v>
      </c>
      <c r="I80" s="2" t="s">
        <v>8</v>
      </c>
    </row>
    <row r="81" spans="1:9" x14ac:dyDescent="0.3">
      <c r="B81" s="207"/>
      <c r="G81" s="192" t="s">
        <v>301</v>
      </c>
    </row>
    <row r="82" spans="1:9" x14ac:dyDescent="0.3">
      <c r="B82" s="207"/>
      <c r="C82" s="207"/>
      <c r="D82" s="207"/>
      <c r="E82" s="207"/>
      <c r="F82" s="207"/>
      <c r="G82" s="208" t="str">
        <f>CONCATENATE("Number of the 1st Roof sheet used @ ",H57," feet long at one side only")</f>
        <v>Number of the 1st Roof sheet used @ 8 feet long at one side only</v>
      </c>
      <c r="H82" s="107">
        <f>ROUNDUP((H79/H80),0)</f>
        <v>16</v>
      </c>
      <c r="I82" s="107" t="s">
        <v>236</v>
      </c>
    </row>
    <row r="83" spans="1:9" x14ac:dyDescent="0.3">
      <c r="C83" s="207"/>
      <c r="D83" s="207"/>
      <c r="E83" s="207"/>
      <c r="F83" s="207"/>
      <c r="G83" s="208" t="str">
        <f>CONCATENATE("Number of the 2nd Roof sheet used @ ",H58," feet long at one side only")</f>
        <v>Number of the 2nd Roof sheet used @ 8 feet long at one side only</v>
      </c>
      <c r="H83" s="107">
        <f>H82</f>
        <v>16</v>
      </c>
      <c r="I83" s="107" t="s">
        <v>236</v>
      </c>
    </row>
    <row r="84" spans="1:9" x14ac:dyDescent="0.3">
      <c r="D84" s="207"/>
      <c r="E84" s="207"/>
      <c r="F84" s="207"/>
      <c r="G84" s="208" t="s">
        <v>310</v>
      </c>
      <c r="H84" s="209">
        <f>ROUNDUP((((IF(H57=8,18,IF(H57=10,22,IF(H57=12,26))))*H82)+((IF(H58=8,18,IF(H58=10,22,IF(H58=12,26))))*H83))/120,0)</f>
        <v>5</v>
      </c>
      <c r="I84" s="107" t="s">
        <v>188</v>
      </c>
    </row>
    <row r="85" spans="1:9" x14ac:dyDescent="0.3">
      <c r="E85" s="210" t="str">
        <f>IF(F59&lt;=0.6,"","Not recommended, cost you more money!")</f>
        <v/>
      </c>
    </row>
    <row r="86" spans="1:9" x14ac:dyDescent="0.3">
      <c r="C86" s="207" t="s">
        <v>309</v>
      </c>
    </row>
    <row r="88" spans="1:9" x14ac:dyDescent="0.3">
      <c r="G88" s="192" t="s">
        <v>302</v>
      </c>
    </row>
    <row r="89" spans="1:9" x14ac:dyDescent="0.3">
      <c r="C89" s="207"/>
      <c r="D89" s="207"/>
      <c r="E89" s="207"/>
      <c r="F89" s="207"/>
      <c r="G89" s="208" t="str">
        <f>CONCATENATE("Number of the 1st Roof sheet used @ ",H65," feet long at one side only")</f>
        <v>Number of the 1st Roof sheet used @ 8 feet long at one side only</v>
      </c>
      <c r="H89" s="107">
        <f>H82</f>
        <v>16</v>
      </c>
      <c r="I89" s="107" t="s">
        <v>236</v>
      </c>
    </row>
    <row r="90" spans="1:9" x14ac:dyDescent="0.3">
      <c r="C90" s="207"/>
      <c r="D90" s="207"/>
      <c r="E90" s="207"/>
      <c r="F90" s="207"/>
      <c r="G90" s="208" t="str">
        <f>CONCATENATE("Number of the 2nd Roof sheet used @ ",H66," feet long at one side only")</f>
        <v>Number of the 2nd Roof sheet used @ 8 feet long at one side only</v>
      </c>
      <c r="H90" s="107">
        <f>H89</f>
        <v>16</v>
      </c>
      <c r="I90" s="107" t="s">
        <v>236</v>
      </c>
    </row>
    <row r="91" spans="1:9" x14ac:dyDescent="0.3">
      <c r="C91" s="207"/>
      <c r="D91" s="207"/>
      <c r="E91" s="207"/>
      <c r="F91" s="207"/>
      <c r="G91" s="208" t="str">
        <f>CONCATENATE("Number of the 3rd Roof sheet used @ ",H67," feet long at one side only")</f>
        <v>Number of the 3rd Roof sheet used @ 8 feet long at one side only</v>
      </c>
      <c r="H91" s="107">
        <f>H89</f>
        <v>16</v>
      </c>
      <c r="I91" s="107" t="s">
        <v>236</v>
      </c>
    </row>
    <row r="92" spans="1:9" x14ac:dyDescent="0.3">
      <c r="D92" s="207"/>
      <c r="E92" s="207"/>
      <c r="F92" s="207"/>
      <c r="G92" s="208" t="s">
        <v>310</v>
      </c>
      <c r="H92" s="209">
        <f>ROUNDUP((((IF(H65=8,18,IF(H65=10,22,IF(H65=12,26))))*H90)+((IF(H66=8,18,IF(H66=10,22,IF(H66=12,26))))*H91)+((IF(H67=8,18,IF(H67=10,22,IF(H67=12,26))))*H91))/120,0)</f>
        <v>8</v>
      </c>
      <c r="I92" s="107" t="s">
        <v>188</v>
      </c>
    </row>
    <row r="93" spans="1:9" x14ac:dyDescent="0.3">
      <c r="E93" s="210" t="str">
        <f>IF(F68&lt;=0.6,"","Not recommended, cost you more money!")</f>
        <v>Not recommended, cost you more money!</v>
      </c>
    </row>
    <row r="94" spans="1:9" x14ac:dyDescent="0.3">
      <c r="C94" s="207" t="s">
        <v>309</v>
      </c>
    </row>
    <row r="95" spans="1:9" x14ac:dyDescent="0.3">
      <c r="C95" s="207"/>
    </row>
    <row r="96" spans="1:9" x14ac:dyDescent="0.3">
      <c r="A96" s="322"/>
      <c r="B96" s="322"/>
      <c r="C96" s="322"/>
      <c r="D96" s="322"/>
      <c r="E96" s="322"/>
      <c r="F96" s="322"/>
      <c r="G96" s="322"/>
      <c r="H96" s="322"/>
      <c r="I96" s="322"/>
    </row>
    <row r="108" spans="1:4" x14ac:dyDescent="0.3">
      <c r="A108" s="61" t="s">
        <v>408</v>
      </c>
      <c r="B108" s="62"/>
    </row>
    <row r="109" spans="1:4" x14ac:dyDescent="0.3">
      <c r="A109" s="198"/>
      <c r="B109" s="4"/>
      <c r="C109" s="4"/>
      <c r="D109" s="217"/>
    </row>
    <row r="110" spans="1:4" x14ac:dyDescent="0.3">
      <c r="A110" s="4"/>
      <c r="B110" s="4"/>
      <c r="C110" s="4"/>
      <c r="D110" s="4"/>
    </row>
    <row r="111" spans="1:4" x14ac:dyDescent="0.3">
      <c r="A111" s="4"/>
      <c r="B111" s="4"/>
      <c r="C111" s="4"/>
      <c r="D111" s="4"/>
    </row>
    <row r="119" spans="6:8" x14ac:dyDescent="0.3">
      <c r="F119" s="109" t="s">
        <v>405</v>
      </c>
      <c r="G119" s="262">
        <v>11</v>
      </c>
      <c r="H119" s="227" t="s">
        <v>8</v>
      </c>
    </row>
    <row r="120" spans="6:8" x14ac:dyDescent="0.3">
      <c r="F120" s="109" t="s">
        <v>406</v>
      </c>
      <c r="G120" s="262">
        <v>2.2000000000000002</v>
      </c>
      <c r="H120" s="227" t="s">
        <v>8</v>
      </c>
    </row>
    <row r="121" spans="6:8" x14ac:dyDescent="0.3">
      <c r="F121" s="208" t="s">
        <v>407</v>
      </c>
      <c r="G121" s="107">
        <f>ROUNDUP(G119/G120,0)</f>
        <v>5</v>
      </c>
      <c r="H121" s="107" t="s">
        <v>73</v>
      </c>
    </row>
  </sheetData>
  <mergeCells count="4">
    <mergeCell ref="C20:D20"/>
    <mergeCell ref="A1:I1"/>
    <mergeCell ref="A48:I48"/>
    <mergeCell ref="A96:I96"/>
  </mergeCells>
  <pageMargins left="0.7" right="0.7" top="0.75" bottom="0.75" header="0.3" footer="0.3"/>
  <pageSetup orientation="portrait" r:id="rId1"/>
  <headerFooter>
    <oddFooter>&amp;LBASED ON MAX FAJARDO - SIMPLIFIED CONSTRUCTION ESTIMATE HANDBOOK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8"/>
  <sheetViews>
    <sheetView view="pageLayout" topLeftCell="A17" workbookViewId="0">
      <selection activeCell="G43" sqref="G43"/>
    </sheetView>
  </sheetViews>
  <sheetFormatPr defaultRowHeight="14.4" x14ac:dyDescent="0.3"/>
  <cols>
    <col min="6" max="6" width="7.21875" customWidth="1"/>
    <col min="7" max="7" width="11.5546875" customWidth="1"/>
    <col min="9" max="9" width="10.5546875" bestFit="1" customWidth="1"/>
  </cols>
  <sheetData>
    <row r="1" spans="1:9" x14ac:dyDescent="0.3">
      <c r="A1" s="322"/>
      <c r="B1" s="322"/>
      <c r="C1" s="322"/>
      <c r="D1" s="322"/>
      <c r="E1" s="322"/>
      <c r="F1" s="322"/>
      <c r="G1" s="322"/>
      <c r="H1" s="322"/>
      <c r="I1" s="322"/>
    </row>
    <row r="3" spans="1:9" x14ac:dyDescent="0.3">
      <c r="A3" s="61" t="s">
        <v>409</v>
      </c>
      <c r="B3" s="62"/>
    </row>
    <row r="4" spans="1:9" x14ac:dyDescent="0.3">
      <c r="A4" s="228"/>
      <c r="B4" s="229"/>
      <c r="C4" s="230"/>
      <c r="D4" s="231"/>
      <c r="E4" s="231"/>
      <c r="F4" s="231"/>
      <c r="G4" s="76" t="s">
        <v>410</v>
      </c>
      <c r="H4" s="263">
        <v>100</v>
      </c>
      <c r="I4" s="240" t="s">
        <v>33</v>
      </c>
    </row>
    <row r="5" spans="1:9" x14ac:dyDescent="0.3">
      <c r="A5" s="238"/>
      <c r="B5" s="239"/>
      <c r="C5" s="239"/>
      <c r="D5" s="238"/>
      <c r="E5" s="238"/>
      <c r="F5" s="231"/>
      <c r="G5" s="76" t="s">
        <v>431</v>
      </c>
      <c r="H5" s="263">
        <v>5</v>
      </c>
      <c r="I5" s="240" t="s">
        <v>71</v>
      </c>
    </row>
    <row r="6" spans="1:9" x14ac:dyDescent="0.3">
      <c r="A6" s="238"/>
      <c r="B6" s="232"/>
      <c r="C6" s="233"/>
      <c r="D6" s="232"/>
      <c r="E6" s="232"/>
      <c r="F6" s="231"/>
      <c r="G6" s="18"/>
    </row>
    <row r="7" spans="1:9" x14ac:dyDescent="0.3">
      <c r="A7" s="231"/>
      <c r="B7" s="231"/>
      <c r="C7" s="230"/>
      <c r="D7" s="231"/>
      <c r="E7" s="231"/>
      <c r="F7" s="241"/>
      <c r="G7" s="352" t="s">
        <v>411</v>
      </c>
      <c r="H7" s="353"/>
      <c r="I7" s="243" t="s">
        <v>412</v>
      </c>
    </row>
    <row r="8" spans="1:9" x14ac:dyDescent="0.3">
      <c r="A8" s="237"/>
      <c r="B8" s="231"/>
      <c r="C8" s="230"/>
      <c r="D8" s="231"/>
      <c r="E8" s="231"/>
      <c r="F8" s="241"/>
      <c r="G8" s="2" t="s">
        <v>414</v>
      </c>
      <c r="H8" s="2" t="s">
        <v>182</v>
      </c>
      <c r="I8" s="242" t="s">
        <v>413</v>
      </c>
    </row>
    <row r="9" spans="1:9" x14ac:dyDescent="0.3">
      <c r="A9" s="237"/>
      <c r="B9" s="231"/>
      <c r="C9" s="230"/>
      <c r="D9" s="231"/>
      <c r="E9" s="231"/>
      <c r="F9" s="241"/>
      <c r="G9" s="2" t="s">
        <v>313</v>
      </c>
      <c r="H9" s="2" t="s">
        <v>314</v>
      </c>
      <c r="I9" s="190">
        <f>ROUNDUP((H4*177.8*(1+(H5/100))),0)</f>
        <v>18669</v>
      </c>
    </row>
    <row r="10" spans="1:9" x14ac:dyDescent="0.3">
      <c r="A10" s="237"/>
      <c r="B10" s="231"/>
      <c r="C10" s="230"/>
      <c r="D10" s="231"/>
      <c r="E10" s="231"/>
      <c r="F10" s="241"/>
      <c r="G10" s="2" t="s">
        <v>315</v>
      </c>
      <c r="H10" s="2" t="s">
        <v>316</v>
      </c>
      <c r="I10" s="190">
        <f>ROUNDUP((H4*100*(1+(H5/100))),0)</f>
        <v>10500</v>
      </c>
    </row>
    <row r="11" spans="1:9" x14ac:dyDescent="0.3">
      <c r="A11" s="237"/>
      <c r="B11" s="231"/>
      <c r="C11" s="230"/>
      <c r="D11" s="231"/>
      <c r="E11" s="231"/>
      <c r="F11" s="241"/>
      <c r="G11" s="2" t="s">
        <v>415</v>
      </c>
      <c r="H11" s="2" t="s">
        <v>422</v>
      </c>
      <c r="I11" s="190">
        <f>ROUNDUP((H4*88.4*(1+(H5/100))),0)</f>
        <v>9282</v>
      </c>
    </row>
    <row r="12" spans="1:9" x14ac:dyDescent="0.3">
      <c r="A12" s="237"/>
      <c r="B12" s="231"/>
      <c r="C12" s="230"/>
      <c r="D12" s="231"/>
      <c r="E12" s="231"/>
      <c r="F12" s="241"/>
      <c r="G12" s="2" t="s">
        <v>317</v>
      </c>
      <c r="H12" s="2" t="s">
        <v>318</v>
      </c>
      <c r="I12" s="190">
        <f>ROUNDUP((H4*50*(1+(H5/100))),0)</f>
        <v>5250</v>
      </c>
    </row>
    <row r="13" spans="1:9" x14ac:dyDescent="0.3">
      <c r="A13" s="237"/>
      <c r="B13" s="231"/>
      <c r="C13" s="230"/>
      <c r="D13" s="231"/>
      <c r="E13" s="231"/>
      <c r="F13" s="241"/>
      <c r="G13" s="2" t="s">
        <v>319</v>
      </c>
      <c r="H13" s="2" t="s">
        <v>320</v>
      </c>
      <c r="I13" s="190">
        <f>ROUNDUP((H4*44.44*(1+(H5/100))),0)</f>
        <v>4667</v>
      </c>
    </row>
    <row r="14" spans="1:9" x14ac:dyDescent="0.3">
      <c r="A14" s="237"/>
      <c r="B14" s="231"/>
      <c r="C14" s="230"/>
      <c r="D14" s="231"/>
      <c r="E14" s="231"/>
      <c r="F14" s="241"/>
      <c r="G14" s="2" t="s">
        <v>416</v>
      </c>
      <c r="H14" s="2" t="s">
        <v>423</v>
      </c>
      <c r="I14" s="190">
        <f>ROUNDUP((H4*33.33*(1+(H5/100))),0)</f>
        <v>3500</v>
      </c>
    </row>
    <row r="15" spans="1:9" x14ac:dyDescent="0.3">
      <c r="A15" s="18"/>
      <c r="B15" s="232"/>
      <c r="C15" s="234"/>
      <c r="D15" s="235"/>
      <c r="E15" s="231"/>
      <c r="F15" s="236"/>
      <c r="G15" s="2" t="s">
        <v>417</v>
      </c>
      <c r="H15" s="2" t="s">
        <v>424</v>
      </c>
      <c r="I15" s="190">
        <f>ROUNDUP((H4*22.22*(1+(H5/100))),0)</f>
        <v>2334</v>
      </c>
    </row>
    <row r="16" spans="1:9" x14ac:dyDescent="0.3">
      <c r="A16" s="18"/>
      <c r="B16" s="232"/>
      <c r="C16" s="234"/>
      <c r="D16" s="235"/>
      <c r="E16" s="231"/>
      <c r="F16" s="236"/>
      <c r="G16" s="244" t="s">
        <v>321</v>
      </c>
      <c r="H16" s="244" t="s">
        <v>421</v>
      </c>
      <c r="I16" s="245">
        <f>ROUNDUP((H4*25*(1+(H5/100))),0)</f>
        <v>2625</v>
      </c>
    </row>
    <row r="17" spans="1:9" x14ac:dyDescent="0.3">
      <c r="A17" s="18"/>
      <c r="B17" s="18"/>
      <c r="C17" s="18"/>
      <c r="D17" s="18"/>
      <c r="E17" s="18"/>
      <c r="F17" s="18"/>
      <c r="G17" s="2" t="s">
        <v>428</v>
      </c>
      <c r="H17" s="2" t="s">
        <v>425</v>
      </c>
      <c r="I17" s="190">
        <f>ROUNDUP((H4*16.66*(1+(H5/100))),0)</f>
        <v>1750</v>
      </c>
    </row>
    <row r="18" spans="1:9" x14ac:dyDescent="0.3">
      <c r="G18" s="2" t="s">
        <v>418</v>
      </c>
      <c r="H18" s="2" t="s">
        <v>426</v>
      </c>
      <c r="I18" s="190">
        <f>ROUNDUP((H4*12.5*(1+(H5/100))),0)</f>
        <v>1313</v>
      </c>
    </row>
    <row r="19" spans="1:9" x14ac:dyDescent="0.3">
      <c r="G19" s="2" t="s">
        <v>419</v>
      </c>
      <c r="H19" s="2" t="s">
        <v>427</v>
      </c>
      <c r="I19" s="190">
        <f>ROUNDUP((H4*16*(1+(H5/100))),0)</f>
        <v>1680</v>
      </c>
    </row>
    <row r="20" spans="1:9" x14ac:dyDescent="0.3">
      <c r="G20" s="244" t="s">
        <v>312</v>
      </c>
      <c r="H20" s="244" t="s">
        <v>222</v>
      </c>
      <c r="I20" s="245">
        <f>ROUNDUP((H4*11.11*(1+(H5/100))),0)</f>
        <v>1167</v>
      </c>
    </row>
    <row r="21" spans="1:9" x14ac:dyDescent="0.3">
      <c r="G21" s="2" t="s">
        <v>429</v>
      </c>
      <c r="H21" s="2" t="s">
        <v>223</v>
      </c>
      <c r="I21" s="190">
        <f>ROUNDUP((H4*5.56*(1+(H5/100))),0)</f>
        <v>584</v>
      </c>
    </row>
    <row r="22" spans="1:9" x14ac:dyDescent="0.3">
      <c r="G22" s="244" t="s">
        <v>420</v>
      </c>
      <c r="H22" s="244" t="s">
        <v>224</v>
      </c>
      <c r="I22" s="245">
        <f>ROUNDUP((H4*6.25*(1+(H5/100))),0)</f>
        <v>657</v>
      </c>
    </row>
    <row r="23" spans="1:9" x14ac:dyDescent="0.3">
      <c r="G23" s="2" t="s">
        <v>421</v>
      </c>
      <c r="H23" s="2" t="s">
        <v>430</v>
      </c>
      <c r="I23" s="190">
        <f>ROUNDUP((H4*4*(1+(H5/100))),0)</f>
        <v>420</v>
      </c>
    </row>
    <row r="24" spans="1:9" x14ac:dyDescent="0.3">
      <c r="G24" s="2" t="s">
        <v>510</v>
      </c>
      <c r="H24" s="2" t="s">
        <v>509</v>
      </c>
      <c r="I24" s="190">
        <f>ROUNDUP((H4*4.1667*(1+(H5/100))),0)</f>
        <v>438</v>
      </c>
    </row>
    <row r="26" spans="1:9" x14ac:dyDescent="0.3">
      <c r="G26" s="224" t="s">
        <v>432</v>
      </c>
      <c r="H26" s="190">
        <f>ROUNDUP(H4*0.086,0)</f>
        <v>9</v>
      </c>
      <c r="I26" s="180" t="s">
        <v>22</v>
      </c>
    </row>
    <row r="27" spans="1:9" x14ac:dyDescent="0.3">
      <c r="G27" s="224" t="s">
        <v>433</v>
      </c>
      <c r="H27" s="190">
        <f>ROUNDUP(H4*0.5,0)</f>
        <v>50</v>
      </c>
      <c r="I27" s="180" t="s">
        <v>188</v>
      </c>
    </row>
    <row r="28" spans="1:9" x14ac:dyDescent="0.3">
      <c r="G28" s="224" t="s">
        <v>434</v>
      </c>
      <c r="H28" s="190">
        <f>ROUNDUP(H4*0.11,0)</f>
        <v>11</v>
      </c>
      <c r="I28" s="180" t="s">
        <v>22</v>
      </c>
    </row>
  </sheetData>
  <mergeCells count="2">
    <mergeCell ref="G7:H7"/>
    <mergeCell ref="A1:I1"/>
  </mergeCells>
  <pageMargins left="0.7" right="0.7" top="0.75" bottom="0.75" header="0.3" footer="0.3"/>
  <pageSetup orientation="portrait" r:id="rId1"/>
  <headerFooter>
    <oddFooter>&amp;LBASED ON MAX FAJARDO - SIMPLIFIED CONSTRUCTION ESTIMATE HANDBOOK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2"/>
  <sheetViews>
    <sheetView tabSelected="1" view="pageLayout" workbookViewId="0">
      <selection activeCell="G8" sqref="G8"/>
    </sheetView>
  </sheetViews>
  <sheetFormatPr defaultRowHeight="14.4" x14ac:dyDescent="0.3"/>
  <sheetData>
    <row r="1" spans="1:9" x14ac:dyDescent="0.3">
      <c r="A1" s="322"/>
      <c r="B1" s="322"/>
      <c r="C1" s="322"/>
      <c r="D1" s="322"/>
      <c r="E1" s="322"/>
      <c r="F1" s="322"/>
      <c r="G1" s="322"/>
      <c r="H1" s="322"/>
      <c r="I1" s="322"/>
    </row>
    <row r="2" spans="1:9" x14ac:dyDescent="0.3">
      <c r="A2" s="61" t="s">
        <v>404</v>
      </c>
      <c r="B2" s="61"/>
    </row>
    <row r="3" spans="1:9" x14ac:dyDescent="0.3">
      <c r="A3" s="219" t="s">
        <v>322</v>
      </c>
      <c r="B3" s="223" t="s">
        <v>323</v>
      </c>
      <c r="C3" s="220"/>
      <c r="D3" s="221"/>
      <c r="E3" s="221"/>
      <c r="G3" s="109" t="s">
        <v>435</v>
      </c>
      <c r="H3" s="248">
        <v>100</v>
      </c>
      <c r="I3" s="246" t="s">
        <v>33</v>
      </c>
    </row>
    <row r="4" spans="1:9" ht="28.8" x14ac:dyDescent="0.3">
      <c r="A4" s="218" t="s">
        <v>324</v>
      </c>
      <c r="B4" s="219"/>
      <c r="C4" s="220"/>
      <c r="D4" s="221"/>
      <c r="E4" s="221"/>
      <c r="G4" s="109" t="s">
        <v>436</v>
      </c>
      <c r="H4" s="248">
        <v>25</v>
      </c>
      <c r="I4" s="247" t="s">
        <v>437</v>
      </c>
    </row>
    <row r="5" spans="1:9" x14ac:dyDescent="0.3">
      <c r="A5" s="218" t="s">
        <v>325</v>
      </c>
      <c r="B5" s="219"/>
      <c r="C5" s="220"/>
      <c r="D5" s="221"/>
      <c r="E5" s="221"/>
      <c r="G5" s="109" t="s">
        <v>440</v>
      </c>
      <c r="H5" s="248">
        <v>2</v>
      </c>
      <c r="I5" s="247" t="s">
        <v>439</v>
      </c>
    </row>
    <row r="6" spans="1:9" x14ac:dyDescent="0.3">
      <c r="A6" s="223" t="s">
        <v>326</v>
      </c>
      <c r="B6" s="219"/>
      <c r="C6" s="220"/>
      <c r="D6" s="221"/>
      <c r="E6" s="221"/>
      <c r="G6" s="215" t="s">
        <v>438</v>
      </c>
      <c r="H6" s="36">
        <f>ROUNDUP((H3/H4)*H5,0)</f>
        <v>8</v>
      </c>
      <c r="I6" s="180" t="s">
        <v>441</v>
      </c>
    </row>
    <row r="7" spans="1:9" x14ac:dyDescent="0.3">
      <c r="A7" s="71" t="s">
        <v>327</v>
      </c>
      <c r="B7" s="71" t="s">
        <v>328</v>
      </c>
      <c r="C7" s="222" t="s">
        <v>329</v>
      </c>
      <c r="D7" s="71" t="s">
        <v>330</v>
      </c>
      <c r="E7" s="71" t="s">
        <v>331</v>
      </c>
    </row>
    <row r="8" spans="1:9" ht="30.6" x14ac:dyDescent="0.3">
      <c r="A8" s="225" t="s">
        <v>332</v>
      </c>
      <c r="B8" s="225" t="s">
        <v>333</v>
      </c>
      <c r="C8" s="226" t="s">
        <v>334</v>
      </c>
      <c r="D8" s="225" t="s">
        <v>335</v>
      </c>
      <c r="E8" s="225" t="s">
        <v>336</v>
      </c>
    </row>
    <row r="9" spans="1:9" ht="30.6" x14ac:dyDescent="0.3">
      <c r="A9" s="225" t="s">
        <v>337</v>
      </c>
      <c r="B9" s="225" t="s">
        <v>338</v>
      </c>
      <c r="C9" s="226" t="s">
        <v>334</v>
      </c>
      <c r="D9" s="225" t="s">
        <v>339</v>
      </c>
      <c r="E9" s="225" t="s">
        <v>340</v>
      </c>
    </row>
    <row r="10" spans="1:9" ht="40.799999999999997" x14ac:dyDescent="0.3">
      <c r="A10" s="225" t="s">
        <v>341</v>
      </c>
      <c r="B10" s="225" t="s">
        <v>342</v>
      </c>
      <c r="C10" s="226" t="s">
        <v>334</v>
      </c>
      <c r="D10" s="225" t="s">
        <v>343</v>
      </c>
      <c r="E10" s="225" t="s">
        <v>344</v>
      </c>
    </row>
    <row r="11" spans="1:9" ht="51" x14ac:dyDescent="0.3">
      <c r="A11" s="225" t="s">
        <v>345</v>
      </c>
      <c r="B11" s="225" t="s">
        <v>346</v>
      </c>
      <c r="C11" s="226" t="s">
        <v>334</v>
      </c>
      <c r="D11" s="225" t="s">
        <v>343</v>
      </c>
      <c r="E11" s="225" t="s">
        <v>340</v>
      </c>
    </row>
    <row r="12" spans="1:9" ht="40.799999999999997" x14ac:dyDescent="0.3">
      <c r="A12" s="225" t="s">
        <v>347</v>
      </c>
      <c r="B12" s="225" t="s">
        <v>348</v>
      </c>
      <c r="C12" s="226" t="s">
        <v>349</v>
      </c>
      <c r="D12" s="225" t="s">
        <v>339</v>
      </c>
      <c r="E12" s="225" t="s">
        <v>340</v>
      </c>
    </row>
    <row r="13" spans="1:9" x14ac:dyDescent="0.3">
      <c r="A13" s="219"/>
      <c r="B13" s="219"/>
      <c r="C13" s="220"/>
      <c r="D13" s="221"/>
      <c r="E13" s="221"/>
    </row>
    <row r="14" spans="1:9" x14ac:dyDescent="0.3">
      <c r="A14" s="219"/>
      <c r="B14" s="219"/>
      <c r="C14" s="220"/>
      <c r="D14" s="221"/>
      <c r="E14" s="221"/>
    </row>
    <row r="15" spans="1:9" x14ac:dyDescent="0.3">
      <c r="A15" s="223" t="s">
        <v>350</v>
      </c>
      <c r="B15" s="219"/>
      <c r="C15" s="220"/>
      <c r="D15" s="221"/>
      <c r="E15" s="221"/>
    </row>
    <row r="16" spans="1:9" x14ac:dyDescent="0.3">
      <c r="A16" s="71" t="s">
        <v>327</v>
      </c>
      <c r="B16" s="71" t="s">
        <v>328</v>
      </c>
      <c r="C16" s="222" t="s">
        <v>329</v>
      </c>
      <c r="D16" s="71" t="s">
        <v>330</v>
      </c>
      <c r="E16" s="71" t="s">
        <v>331</v>
      </c>
    </row>
    <row r="17" spans="1:5" ht="40.799999999999997" x14ac:dyDescent="0.3">
      <c r="A17" s="225" t="s">
        <v>351</v>
      </c>
      <c r="B17" s="225" t="s">
        <v>352</v>
      </c>
      <c r="C17" s="226" t="s">
        <v>353</v>
      </c>
      <c r="D17" s="225" t="s">
        <v>354</v>
      </c>
      <c r="E17" s="225" t="s">
        <v>340</v>
      </c>
    </row>
    <row r="18" spans="1:5" ht="40.799999999999997" x14ac:dyDescent="0.3">
      <c r="A18" s="225" t="s">
        <v>355</v>
      </c>
      <c r="B18" s="225" t="s">
        <v>352</v>
      </c>
      <c r="C18" s="226" t="s">
        <v>356</v>
      </c>
      <c r="D18" s="225" t="s">
        <v>354</v>
      </c>
      <c r="E18" s="225" t="s">
        <v>340</v>
      </c>
    </row>
    <row r="19" spans="1:5" ht="40.799999999999997" x14ac:dyDescent="0.3">
      <c r="A19" s="225" t="s">
        <v>357</v>
      </c>
      <c r="B19" s="225" t="s">
        <v>352</v>
      </c>
      <c r="C19" s="226" t="s">
        <v>356</v>
      </c>
      <c r="D19" s="225" t="s">
        <v>354</v>
      </c>
      <c r="E19" s="225" t="s">
        <v>340</v>
      </c>
    </row>
    <row r="20" spans="1:5" ht="91.8" x14ac:dyDescent="0.3">
      <c r="A20" s="225" t="s">
        <v>358</v>
      </c>
      <c r="B20" s="225" t="s">
        <v>359</v>
      </c>
      <c r="C20" s="226" t="s">
        <v>360</v>
      </c>
      <c r="D20" s="225" t="s">
        <v>361</v>
      </c>
      <c r="E20" s="225" t="s">
        <v>340</v>
      </c>
    </row>
    <row r="21" spans="1:5" ht="20.399999999999999" x14ac:dyDescent="0.3">
      <c r="A21" s="225" t="s">
        <v>362</v>
      </c>
      <c r="B21" s="225" t="s">
        <v>363</v>
      </c>
      <c r="C21" s="226" t="s">
        <v>364</v>
      </c>
      <c r="D21" s="225"/>
      <c r="E21" s="225"/>
    </row>
    <row r="22" spans="1:5" x14ac:dyDescent="0.3">
      <c r="A22" s="219"/>
      <c r="B22" s="219"/>
      <c r="C22" s="220"/>
      <c r="D22" s="221"/>
      <c r="E22" s="221"/>
    </row>
    <row r="23" spans="1:5" x14ac:dyDescent="0.3">
      <c r="A23" s="223" t="s">
        <v>365</v>
      </c>
      <c r="B23" s="219"/>
      <c r="C23" s="220"/>
      <c r="D23" s="221"/>
      <c r="E23" s="221"/>
    </row>
    <row r="24" spans="1:5" x14ac:dyDescent="0.3">
      <c r="A24" s="71" t="s">
        <v>327</v>
      </c>
      <c r="B24" s="71" t="s">
        <v>328</v>
      </c>
      <c r="C24" s="222" t="s">
        <v>329</v>
      </c>
      <c r="D24" s="71" t="s">
        <v>330</v>
      </c>
      <c r="E24" s="71" t="s">
        <v>331</v>
      </c>
    </row>
    <row r="25" spans="1:5" ht="51" x14ac:dyDescent="0.3">
      <c r="A25" s="225" t="s">
        <v>366</v>
      </c>
      <c r="B25" s="225" t="s">
        <v>367</v>
      </c>
      <c r="C25" s="226" t="s">
        <v>364</v>
      </c>
      <c r="D25" s="225" t="s">
        <v>368</v>
      </c>
      <c r="E25" s="225" t="s">
        <v>369</v>
      </c>
    </row>
    <row r="26" spans="1:5" ht="51" x14ac:dyDescent="0.3">
      <c r="A26" s="225" t="s">
        <v>370</v>
      </c>
      <c r="B26" s="225" t="s">
        <v>371</v>
      </c>
      <c r="C26" s="226" t="s">
        <v>334</v>
      </c>
      <c r="D26" s="225" t="s">
        <v>372</v>
      </c>
      <c r="E26" s="225" t="s">
        <v>340</v>
      </c>
    </row>
    <row r="27" spans="1:5" x14ac:dyDescent="0.3">
      <c r="A27" s="219"/>
      <c r="B27" s="219"/>
      <c r="C27" s="220"/>
      <c r="D27" s="221"/>
      <c r="E27" s="221"/>
    </row>
    <row r="28" spans="1:5" x14ac:dyDescent="0.3">
      <c r="A28" s="223" t="s">
        <v>373</v>
      </c>
      <c r="B28" s="219"/>
      <c r="C28" s="220"/>
      <c r="D28" s="221"/>
      <c r="E28" s="221"/>
    </row>
    <row r="29" spans="1:5" x14ac:dyDescent="0.3">
      <c r="A29" s="71" t="s">
        <v>327</v>
      </c>
      <c r="B29" s="71" t="s">
        <v>328</v>
      </c>
      <c r="C29" s="222" t="s">
        <v>329</v>
      </c>
      <c r="D29" s="71" t="s">
        <v>330</v>
      </c>
      <c r="E29" s="71" t="s">
        <v>331</v>
      </c>
    </row>
    <row r="30" spans="1:5" ht="51" x14ac:dyDescent="0.3">
      <c r="A30" s="225" t="s">
        <v>374</v>
      </c>
      <c r="B30" s="225" t="s">
        <v>375</v>
      </c>
      <c r="C30" s="226" t="s">
        <v>334</v>
      </c>
      <c r="D30" s="225" t="s">
        <v>376</v>
      </c>
      <c r="E30" s="225" t="s">
        <v>340</v>
      </c>
    </row>
    <row r="31" spans="1:5" ht="40.799999999999997" x14ac:dyDescent="0.3">
      <c r="A31" s="225" t="s">
        <v>377</v>
      </c>
      <c r="B31" s="225" t="s">
        <v>378</v>
      </c>
      <c r="C31" s="226" t="s">
        <v>334</v>
      </c>
      <c r="D31" s="225" t="s">
        <v>372</v>
      </c>
      <c r="E31" s="225" t="s">
        <v>336</v>
      </c>
    </row>
    <row r="32" spans="1:5" ht="40.799999999999997" x14ac:dyDescent="0.3">
      <c r="A32" s="225" t="s">
        <v>379</v>
      </c>
      <c r="B32" s="225" t="s">
        <v>380</v>
      </c>
      <c r="C32" s="226" t="s">
        <v>334</v>
      </c>
      <c r="D32" s="225" t="s">
        <v>381</v>
      </c>
      <c r="E32" s="225" t="s">
        <v>369</v>
      </c>
    </row>
    <row r="33" spans="1:5" ht="51" x14ac:dyDescent="0.3">
      <c r="A33" s="225" t="s">
        <v>382</v>
      </c>
      <c r="B33" s="225" t="s">
        <v>383</v>
      </c>
      <c r="C33" s="226" t="s">
        <v>334</v>
      </c>
      <c r="D33" s="225" t="s">
        <v>384</v>
      </c>
      <c r="E33" s="225" t="s">
        <v>385</v>
      </c>
    </row>
    <row r="34" spans="1:5" ht="20.399999999999999" x14ac:dyDescent="0.3">
      <c r="A34" s="225" t="s">
        <v>362</v>
      </c>
      <c r="B34" s="225" t="s">
        <v>386</v>
      </c>
      <c r="C34" s="226"/>
      <c r="D34" s="225"/>
      <c r="E34" s="225"/>
    </row>
    <row r="35" spans="1:5" x14ac:dyDescent="0.3">
      <c r="A35" s="223" t="s">
        <v>387</v>
      </c>
      <c r="B35" s="219"/>
      <c r="C35" s="220"/>
      <c r="D35" s="221"/>
      <c r="E35" s="221"/>
    </row>
    <row r="36" spans="1:5" x14ac:dyDescent="0.3">
      <c r="A36" s="71" t="s">
        <v>327</v>
      </c>
      <c r="B36" s="71" t="s">
        <v>328</v>
      </c>
      <c r="C36" s="222" t="s">
        <v>329</v>
      </c>
      <c r="D36" s="71" t="s">
        <v>330</v>
      </c>
      <c r="E36" s="71" t="s">
        <v>331</v>
      </c>
    </row>
    <row r="37" spans="1:5" ht="40.799999999999997" x14ac:dyDescent="0.3">
      <c r="A37" s="225" t="s">
        <v>388</v>
      </c>
      <c r="B37" s="225" t="s">
        <v>389</v>
      </c>
      <c r="C37" s="226" t="s">
        <v>334</v>
      </c>
      <c r="D37" s="225" t="s">
        <v>390</v>
      </c>
      <c r="E37" s="225" t="s">
        <v>369</v>
      </c>
    </row>
    <row r="38" spans="1:5" ht="61.2" x14ac:dyDescent="0.3">
      <c r="A38" s="225" t="s">
        <v>391</v>
      </c>
      <c r="B38" s="225" t="s">
        <v>392</v>
      </c>
      <c r="C38" s="226" t="s">
        <v>393</v>
      </c>
      <c r="D38" s="225" t="s">
        <v>394</v>
      </c>
      <c r="E38" s="225" t="s">
        <v>369</v>
      </c>
    </row>
    <row r="39" spans="1:5" ht="61.2" x14ac:dyDescent="0.3">
      <c r="A39" s="225" t="s">
        <v>395</v>
      </c>
      <c r="B39" s="225" t="s">
        <v>396</v>
      </c>
      <c r="C39" s="226" t="s">
        <v>393</v>
      </c>
      <c r="D39" s="225" t="s">
        <v>397</v>
      </c>
      <c r="E39" s="225" t="s">
        <v>340</v>
      </c>
    </row>
    <row r="40" spans="1:5" ht="61.2" x14ac:dyDescent="0.3">
      <c r="A40" s="225" t="s">
        <v>398</v>
      </c>
      <c r="B40" s="225" t="s">
        <v>399</v>
      </c>
      <c r="C40" s="226" t="s">
        <v>393</v>
      </c>
      <c r="D40" s="225" t="s">
        <v>397</v>
      </c>
      <c r="E40" s="225" t="s">
        <v>340</v>
      </c>
    </row>
    <row r="41" spans="1:5" ht="81.599999999999994" x14ac:dyDescent="0.3">
      <c r="A41" s="225" t="s">
        <v>400</v>
      </c>
      <c r="B41" s="225" t="s">
        <v>401</v>
      </c>
      <c r="C41" s="226" t="s">
        <v>393</v>
      </c>
      <c r="D41" s="225" t="s">
        <v>397</v>
      </c>
      <c r="E41" s="225" t="s">
        <v>340</v>
      </c>
    </row>
    <row r="42" spans="1:5" ht="61.2" x14ac:dyDescent="0.3">
      <c r="A42" s="225" t="s">
        <v>402</v>
      </c>
      <c r="B42" s="225" t="s">
        <v>403</v>
      </c>
      <c r="C42" s="226" t="s">
        <v>393</v>
      </c>
      <c r="D42" s="225" t="s">
        <v>397</v>
      </c>
      <c r="E42" s="225" t="s">
        <v>340</v>
      </c>
    </row>
  </sheetData>
  <mergeCells count="1">
    <mergeCell ref="A1:I1"/>
  </mergeCells>
  <pageMargins left="0.7" right="0.7" top="0.75" bottom="0.75" header="0.3" footer="0.3"/>
  <pageSetup orientation="portrait" r:id="rId1"/>
  <headerFooter>
    <oddFooter>&amp;LBASED ON MAX FAJARDO - SIMPLIFIED CONSTRUCTION ESTIMATE HANDBOOK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16"/>
  <sheetViews>
    <sheetView view="pageLayout" topLeftCell="A142" workbookViewId="0">
      <selection activeCell="A95" sqref="A95:I95"/>
    </sheetView>
  </sheetViews>
  <sheetFormatPr defaultRowHeight="14.4" x14ac:dyDescent="0.3"/>
  <cols>
    <col min="4" max="4" width="9.5546875" bestFit="1" customWidth="1"/>
  </cols>
  <sheetData>
    <row r="1" spans="1:9" x14ac:dyDescent="0.3">
      <c r="A1" s="357"/>
      <c r="B1" s="357"/>
      <c r="C1" s="357"/>
      <c r="D1" s="357"/>
      <c r="E1" s="357"/>
      <c r="F1" s="357"/>
      <c r="G1" s="357"/>
      <c r="H1" s="357"/>
      <c r="I1" s="357"/>
    </row>
    <row r="2" spans="1:9" x14ac:dyDescent="0.3">
      <c r="A2" s="61" t="s">
        <v>474</v>
      </c>
    </row>
    <row r="3" spans="1:9" x14ac:dyDescent="0.3">
      <c r="A3" s="1" t="s">
        <v>458</v>
      </c>
    </row>
    <row r="5" spans="1:9" x14ac:dyDescent="0.3">
      <c r="G5" s="109" t="s">
        <v>133</v>
      </c>
      <c r="H5" s="100" t="s">
        <v>8</v>
      </c>
      <c r="I5" s="263">
        <f>1.47-0.25</f>
        <v>1.22</v>
      </c>
    </row>
    <row r="6" spans="1:9" x14ac:dyDescent="0.3">
      <c r="G6" s="109" t="s">
        <v>459</v>
      </c>
      <c r="H6" s="100" t="s">
        <v>8</v>
      </c>
      <c r="I6" s="263">
        <v>0.25</v>
      </c>
    </row>
    <row r="7" spans="1:9" x14ac:dyDescent="0.3">
      <c r="G7" s="109" t="s">
        <v>460</v>
      </c>
      <c r="H7" s="100" t="s">
        <v>8</v>
      </c>
      <c r="I7" s="263">
        <v>0.25</v>
      </c>
    </row>
    <row r="8" spans="1:9" x14ac:dyDescent="0.3">
      <c r="G8" s="109" t="s">
        <v>134</v>
      </c>
      <c r="H8" s="100" t="s">
        <v>13</v>
      </c>
      <c r="I8" s="263">
        <v>4</v>
      </c>
    </row>
    <row r="9" spans="1:9" x14ac:dyDescent="0.3">
      <c r="H9" s="168">
        <f>(2*(I6+I7))+0.2</f>
        <v>1.2</v>
      </c>
      <c r="I9" s="168">
        <f>H9*2.4*I8</f>
        <v>11.52</v>
      </c>
    </row>
    <row r="10" spans="1:9" x14ac:dyDescent="0.3">
      <c r="G10" s="279" t="s">
        <v>468</v>
      </c>
    </row>
    <row r="11" spans="1:9" x14ac:dyDescent="0.3">
      <c r="G11" s="278" t="s">
        <v>462</v>
      </c>
      <c r="H11" s="106">
        <f>H15*29.67</f>
        <v>118.68</v>
      </c>
      <c r="I11" s="107" t="s">
        <v>463</v>
      </c>
    </row>
    <row r="12" spans="1:9" x14ac:dyDescent="0.3">
      <c r="F12" s="109" t="s">
        <v>213</v>
      </c>
      <c r="G12" s="100" t="s">
        <v>214</v>
      </c>
      <c r="H12" s="100" t="s">
        <v>215</v>
      </c>
      <c r="I12" s="100" t="s">
        <v>216</v>
      </c>
    </row>
    <row r="13" spans="1:9" x14ac:dyDescent="0.3">
      <c r="G13" s="260">
        <v>2</v>
      </c>
      <c r="H13" s="260">
        <v>3</v>
      </c>
      <c r="I13" s="260">
        <v>8</v>
      </c>
    </row>
    <row r="14" spans="1:9" x14ac:dyDescent="0.3">
      <c r="G14" s="278" t="s">
        <v>464</v>
      </c>
      <c r="H14" s="36">
        <f>ROUNDUP(H11/(G13*H13*I13/12),0)</f>
        <v>30</v>
      </c>
      <c r="I14" s="129" t="s">
        <v>73</v>
      </c>
    </row>
    <row r="15" spans="1:9" x14ac:dyDescent="0.3">
      <c r="G15" s="278" t="s">
        <v>461</v>
      </c>
      <c r="H15" s="112">
        <f>ROUNDUP((I9/2.88),0)</f>
        <v>4</v>
      </c>
      <c r="I15" s="107" t="s">
        <v>465</v>
      </c>
    </row>
    <row r="16" spans="1:9" x14ac:dyDescent="0.3">
      <c r="G16" s="278" t="s">
        <v>466</v>
      </c>
      <c r="H16" s="106">
        <f>ROUNDUP((0.08*I9),1)</f>
        <v>1</v>
      </c>
      <c r="I16" s="107" t="s">
        <v>188</v>
      </c>
    </row>
    <row r="17" spans="1:9" x14ac:dyDescent="0.3">
      <c r="G17" s="278" t="s">
        <v>467</v>
      </c>
      <c r="H17" s="106">
        <f>ROUNDUP(I9*0.033,1)</f>
        <v>0.4</v>
      </c>
      <c r="I17" s="107" t="s">
        <v>98</v>
      </c>
    </row>
    <row r="19" spans="1:9" x14ac:dyDescent="0.3">
      <c r="A19" s="1" t="s">
        <v>469</v>
      </c>
    </row>
    <row r="21" spans="1:9" x14ac:dyDescent="0.3">
      <c r="G21" s="109" t="s">
        <v>470</v>
      </c>
      <c r="H21" s="100" t="s">
        <v>8</v>
      </c>
      <c r="I21" s="263">
        <v>7</v>
      </c>
    </row>
    <row r="22" spans="1:9" x14ac:dyDescent="0.3">
      <c r="G22" s="109" t="s">
        <v>473</v>
      </c>
      <c r="H22" s="100" t="s">
        <v>8</v>
      </c>
      <c r="I22" s="263">
        <v>0.3</v>
      </c>
    </row>
    <row r="23" spans="1:9" x14ac:dyDescent="0.3">
      <c r="G23" s="109" t="s">
        <v>471</v>
      </c>
      <c r="H23" s="100" t="s">
        <v>8</v>
      </c>
      <c r="I23" s="263">
        <v>0.2</v>
      </c>
    </row>
    <row r="24" spans="1:9" x14ac:dyDescent="0.3">
      <c r="G24" s="109" t="s">
        <v>472</v>
      </c>
      <c r="H24" s="100" t="s">
        <v>13</v>
      </c>
      <c r="I24" s="263">
        <v>4</v>
      </c>
    </row>
    <row r="25" spans="1:9" x14ac:dyDescent="0.3">
      <c r="H25" s="168">
        <f>(2*I22)+I23+0.1</f>
        <v>0.9</v>
      </c>
      <c r="I25" s="168">
        <f>H25*I21*I24</f>
        <v>25.2</v>
      </c>
    </row>
    <row r="26" spans="1:9" x14ac:dyDescent="0.3">
      <c r="G26" s="279"/>
    </row>
    <row r="27" spans="1:9" x14ac:dyDescent="0.3">
      <c r="G27" s="278" t="s">
        <v>462</v>
      </c>
      <c r="H27" s="106">
        <f>H31*28</f>
        <v>252</v>
      </c>
      <c r="I27" s="107" t="s">
        <v>463</v>
      </c>
    </row>
    <row r="28" spans="1:9" x14ac:dyDescent="0.3">
      <c r="G28" s="100" t="s">
        <v>214</v>
      </c>
      <c r="H28" s="100" t="s">
        <v>215</v>
      </c>
      <c r="I28" s="100" t="s">
        <v>216</v>
      </c>
    </row>
    <row r="29" spans="1:9" x14ac:dyDescent="0.3">
      <c r="G29" s="260">
        <v>2</v>
      </c>
      <c r="H29" s="260">
        <v>3</v>
      </c>
      <c r="I29" s="260">
        <v>8</v>
      </c>
    </row>
    <row r="30" spans="1:9" x14ac:dyDescent="0.3">
      <c r="G30" s="278" t="s">
        <v>464</v>
      </c>
      <c r="H30" s="36">
        <f>ROUNDUP(H27/(G29*H29*I29/12),0)</f>
        <v>63</v>
      </c>
      <c r="I30" s="129" t="s">
        <v>73</v>
      </c>
    </row>
    <row r="31" spans="1:9" x14ac:dyDescent="0.3">
      <c r="G31" s="278" t="s">
        <v>461</v>
      </c>
      <c r="H31" s="112">
        <f>ROUNDUP((I25/2.88),0)</f>
        <v>9</v>
      </c>
      <c r="I31" s="107" t="s">
        <v>465</v>
      </c>
    </row>
    <row r="32" spans="1:9" x14ac:dyDescent="0.3">
      <c r="G32" s="278" t="s">
        <v>466</v>
      </c>
      <c r="H32" s="106">
        <f>ROUNDUP((0.08*I25),1)</f>
        <v>2.1</v>
      </c>
      <c r="I32" s="107" t="s">
        <v>188</v>
      </c>
    </row>
    <row r="33" spans="1:9" x14ac:dyDescent="0.3">
      <c r="G33" s="278" t="s">
        <v>467</v>
      </c>
      <c r="H33" s="106">
        <f>ROUNDUP(I25*0.033,1)</f>
        <v>0.9</v>
      </c>
      <c r="I33" s="107" t="s">
        <v>98</v>
      </c>
    </row>
    <row r="48" spans="1:9" x14ac:dyDescent="0.3">
      <c r="A48" s="357"/>
      <c r="B48" s="357"/>
      <c r="C48" s="357"/>
      <c r="D48" s="357"/>
      <c r="E48" s="357"/>
      <c r="F48" s="357"/>
      <c r="G48" s="357"/>
      <c r="H48" s="357"/>
      <c r="I48" s="357"/>
    </row>
    <row r="49" spans="1:2" x14ac:dyDescent="0.3">
      <c r="A49" s="61" t="s">
        <v>450</v>
      </c>
      <c r="B49" s="62"/>
    </row>
    <row r="50" spans="1:2" x14ac:dyDescent="0.3">
      <c r="A50" s="1" t="s">
        <v>457</v>
      </c>
    </row>
    <row r="51" spans="1:2" x14ac:dyDescent="0.3">
      <c r="A51" t="s">
        <v>451</v>
      </c>
    </row>
    <row r="52" spans="1:2" x14ac:dyDescent="0.3">
      <c r="A52" t="s">
        <v>452</v>
      </c>
    </row>
    <row r="53" spans="1:2" x14ac:dyDescent="0.3">
      <c r="A53" t="s">
        <v>453</v>
      </c>
    </row>
    <row r="54" spans="1:2" x14ac:dyDescent="0.3">
      <c r="A54" t="s">
        <v>454</v>
      </c>
    </row>
    <row r="55" spans="1:2" x14ac:dyDescent="0.3">
      <c r="A55" t="s">
        <v>455</v>
      </c>
    </row>
    <row r="56" spans="1:2" x14ac:dyDescent="0.3">
      <c r="A56" t="s">
        <v>456</v>
      </c>
    </row>
    <row r="95" spans="1:9" x14ac:dyDescent="0.3">
      <c r="A95" s="357"/>
      <c r="B95" s="357"/>
      <c r="C95" s="357"/>
      <c r="D95" s="357"/>
      <c r="E95" s="357"/>
      <c r="F95" s="357"/>
      <c r="G95" s="357"/>
      <c r="H95" s="357"/>
      <c r="I95" s="357"/>
    </row>
    <row r="97" spans="1:9" x14ac:dyDescent="0.3">
      <c r="A97" s="354" t="s">
        <v>490</v>
      </c>
      <c r="B97" s="355"/>
      <c r="C97" s="355"/>
      <c r="D97" s="356"/>
      <c r="F97" s="354" t="s">
        <v>491</v>
      </c>
      <c r="G97" s="355"/>
      <c r="H97" s="355"/>
      <c r="I97" s="356"/>
    </row>
    <row r="98" spans="1:9" ht="15" customHeight="1" x14ac:dyDescent="0.3">
      <c r="A98" s="266"/>
      <c r="B98" s="280" t="s">
        <v>133</v>
      </c>
      <c r="C98" s="100" t="s">
        <v>8</v>
      </c>
      <c r="D98" s="263">
        <v>3</v>
      </c>
      <c r="F98" s="266"/>
      <c r="G98" s="280" t="s">
        <v>470</v>
      </c>
      <c r="H98" s="100" t="s">
        <v>8</v>
      </c>
      <c r="I98" s="263">
        <v>3.5</v>
      </c>
    </row>
    <row r="99" spans="1:9" x14ac:dyDescent="0.3">
      <c r="A99" s="266"/>
      <c r="B99" s="280" t="s">
        <v>487</v>
      </c>
      <c r="C99" s="100" t="s">
        <v>13</v>
      </c>
      <c r="D99" s="263">
        <v>10</v>
      </c>
      <c r="F99" s="266"/>
      <c r="G99" s="280" t="s">
        <v>488</v>
      </c>
      <c r="H99" s="100" t="s">
        <v>13</v>
      </c>
      <c r="I99" s="263">
        <v>6</v>
      </c>
    </row>
    <row r="100" spans="1:9" x14ac:dyDescent="0.3">
      <c r="A100" s="266"/>
      <c r="B100" s="281" t="s">
        <v>475</v>
      </c>
      <c r="C100" s="36">
        <f>D99*D98</f>
        <v>30</v>
      </c>
      <c r="D100" s="129" t="s">
        <v>476</v>
      </c>
      <c r="F100" s="266"/>
      <c r="G100" s="281" t="s">
        <v>489</v>
      </c>
      <c r="H100" s="36">
        <f>I99*I98</f>
        <v>21</v>
      </c>
      <c r="I100" s="129" t="s">
        <v>476</v>
      </c>
    </row>
    <row r="102" spans="1:9" x14ac:dyDescent="0.3">
      <c r="D102" s="354" t="s">
        <v>492</v>
      </c>
      <c r="E102" s="355"/>
      <c r="F102" s="355"/>
      <c r="G102" s="356"/>
    </row>
    <row r="103" spans="1:9" ht="15.75" customHeight="1" x14ac:dyDescent="0.3">
      <c r="D103" s="266"/>
      <c r="E103" s="280" t="s">
        <v>45</v>
      </c>
      <c r="F103" s="100" t="s">
        <v>33</v>
      </c>
      <c r="G103" s="263">
        <f>8*10</f>
        <v>80</v>
      </c>
    </row>
    <row r="104" spans="1:9" ht="15.75" customHeight="1" x14ac:dyDescent="0.3">
      <c r="D104" s="18"/>
      <c r="E104" s="76"/>
      <c r="F104" s="268"/>
      <c r="G104" s="284"/>
    </row>
    <row r="105" spans="1:9" x14ac:dyDescent="0.3">
      <c r="B105" s="367" t="s">
        <v>493</v>
      </c>
      <c r="C105" s="368"/>
      <c r="D105" s="368"/>
      <c r="E105" s="368"/>
      <c r="F105" s="368"/>
      <c r="G105" s="368"/>
      <c r="H105" s="369"/>
    </row>
    <row r="106" spans="1:9" x14ac:dyDescent="0.3">
      <c r="B106" s="361" t="s">
        <v>477</v>
      </c>
      <c r="C106" s="358" t="s">
        <v>482</v>
      </c>
      <c r="D106" s="359"/>
      <c r="E106" s="360"/>
      <c r="F106" s="365" t="s">
        <v>483</v>
      </c>
      <c r="G106" s="366"/>
      <c r="H106" s="363" t="s">
        <v>481</v>
      </c>
    </row>
    <row r="107" spans="1:9" x14ac:dyDescent="0.3">
      <c r="B107" s="362"/>
      <c r="C107" s="283" t="s">
        <v>478</v>
      </c>
      <c r="D107" s="283" t="s">
        <v>480</v>
      </c>
      <c r="E107" s="283" t="s">
        <v>479</v>
      </c>
      <c r="F107" s="282" t="s">
        <v>478</v>
      </c>
      <c r="G107" s="282" t="s">
        <v>480</v>
      </c>
      <c r="H107" s="364"/>
    </row>
    <row r="108" spans="1:9" x14ac:dyDescent="0.3">
      <c r="B108" s="2" t="s">
        <v>484</v>
      </c>
      <c r="C108" s="285">
        <f>C100*4.7</f>
        <v>141</v>
      </c>
      <c r="D108" s="286">
        <f>21*C100</f>
        <v>630</v>
      </c>
      <c r="E108" s="286">
        <f>11.7*C100</f>
        <v>351</v>
      </c>
      <c r="F108" s="286">
        <f>H100*4</f>
        <v>84</v>
      </c>
      <c r="G108" s="286">
        <f>H100*4.7</f>
        <v>98.7</v>
      </c>
      <c r="H108" s="286">
        <f>G103*6.1</f>
        <v>488</v>
      </c>
    </row>
    <row r="109" spans="1:9" x14ac:dyDescent="0.3">
      <c r="B109" s="2" t="s">
        <v>485</v>
      </c>
      <c r="C109" s="285">
        <f>7*C100</f>
        <v>210</v>
      </c>
      <c r="D109" s="286">
        <f>C100*31.67</f>
        <v>950.1</v>
      </c>
      <c r="E109" s="286">
        <f>17.5*C100</f>
        <v>525</v>
      </c>
      <c r="F109" s="286">
        <f>H100*6</f>
        <v>126</v>
      </c>
      <c r="G109" s="286">
        <f>H100*7</f>
        <v>147</v>
      </c>
      <c r="H109" s="286">
        <f>G103*9.1</f>
        <v>728</v>
      </c>
    </row>
    <row r="110" spans="1:9" x14ac:dyDescent="0.3">
      <c r="B110" s="2" t="s">
        <v>486</v>
      </c>
      <c r="C110" s="285">
        <f>9.35*C100</f>
        <v>280.5</v>
      </c>
      <c r="D110" s="286">
        <f>42.25*C100</f>
        <v>1267.5</v>
      </c>
      <c r="E110" s="286">
        <f>23.35*C100</f>
        <v>700.5</v>
      </c>
      <c r="F110" s="286">
        <f>H100*8</f>
        <v>168</v>
      </c>
      <c r="G110" s="286">
        <f>H100*9.35</f>
        <v>196.35</v>
      </c>
      <c r="H110" s="286">
        <f>G103*12.1</f>
        <v>968</v>
      </c>
    </row>
    <row r="112" spans="1:9" x14ac:dyDescent="0.3">
      <c r="G112" s="252" t="s">
        <v>494</v>
      </c>
      <c r="H112" s="262">
        <v>224.4</v>
      </c>
      <c r="I112" s="287" t="s">
        <v>463</v>
      </c>
    </row>
    <row r="113" spans="7:9" x14ac:dyDescent="0.3">
      <c r="G113" s="100" t="s">
        <v>214</v>
      </c>
      <c r="H113" s="100" t="s">
        <v>215</v>
      </c>
      <c r="I113" s="100" t="s">
        <v>216</v>
      </c>
    </row>
    <row r="114" spans="7:9" x14ac:dyDescent="0.3">
      <c r="G114" s="288">
        <v>2</v>
      </c>
      <c r="H114" s="260">
        <v>4</v>
      </c>
      <c r="I114" s="260">
        <v>8</v>
      </c>
    </row>
    <row r="115" spans="7:9" x14ac:dyDescent="0.3">
      <c r="G115" s="278" t="s">
        <v>464</v>
      </c>
      <c r="H115" s="36">
        <f>ROUNDUP(H112/(G114*H114*I114/12),0)</f>
        <v>43</v>
      </c>
      <c r="I115" s="129" t="s">
        <v>73</v>
      </c>
    </row>
    <row r="116" spans="7:9" x14ac:dyDescent="0.3">
      <c r="G116" s="278" t="s">
        <v>495</v>
      </c>
      <c r="H116" s="106">
        <f>ROUNDUP((C100*0.73),0)</f>
        <v>22</v>
      </c>
      <c r="I116" s="107" t="s">
        <v>188</v>
      </c>
    </row>
  </sheetData>
  <mergeCells count="11">
    <mergeCell ref="C106:E106"/>
    <mergeCell ref="B106:B107"/>
    <mergeCell ref="H106:H107"/>
    <mergeCell ref="F106:G106"/>
    <mergeCell ref="B105:H105"/>
    <mergeCell ref="F97:I97"/>
    <mergeCell ref="A1:I1"/>
    <mergeCell ref="A48:I48"/>
    <mergeCell ref="A95:I95"/>
    <mergeCell ref="D102:G102"/>
    <mergeCell ref="A97:D9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CONCRETING</vt:lpstr>
      <vt:lpstr>MASONRY </vt:lpstr>
      <vt:lpstr>REINFORCEMENT</vt:lpstr>
      <vt:lpstr>CARPENTRY</vt:lpstr>
      <vt:lpstr>ROOFING WORKS</vt:lpstr>
      <vt:lpstr>TILING WORKS</vt:lpstr>
      <vt:lpstr>PAINTINGWORKS</vt:lpstr>
      <vt:lpstr>SCAFFOLDINGS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2014-08-17T00:50:12Z</dcterms:created>
  <dcterms:modified xsi:type="dcterms:W3CDTF">2022-07-16T00:13:39Z</dcterms:modified>
</cp:coreProperties>
</file>