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11"/>
  <workbookPr/>
  <mc:AlternateContent xmlns:mc="http://schemas.openxmlformats.org/markup-compatibility/2006">
    <mc:Choice Requires="x15">
      <x15ac:absPath xmlns:x15ac="http://schemas.microsoft.com/office/spreadsheetml/2010/11/ac" url="C:\Users\kormo\OneDrive\Desktop\"/>
    </mc:Choice>
  </mc:AlternateContent>
  <xr:revisionPtr revIDLastSave="0" documentId="8_{BC622CF7-7E2B-4925-894E-A67751A2C6C0}" xr6:coauthVersionLast="47" xr6:coauthVersionMax="47" xr10:uidLastSave="{00000000-0000-0000-0000-000000000000}"/>
  <bookViews>
    <workbookView xWindow="4995" yWindow="1980" windowWidth="21600" windowHeight="11385" xr2:uid="{00000000-000D-0000-FFFF-FFFF00000000}"/>
  </bookViews>
  <sheets>
    <sheet name="Tabelle1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B24" i="1"/>
  <c r="D28" i="1"/>
  <c r="E13" i="1"/>
  <c r="K53" i="1"/>
  <c r="B48" i="1"/>
  <c r="C48" i="1"/>
  <c r="D48" i="1"/>
  <c r="F48" i="1"/>
  <c r="G48" i="1"/>
  <c r="H48" i="1"/>
  <c r="I48" i="1"/>
  <c r="J48" i="1"/>
  <c r="K48" i="1"/>
  <c r="L48" i="1"/>
  <c r="M48" i="1"/>
  <c r="N48" i="1"/>
  <c r="O48" i="1"/>
  <c r="P48" i="1"/>
  <c r="A48" i="1"/>
  <c r="E41" i="1"/>
  <c r="F41" i="1"/>
  <c r="G41" i="1"/>
  <c r="H41" i="1"/>
  <c r="I41" i="1"/>
  <c r="J41" i="1"/>
  <c r="K41" i="1"/>
  <c r="L41" i="1"/>
  <c r="M41" i="1"/>
  <c r="N41" i="1"/>
  <c r="O41" i="1"/>
  <c r="P41" i="1"/>
  <c r="E42" i="1"/>
  <c r="F42" i="1"/>
  <c r="G42" i="1"/>
  <c r="H42" i="1"/>
  <c r="I42" i="1"/>
  <c r="J42" i="1"/>
  <c r="K42" i="1"/>
  <c r="L42" i="1"/>
  <c r="M42" i="1"/>
  <c r="N42" i="1"/>
  <c r="O42" i="1"/>
  <c r="P42" i="1"/>
  <c r="E43" i="1"/>
  <c r="F43" i="1"/>
  <c r="G43" i="1"/>
  <c r="H43" i="1"/>
  <c r="I43" i="1"/>
  <c r="J43" i="1"/>
  <c r="K43" i="1"/>
  <c r="L43" i="1"/>
  <c r="M43" i="1"/>
  <c r="N43" i="1"/>
  <c r="O43" i="1"/>
  <c r="P43" i="1"/>
  <c r="E44" i="1"/>
  <c r="F44" i="1"/>
  <c r="G44" i="1"/>
  <c r="H44" i="1"/>
  <c r="I44" i="1"/>
  <c r="J44" i="1"/>
  <c r="K44" i="1"/>
  <c r="L44" i="1"/>
  <c r="M44" i="1"/>
  <c r="N44" i="1"/>
  <c r="O44" i="1"/>
  <c r="P44" i="1"/>
  <c r="E45" i="1"/>
  <c r="F45" i="1"/>
  <c r="G45" i="1"/>
  <c r="H45" i="1"/>
  <c r="I45" i="1"/>
  <c r="J45" i="1"/>
  <c r="K45" i="1"/>
  <c r="L45" i="1"/>
  <c r="M45" i="1"/>
  <c r="N45" i="1"/>
  <c r="O45" i="1"/>
  <c r="P45" i="1"/>
  <c r="E46" i="1"/>
  <c r="F46" i="1"/>
  <c r="G46" i="1"/>
  <c r="H46" i="1"/>
  <c r="I46" i="1"/>
  <c r="J46" i="1"/>
  <c r="K46" i="1"/>
  <c r="L46" i="1"/>
  <c r="M46" i="1"/>
  <c r="N46" i="1"/>
  <c r="O46" i="1"/>
  <c r="P46" i="1"/>
  <c r="E33" i="1"/>
  <c r="E29" i="1"/>
  <c r="F29" i="1"/>
  <c r="G29" i="1"/>
  <c r="H29" i="1"/>
  <c r="I29" i="1"/>
  <c r="J29" i="1"/>
  <c r="K29" i="1"/>
  <c r="L29" i="1"/>
  <c r="M29" i="1"/>
  <c r="N29" i="1"/>
  <c r="O29" i="1"/>
  <c r="P29" i="1"/>
  <c r="E30" i="1"/>
  <c r="F30" i="1"/>
  <c r="G30" i="1"/>
  <c r="H30" i="1"/>
  <c r="I30" i="1"/>
  <c r="J30" i="1"/>
  <c r="K30" i="1"/>
  <c r="L30" i="1"/>
  <c r="M30" i="1"/>
  <c r="N30" i="1"/>
  <c r="O30" i="1"/>
  <c r="P30" i="1"/>
  <c r="E31" i="1"/>
  <c r="F31" i="1"/>
  <c r="G31" i="1"/>
  <c r="H31" i="1"/>
  <c r="I31" i="1"/>
  <c r="J31" i="1"/>
  <c r="K31" i="1"/>
  <c r="L31" i="1"/>
  <c r="M31" i="1"/>
  <c r="N31" i="1"/>
  <c r="O31" i="1"/>
  <c r="P31" i="1"/>
  <c r="E32" i="1"/>
  <c r="F32" i="1"/>
  <c r="G32" i="1"/>
  <c r="H32" i="1"/>
  <c r="I32" i="1"/>
  <c r="J32" i="1"/>
  <c r="K32" i="1"/>
  <c r="L32" i="1"/>
  <c r="M32" i="1"/>
  <c r="N32" i="1"/>
  <c r="O32" i="1"/>
  <c r="P32" i="1"/>
  <c r="F33" i="1"/>
  <c r="G33" i="1"/>
  <c r="H33" i="1"/>
  <c r="I33" i="1"/>
  <c r="J33" i="1"/>
  <c r="K33" i="1"/>
  <c r="L33" i="1"/>
  <c r="M33" i="1"/>
  <c r="N33" i="1"/>
  <c r="O33" i="1"/>
  <c r="P33" i="1"/>
  <c r="E34" i="1"/>
  <c r="F34" i="1"/>
  <c r="G34" i="1"/>
  <c r="H34" i="1"/>
  <c r="I34" i="1"/>
  <c r="J34" i="1"/>
  <c r="K34" i="1"/>
  <c r="L34" i="1"/>
  <c r="M34" i="1"/>
  <c r="N34" i="1"/>
  <c r="O34" i="1"/>
  <c r="P34" i="1"/>
  <c r="E35" i="1"/>
  <c r="F35" i="1"/>
  <c r="G35" i="1"/>
  <c r="H35" i="1"/>
  <c r="I35" i="1"/>
  <c r="J35" i="1"/>
  <c r="K35" i="1"/>
  <c r="L35" i="1"/>
  <c r="M35" i="1"/>
  <c r="N35" i="1"/>
  <c r="O35" i="1"/>
  <c r="P35" i="1"/>
  <c r="E36" i="1"/>
  <c r="F36" i="1"/>
  <c r="G36" i="1"/>
  <c r="H36" i="1"/>
  <c r="I36" i="1"/>
  <c r="J36" i="1"/>
  <c r="K36" i="1"/>
  <c r="L36" i="1"/>
  <c r="M36" i="1"/>
  <c r="N36" i="1"/>
  <c r="O36" i="1"/>
  <c r="P36" i="1"/>
  <c r="E37" i="1"/>
  <c r="F37" i="1"/>
  <c r="G37" i="1"/>
  <c r="H37" i="1"/>
  <c r="I37" i="1"/>
  <c r="J37" i="1"/>
  <c r="K37" i="1"/>
  <c r="L37" i="1"/>
  <c r="M37" i="1"/>
  <c r="N37" i="1"/>
  <c r="O37" i="1"/>
  <c r="P37" i="1"/>
  <c r="E38" i="1"/>
  <c r="F38" i="1"/>
  <c r="G38" i="1"/>
  <c r="H38" i="1"/>
  <c r="I38" i="1"/>
  <c r="J38" i="1"/>
  <c r="K38" i="1"/>
  <c r="L38" i="1"/>
  <c r="M38" i="1"/>
  <c r="N38" i="1"/>
  <c r="O38" i="1"/>
  <c r="P38" i="1"/>
  <c r="E39" i="1"/>
  <c r="E48" i="1" s="1"/>
  <c r="F39" i="1"/>
  <c r="G39" i="1"/>
  <c r="H39" i="1"/>
  <c r="I39" i="1"/>
  <c r="J39" i="1"/>
  <c r="K39" i="1"/>
  <c r="L39" i="1"/>
  <c r="M39" i="1"/>
  <c r="N39" i="1"/>
  <c r="O39" i="1"/>
  <c r="P39" i="1"/>
  <c r="E40" i="1"/>
  <c r="F40" i="1"/>
  <c r="G40" i="1"/>
  <c r="H40" i="1"/>
  <c r="I40" i="1"/>
  <c r="J40" i="1"/>
  <c r="K40" i="1"/>
  <c r="L40" i="1"/>
  <c r="M40" i="1"/>
  <c r="N40" i="1"/>
  <c r="O40" i="1"/>
  <c r="P40" i="1"/>
  <c r="F28" i="1"/>
  <c r="G28" i="1"/>
  <c r="H28" i="1"/>
  <c r="I28" i="1"/>
  <c r="J28" i="1"/>
  <c r="K28" i="1"/>
  <c r="L28" i="1"/>
  <c r="M28" i="1"/>
  <c r="N28" i="1"/>
  <c r="O28" i="1"/>
  <c r="P28" i="1"/>
  <c r="E28" i="1"/>
  <c r="C25" i="1"/>
  <c r="D25" i="1"/>
  <c r="F25" i="1"/>
  <c r="G25" i="1"/>
  <c r="H25" i="1"/>
  <c r="I25" i="1"/>
  <c r="J25" i="1"/>
  <c r="K25" i="1"/>
  <c r="L25" i="1"/>
  <c r="M25" i="1"/>
  <c r="N25" i="1"/>
  <c r="O25" i="1"/>
  <c r="P25" i="1"/>
  <c r="B25" i="1"/>
  <c r="C24" i="1"/>
  <c r="D24" i="1"/>
  <c r="E24" i="1"/>
  <c r="E25" i="1" s="1"/>
  <c r="F24" i="1"/>
  <c r="G24" i="1"/>
  <c r="H24" i="1"/>
  <c r="I24" i="1"/>
  <c r="J24" i="1"/>
  <c r="K24" i="1"/>
  <c r="L24" i="1"/>
  <c r="M24" i="1"/>
  <c r="N24" i="1"/>
  <c r="O24" i="1"/>
  <c r="P2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K20" i="1"/>
  <c r="P3" i="1"/>
  <c r="O3" i="1"/>
  <c r="N3" i="1"/>
  <c r="M3" i="1"/>
  <c r="J20" i="1"/>
  <c r="L3" i="1"/>
  <c r="K3" i="1"/>
  <c r="J3" i="1"/>
  <c r="I20" i="1"/>
  <c r="I3" i="1"/>
  <c r="H3" i="1"/>
  <c r="H20" i="1"/>
  <c r="G3" i="1"/>
  <c r="G20" i="1"/>
  <c r="F3" i="1"/>
  <c r="F20" i="1"/>
  <c r="E3" i="1"/>
  <c r="P2" i="1"/>
  <c r="O2" i="1"/>
  <c r="N2" i="1"/>
  <c r="E20" i="1"/>
  <c r="M2" i="1"/>
  <c r="L2" i="1"/>
  <c r="K2" i="1"/>
  <c r="J2" i="1"/>
  <c r="I2" i="1"/>
  <c r="H2" i="1"/>
  <c r="G2" i="1"/>
  <c r="F2" i="1"/>
  <c r="E2" i="1"/>
  <c r="E14" i="1" l="1"/>
  <c r="P14" i="1"/>
  <c r="O14" i="1"/>
  <c r="N14" i="1"/>
  <c r="M14" i="1"/>
  <c r="L14" i="1"/>
  <c r="K14" i="1"/>
  <c r="J14" i="1"/>
  <c r="I14" i="1"/>
  <c r="H14" i="1"/>
  <c r="G14" i="1"/>
  <c r="F14" i="1"/>
  <c r="P13" i="1"/>
  <c r="O13" i="1"/>
  <c r="N13" i="1"/>
  <c r="M13" i="1"/>
  <c r="L13" i="1"/>
  <c r="K13" i="1"/>
  <c r="J13" i="1"/>
  <c r="I13" i="1"/>
  <c r="P17" i="1"/>
  <c r="O17" i="1"/>
  <c r="N17" i="1"/>
  <c r="M17" i="1"/>
  <c r="L17" i="1"/>
  <c r="P16" i="1"/>
  <c r="O16" i="1"/>
  <c r="N16" i="1"/>
  <c r="M16" i="1"/>
  <c r="L16" i="1"/>
  <c r="K16" i="1"/>
  <c r="J16" i="1"/>
  <c r="I16" i="1"/>
  <c r="H16" i="1"/>
  <c r="G16" i="1"/>
  <c r="F16" i="1"/>
  <c r="E16" i="1"/>
  <c r="P15" i="1"/>
  <c r="O15" i="1"/>
  <c r="N15" i="1"/>
  <c r="M15" i="1"/>
  <c r="L15" i="1"/>
  <c r="K15" i="1"/>
  <c r="J15" i="1"/>
  <c r="I15" i="1"/>
  <c r="H15" i="1"/>
  <c r="G15" i="1"/>
  <c r="F15" i="1"/>
  <c r="E15" i="1"/>
  <c r="H13" i="1"/>
  <c r="G13" i="1"/>
  <c r="F13" i="1"/>
  <c r="P12" i="1"/>
  <c r="O12" i="1"/>
  <c r="N12" i="1"/>
  <c r="M12" i="1"/>
  <c r="L12" i="1"/>
  <c r="K12" i="1"/>
  <c r="J12" i="1"/>
  <c r="I12" i="1"/>
  <c r="H12" i="1"/>
  <c r="G12" i="1"/>
  <c r="F12" i="1"/>
  <c r="E12" i="1"/>
  <c r="P11" i="1"/>
  <c r="O11" i="1"/>
  <c r="N11" i="1"/>
  <c r="M11" i="1"/>
  <c r="L11" i="1"/>
  <c r="K11" i="1"/>
  <c r="J11" i="1"/>
  <c r="I11" i="1"/>
  <c r="H11" i="1"/>
  <c r="G11" i="1"/>
  <c r="F11" i="1"/>
  <c r="E11" i="1"/>
  <c r="P10" i="1"/>
  <c r="O10" i="1"/>
  <c r="N10" i="1"/>
  <c r="M10" i="1"/>
  <c r="L10" i="1"/>
  <c r="K10" i="1"/>
  <c r="J10" i="1"/>
  <c r="I10" i="1"/>
  <c r="H10" i="1"/>
  <c r="G10" i="1"/>
  <c r="F10" i="1"/>
  <c r="E10" i="1"/>
  <c r="P9" i="1"/>
  <c r="O9" i="1"/>
  <c r="N9" i="1"/>
  <c r="M9" i="1"/>
  <c r="L9" i="1"/>
  <c r="K9" i="1"/>
  <c r="J9" i="1"/>
  <c r="I9" i="1"/>
  <c r="H9" i="1"/>
  <c r="G9" i="1"/>
  <c r="F9" i="1"/>
  <c r="E9" i="1"/>
  <c r="P8" i="1"/>
  <c r="O8" i="1"/>
  <c r="N8" i="1"/>
  <c r="M8" i="1"/>
  <c r="L8" i="1"/>
  <c r="K8" i="1"/>
  <c r="J8" i="1"/>
  <c r="I8" i="1"/>
  <c r="H8" i="1"/>
  <c r="G8" i="1"/>
  <c r="P20" i="1"/>
  <c r="O20" i="1"/>
  <c r="N20" i="1"/>
  <c r="M20" i="1"/>
  <c r="L20" i="1"/>
  <c r="P19" i="1"/>
  <c r="O19" i="1"/>
  <c r="N19" i="1"/>
  <c r="M19" i="1"/>
  <c r="L19" i="1"/>
  <c r="K19" i="1"/>
  <c r="J19" i="1"/>
  <c r="I19" i="1"/>
  <c r="H19" i="1"/>
  <c r="G19" i="1"/>
  <c r="F19" i="1"/>
  <c r="E19" i="1"/>
  <c r="P18" i="1"/>
  <c r="O18" i="1"/>
  <c r="N18" i="1"/>
  <c r="M18" i="1"/>
  <c r="L18" i="1"/>
  <c r="K18" i="1"/>
  <c r="J18" i="1"/>
  <c r="I18" i="1"/>
  <c r="H18" i="1"/>
  <c r="G18" i="1"/>
  <c r="F18" i="1"/>
  <c r="E18" i="1"/>
  <c r="K17" i="1"/>
  <c r="J17" i="1"/>
  <c r="I17" i="1"/>
  <c r="H17" i="1"/>
  <c r="G17" i="1"/>
  <c r="E17" i="1"/>
  <c r="F17" i="1"/>
  <c r="F8" i="1"/>
  <c r="E8" i="1"/>
  <c r="P7" i="1"/>
  <c r="O7" i="1"/>
  <c r="N7" i="1"/>
  <c r="M7" i="1"/>
  <c r="L7" i="1"/>
  <c r="K7" i="1"/>
  <c r="J7" i="1"/>
  <c r="I7" i="1"/>
  <c r="H7" i="1"/>
  <c r="G7" i="1"/>
  <c r="F7" i="1"/>
  <c r="E7" i="1"/>
  <c r="P6" i="1"/>
  <c r="O6" i="1"/>
  <c r="N6" i="1"/>
  <c r="M6" i="1"/>
  <c r="L6" i="1"/>
  <c r="K6" i="1"/>
  <c r="J6" i="1"/>
  <c r="I6" i="1"/>
  <c r="H6" i="1"/>
  <c r="G6" i="1"/>
  <c r="F6" i="1"/>
  <c r="E6" i="1"/>
  <c r="P5" i="1"/>
  <c r="O5" i="1"/>
  <c r="N5" i="1"/>
  <c r="M5" i="1"/>
  <c r="L5" i="1"/>
  <c r="K5" i="1"/>
  <c r="J5" i="1"/>
  <c r="I5" i="1"/>
  <c r="H5" i="1"/>
  <c r="G5" i="1"/>
  <c r="F5" i="1"/>
  <c r="E5" i="1"/>
  <c r="P4" i="1"/>
  <c r="O4" i="1"/>
  <c r="N4" i="1"/>
  <c r="M4" i="1"/>
  <c r="L4" i="1"/>
  <c r="K4" i="1"/>
  <c r="J4" i="1"/>
  <c r="I4" i="1"/>
  <c r="H4" i="1"/>
  <c r="G4" i="1"/>
  <c r="F4" i="1"/>
  <c r="E4" i="1"/>
</calcChain>
</file>

<file path=xl/sharedStrings.xml><?xml version="1.0" encoding="utf-8"?>
<sst xmlns="http://schemas.openxmlformats.org/spreadsheetml/2006/main" count="68" uniqueCount="49">
  <si>
    <t>Countries</t>
  </si>
  <si>
    <t>GDP Per Capita PPP</t>
  </si>
  <si>
    <t>GDP Comparator</t>
  </si>
  <si>
    <t>GNI Per Capita</t>
  </si>
  <si>
    <t>Food and non-alcoholic beverages</t>
  </si>
  <si>
    <t>Alcoholic beverages, tobacco</t>
  </si>
  <si>
    <t>Clothing and footwear</t>
  </si>
  <si>
    <t>Housing, water, electricity, gas, fuel</t>
  </si>
  <si>
    <t>Furnishings, household equipment, house maintenance</t>
  </si>
  <si>
    <t>Health</t>
  </si>
  <si>
    <t>Transport</t>
  </si>
  <si>
    <t>Communication</t>
  </si>
  <si>
    <t>Recreation and culture</t>
  </si>
  <si>
    <t>Education</t>
  </si>
  <si>
    <t>Restaurants and hotels</t>
  </si>
  <si>
    <t>Miscellaneous goods and services</t>
  </si>
  <si>
    <t>Austria</t>
  </si>
  <si>
    <t>Belgium</t>
  </si>
  <si>
    <t>Cyprus</t>
  </si>
  <si>
    <t>Estonia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</si>
  <si>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</si>
  <si>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</si>
  <si>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</si>
  <si>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</si>
  <si>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</si>
  <si>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</si>
  <si>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</si>
  <si>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</si>
  <si>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</si>
  <si>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</si>
  <si>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</t>
  </si>
  <si>
    <t>Portugal</t>
  </si>
  <si>
    <t>Slovakia</t>
  </si>
  <si>
    <t>Slovenia</t>
  </si>
  <si>
    <t>Spain</t>
  </si>
  <si>
    <t>Standard Deviation</t>
  </si>
  <si>
    <t>Monthly numbers</t>
  </si>
  <si>
    <t>Basketek standard deviationje</t>
  </si>
  <si>
    <t>Célország basketértéke-(Saját expense az adott basketből*(célország basketértéke/kiindulóország basketértéke))</t>
  </si>
  <si>
    <t>Ha Basket standard deviationje-A2 &lt; 0 akkor happy</t>
  </si>
  <si>
    <t>Ha Basket standard deviationje-A2 &gt;= 0  ÉS Basket standard deviationje-A2 &lt; Basket standard deviationje akkor átlagos</t>
  </si>
  <si>
    <t>Ha Basket standard deviationje-A2 &gt; Basket Standard deviationje akkor szomorú</t>
  </si>
  <si>
    <t>Fedezet</t>
  </si>
  <si>
    <t>Célország GNI/kiindulóország GNI*Saját bevételek</t>
  </si>
  <si>
    <t>Ha A8&gt;Célország GDP akkor happy</t>
  </si>
  <si>
    <t>Ha A8&gt;Célország GNI DE A8&lt;Célország GDP akkor átlagos</t>
  </si>
  <si>
    <t>Ha A8&lt;Célország GNI akkor szomorú</t>
  </si>
  <si>
    <t>Saving</t>
  </si>
  <si>
    <t>(Célország GNI/kiindulóország GNI*Saját bevételek)-(SZUMMA(célország basketértéke/Kiindulóország basketértéke*saját basketérték)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</si>
</sst>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9" fontId="0" fillId="0" borderId="0" xfId="0" applyNumberFormat="1"/>
    <xf numFmtId="0" fontId="0" fillId="2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3"/>
  <sheetViews>
    <sheetView tabSelected="1" topLeftCell="A53" workbookViewId="0">
      <selection activeCell="C56" sqref="C56:C69"/>
    </sheetView>
  </sheetViews>
  <sheetFormatPr defaultRowHeight="15"/>
  <cols>
    <col min="1" max="1" width="18.140625" bestFit="1" customWidth="1"/>
    <col min="2" max="2" width="18.42578125" bestFit="1" customWidth="1"/>
    <col min="3" max="3" width="16" bestFit="1" customWidth="1"/>
    <col min="4" max="4" width="14" bestFit="1" customWidth="1"/>
    <col min="5" max="5" width="31.5703125" bestFit="1" customWidth="1"/>
    <col min="6" max="6" width="27" bestFit="1" customWidth="1"/>
    <col min="7" max="7" width="20.85546875" bestFit="1" customWidth="1"/>
    <col min="8" max="8" width="32.85546875" bestFit="1" customWidth="1"/>
    <col min="9" max="9" width="50.85546875" bestFit="1" customWidth="1"/>
    <col min="10" max="11" width="12.5703125" bestFit="1" customWidth="1"/>
    <col min="12" max="12" width="15.140625" bestFit="1" customWidth="1"/>
    <col min="13" max="13" width="21.28515625" bestFit="1" customWidth="1"/>
    <col min="14" max="14" width="12.5703125" bestFit="1" customWidth="1"/>
    <col min="15" max="15" width="21.5703125" bestFit="1" customWidth="1"/>
    <col min="16" max="16" width="31.14062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8">
      <c r="A2" t="s">
        <v>16</v>
      </c>
      <c r="B2" s="2">
        <v>58427.5</v>
      </c>
      <c r="C2">
        <f>B2/1000</f>
        <v>58.427500000000002</v>
      </c>
      <c r="D2" s="2">
        <v>58370</v>
      </c>
      <c r="E2" s="2">
        <f>133.37/1000*B2</f>
        <v>7792.4756750000006</v>
      </c>
      <c r="F2" s="2">
        <f>40.85/1000*B2</f>
        <v>2386.7633750000005</v>
      </c>
      <c r="G2" s="2">
        <f>61.01/1000*B2</f>
        <v>3564.6617749999996</v>
      </c>
      <c r="H2" s="2">
        <f>154.37/1000*B2</f>
        <v>9019.4531750000006</v>
      </c>
      <c r="I2" s="2">
        <f>84.06/1000*B2</f>
        <v>4911.4156499999999</v>
      </c>
      <c r="J2" s="2">
        <f>58.75/1000*B2</f>
        <v>3432.6156249999999</v>
      </c>
      <c r="K2" s="2">
        <f>139.7/1000*B2</f>
        <v>8162.3217499999992</v>
      </c>
      <c r="L2" s="2">
        <f>24.17/1000*B2</f>
        <v>1412.192675</v>
      </c>
      <c r="M2" s="2">
        <f>96.05/1000*B2</f>
        <v>5611.9613749999999</v>
      </c>
      <c r="N2" s="2">
        <f>12.86/1000*B2</f>
        <v>751.37765000000002</v>
      </c>
      <c r="O2" s="2">
        <f>111.97/1000*B2</f>
        <v>6542.1271749999996</v>
      </c>
      <c r="P2" s="2">
        <f>82.84/1000*B2</f>
        <v>4840.1341000000002</v>
      </c>
      <c r="Q2" s="1"/>
      <c r="R2" s="1"/>
    </row>
    <row r="3" spans="1:18">
      <c r="A3" t="s">
        <v>17</v>
      </c>
      <c r="B3" s="2">
        <v>58930.9</v>
      </c>
      <c r="C3">
        <f t="shared" ref="C3:C20" si="0">B3/1000</f>
        <v>58.930900000000001</v>
      </c>
      <c r="D3" s="2">
        <v>59460</v>
      </c>
      <c r="E3" s="2">
        <f>168.58/1000*B3</f>
        <v>9934.5711220000012</v>
      </c>
      <c r="F3" s="2">
        <f>53.46/1000*B3</f>
        <v>3150.4459139999999</v>
      </c>
      <c r="G3" s="2">
        <f>58.76/1000*B3</f>
        <v>3462.7796840000001</v>
      </c>
      <c r="H3" s="2">
        <f>171.77/1000*B3</f>
        <v>10122.560693000001</v>
      </c>
      <c r="I3" s="2">
        <f>83.63/1000*B3</f>
        <v>4928.3911669999998</v>
      </c>
      <c r="J3" s="2">
        <f>77.04/1000*B3</f>
        <v>4540.0365360000005</v>
      </c>
      <c r="K3" s="2">
        <f>107.35/1000*B3</f>
        <v>6326.2321149999998</v>
      </c>
      <c r="L3" s="2">
        <f>39.99/1000*B3</f>
        <v>2356.6466910000004</v>
      </c>
      <c r="M3" s="2">
        <f>82.92/1000*B3</f>
        <v>4886.550228000001</v>
      </c>
      <c r="N3" s="2">
        <f>5.23/1000*B3</f>
        <v>308.20860700000003</v>
      </c>
      <c r="O3" s="2">
        <f>67.26/1000*B3</f>
        <v>3963.6923340000003</v>
      </c>
      <c r="P3" s="2">
        <f>84.01/1000*B3</f>
        <v>4950.784909</v>
      </c>
    </row>
    <row r="4" spans="1:18">
      <c r="A4" t="s">
        <v>18</v>
      </c>
      <c r="B4" s="2">
        <v>42556.1</v>
      </c>
      <c r="C4">
        <f t="shared" si="0"/>
        <v>42.556100000000001</v>
      </c>
      <c r="D4" s="2">
        <v>39410</v>
      </c>
      <c r="E4" s="2">
        <f>155.57*C4</f>
        <v>6620.4524769999998</v>
      </c>
      <c r="F4" s="2">
        <f>54.18*C4</f>
        <v>2305.6894980000002</v>
      </c>
      <c r="G4" s="2">
        <f>65.76*C4</f>
        <v>2798.4891360000001</v>
      </c>
      <c r="H4" s="2">
        <f>82.28*C4</f>
        <v>3501.5159080000003</v>
      </c>
      <c r="I4" s="2">
        <f>59.14*C4</f>
        <v>2516.767754</v>
      </c>
      <c r="J4" s="2">
        <f>26.36*C4</f>
        <v>1121.7787960000001</v>
      </c>
      <c r="K4" s="2">
        <f>152.62*C4</f>
        <v>6494.9119820000005</v>
      </c>
      <c r="L4" s="2">
        <f>31.38*C4</f>
        <v>1335.4104179999999</v>
      </c>
      <c r="M4" s="2">
        <f>72.82*C4</f>
        <v>3098.9352019999997</v>
      </c>
      <c r="N4" s="2">
        <f>39.07*C4</f>
        <v>1662.666827</v>
      </c>
      <c r="O4" s="2">
        <f>189.48*C4</f>
        <v>8063.5298279999997</v>
      </c>
      <c r="P4" s="2">
        <f>71.36*C4</f>
        <v>3036.803296</v>
      </c>
    </row>
    <row r="5" spans="1:18">
      <c r="A5" t="s">
        <v>19</v>
      </c>
      <c r="B5" s="2">
        <v>42191.5</v>
      </c>
      <c r="C5">
        <f t="shared" si="0"/>
        <v>42.191499999999998</v>
      </c>
      <c r="D5" s="2">
        <v>41570</v>
      </c>
      <c r="E5" s="2">
        <f>208.94*C5</f>
        <v>8815.4920099999999</v>
      </c>
      <c r="F5" s="2">
        <f>55.12*C5</f>
        <v>2325.59548</v>
      </c>
      <c r="G5" s="2">
        <f>55.38*C5</f>
        <v>2336.5652700000001</v>
      </c>
      <c r="H5" s="2">
        <f>167.7*C5</f>
        <v>7075.514549999999</v>
      </c>
      <c r="I5" s="2">
        <f>67.2*C5</f>
        <v>2835.2687999999998</v>
      </c>
      <c r="J5" s="2">
        <f>54.24*C5</f>
        <v>2288.4669599999997</v>
      </c>
      <c r="K5" s="2">
        <f>144.64*C5</f>
        <v>6102.578559999999</v>
      </c>
      <c r="L5" s="2">
        <f>44.35*C5</f>
        <v>1871.193025</v>
      </c>
      <c r="M5" s="2">
        <f>77.09*C5</f>
        <v>3252.542735</v>
      </c>
      <c r="N5" s="2">
        <f>12*C5</f>
        <v>506.298</v>
      </c>
      <c r="O5" s="2">
        <f>54.94*C5</f>
        <v>2318.00101</v>
      </c>
      <c r="P5" s="2">
        <f>58.4*C5</f>
        <v>2463.9836</v>
      </c>
    </row>
    <row r="6" spans="1:18">
      <c r="A6" t="s">
        <v>20</v>
      </c>
      <c r="B6" s="2">
        <v>55006.6</v>
      </c>
      <c r="C6">
        <f t="shared" si="0"/>
        <v>55.006599999999999</v>
      </c>
      <c r="D6" s="2">
        <v>55940</v>
      </c>
      <c r="E6" s="2">
        <f>153.8*C6</f>
        <v>8460.015080000001</v>
      </c>
      <c r="F6" s="2">
        <f>59.22*C6</f>
        <v>3257.4908519999999</v>
      </c>
      <c r="G6" s="2">
        <f>44.15*C6</f>
        <v>2428.5413899999999</v>
      </c>
      <c r="H6" s="2">
        <f>183.97*C6</f>
        <v>10119.564202</v>
      </c>
      <c r="I6" s="2">
        <f>63.27*C6</f>
        <v>3480.2675819999999</v>
      </c>
      <c r="J6" s="2">
        <f>61.37*C6</f>
        <v>3375.7550419999998</v>
      </c>
      <c r="K6" s="2">
        <f>137.73*C6</f>
        <v>7576.059017999999</v>
      </c>
      <c r="L6" s="2">
        <f>31.77*C6</f>
        <v>1747.5596819999998</v>
      </c>
      <c r="M6" s="2">
        <f>103.99*C6</f>
        <v>5720.1363339999998</v>
      </c>
      <c r="N6" s="2">
        <f>4.73*C6</f>
        <v>260.181218</v>
      </c>
      <c r="O6" s="2">
        <f>69.83*C6</f>
        <v>3841.110878</v>
      </c>
      <c r="P6" s="2">
        <f>86.17*C6</f>
        <v>4739.9187220000003</v>
      </c>
    </row>
    <row r="7" spans="1:18">
      <c r="A7" t="s">
        <v>21</v>
      </c>
      <c r="B7" s="2">
        <v>50728.7</v>
      </c>
      <c r="C7">
        <f t="shared" si="0"/>
        <v>50.728699999999996</v>
      </c>
      <c r="D7" s="2">
        <v>51850</v>
      </c>
      <c r="E7" s="2">
        <f>165.55*C7</f>
        <v>8398.1362850000005</v>
      </c>
      <c r="F7" s="2">
        <f>44.94*C7</f>
        <v>2279.7477779999999</v>
      </c>
      <c r="G7" s="2">
        <f>39.81*C7</f>
        <v>2019.5095469999999</v>
      </c>
      <c r="H7" s="2">
        <f>174.41*C7</f>
        <v>8847.5925669999997</v>
      </c>
      <c r="I7" s="2">
        <f>59.28*C7</f>
        <v>3007.1973359999997</v>
      </c>
      <c r="J7" s="2">
        <f>45.48*C7</f>
        <v>2307.1412759999998</v>
      </c>
      <c r="K7" s="2">
        <f>158.4*C7</f>
        <v>8035.4260799999993</v>
      </c>
      <c r="L7" s="2">
        <f>30.32*C7</f>
        <v>1538.0941839999998</v>
      </c>
      <c r="M7" s="2">
        <f>80.25*C7</f>
        <v>4070.9781749999997</v>
      </c>
      <c r="N7" s="2">
        <f>3.76*C7</f>
        <v>190.73991199999998</v>
      </c>
      <c r="O7" s="2">
        <f>73.73*C7</f>
        <v>3740.2270509999998</v>
      </c>
      <c r="P7" s="2">
        <f>124.05*C7</f>
        <v>6292.895234999999</v>
      </c>
    </row>
    <row r="8" spans="1:18">
      <c r="A8" t="s">
        <v>22</v>
      </c>
      <c r="B8" s="2">
        <v>57927.6</v>
      </c>
      <c r="C8">
        <f t="shared" si="0"/>
        <v>57.927599999999998</v>
      </c>
      <c r="D8" s="2">
        <v>59680</v>
      </c>
      <c r="E8" s="2">
        <f>126.57*C8</f>
        <v>7331.8963319999993</v>
      </c>
      <c r="F8" s="2">
        <f>44.96*C8</f>
        <v>2604.424896</v>
      </c>
      <c r="G8" s="2">
        <f>43.16*C8</f>
        <v>2500.1552159999997</v>
      </c>
      <c r="H8" s="2">
        <f>252.2*C8</f>
        <v>14609.340719999998</v>
      </c>
      <c r="I8" s="2">
        <f>60.9*C8</f>
        <v>3527.7908399999997</v>
      </c>
      <c r="J8" s="2">
        <f>57.5*C8</f>
        <v>3330.837</v>
      </c>
      <c r="K8" s="2">
        <f>149.44*C8</f>
        <v>8656.7005439999994</v>
      </c>
      <c r="L8" s="2">
        <f>29.44*C8</f>
        <v>1705.3885439999999</v>
      </c>
      <c r="M8" s="2">
        <f>97.2*C8</f>
        <v>5630.5627199999999</v>
      </c>
      <c r="N8" s="2">
        <f>9.72*C8</f>
        <v>563.05627200000004</v>
      </c>
      <c r="O8" s="2">
        <f>39.42*C8</f>
        <v>2283.5059919999999</v>
      </c>
      <c r="P8" s="2">
        <f>89.49*C8</f>
        <v>5183.9409239999995</v>
      </c>
    </row>
    <row r="9" spans="1:18">
      <c r="A9" t="s">
        <v>23</v>
      </c>
      <c r="B9" s="2">
        <v>31295.1</v>
      </c>
      <c r="C9">
        <f t="shared" si="0"/>
        <v>31.295099999999998</v>
      </c>
      <c r="D9" s="2">
        <v>31410</v>
      </c>
      <c r="E9" s="2">
        <f>210.42*C9</f>
        <v>6585.1149419999992</v>
      </c>
      <c r="F9" s="2">
        <f>47.35*C9</f>
        <v>1481.822985</v>
      </c>
      <c r="G9" s="2">
        <f>58.04*C9</f>
        <v>1816.3676039999998</v>
      </c>
      <c r="H9" s="2">
        <f>126.35*C9</f>
        <v>3954.1358849999997</v>
      </c>
      <c r="I9" s="2">
        <f>38.77*C9</f>
        <v>1213.311027</v>
      </c>
      <c r="J9" s="2">
        <f>58.14*C9</f>
        <v>1819.4971139999998</v>
      </c>
      <c r="K9" s="2">
        <f>130.53*C9</f>
        <v>4084.9494029999996</v>
      </c>
      <c r="L9" s="2">
        <f>49.86*C9</f>
        <v>1560.3736859999999</v>
      </c>
      <c r="M9" s="2">
        <f>41.68*C9</f>
        <v>1304.379768</v>
      </c>
      <c r="N9" s="2">
        <f>22.49*C9</f>
        <v>703.82679899999994</v>
      </c>
      <c r="O9" s="2">
        <f>158.03*C9</f>
        <v>4945.5646529999995</v>
      </c>
      <c r="P9" s="2">
        <f>58.34*C9</f>
        <v>1825.756134</v>
      </c>
    </row>
    <row r="10" spans="1:18">
      <c r="A10" t="s">
        <v>24</v>
      </c>
      <c r="B10" s="2">
        <v>106455.8</v>
      </c>
      <c r="C10">
        <f t="shared" si="0"/>
        <v>106.4558</v>
      </c>
      <c r="D10" s="2">
        <v>79450</v>
      </c>
      <c r="E10" s="2">
        <f>121.33*C10</f>
        <v>12916.282213999999</v>
      </c>
      <c r="F10" s="2">
        <f>59.88*C10</f>
        <v>6374.5733040000005</v>
      </c>
      <c r="G10" s="2">
        <f>50.1*C10</f>
        <v>5333.4355800000003</v>
      </c>
      <c r="H10" s="2">
        <f>138.03*C10</f>
        <v>14694.094073999999</v>
      </c>
      <c r="I10" s="2">
        <f>54.64*C10</f>
        <v>5816.7449120000001</v>
      </c>
      <c r="J10" s="2">
        <f>64.02*C10</f>
        <v>6815.3003159999989</v>
      </c>
      <c r="K10" s="2">
        <f>141.31*C10</f>
        <v>15043.269097999999</v>
      </c>
      <c r="L10" s="2">
        <f>34.54*C10</f>
        <v>3676.9833319999998</v>
      </c>
      <c r="M10" s="2">
        <f>78.17*C10</f>
        <v>8321.6498859999992</v>
      </c>
      <c r="N10" s="2">
        <f>18.44*C10</f>
        <v>1963.044952</v>
      </c>
      <c r="O10" s="2">
        <f>161*C10</f>
        <v>17139.3838</v>
      </c>
      <c r="P10" s="2">
        <f>78.53*C10</f>
        <v>8359.9739740000005</v>
      </c>
    </row>
    <row r="11" spans="1:18">
      <c r="A11" t="s">
        <v>25</v>
      </c>
      <c r="B11" s="2">
        <v>45936</v>
      </c>
      <c r="C11">
        <f t="shared" si="0"/>
        <v>45.936</v>
      </c>
      <c r="D11" s="2">
        <v>46940</v>
      </c>
      <c r="E11" s="2">
        <f>194.55*C11</f>
        <v>8936.8487999999998</v>
      </c>
      <c r="F11" s="2">
        <f>36.06*C11</f>
        <v>1656.45216</v>
      </c>
      <c r="G11" s="2">
        <f>73.18*C11</f>
        <v>3361.5964800000002</v>
      </c>
      <c r="H11" s="2">
        <f>116.18*C11</f>
        <v>5336.8444800000007</v>
      </c>
      <c r="I11" s="2">
        <f>84.99*C11</f>
        <v>3904.1006399999997</v>
      </c>
      <c r="J11" s="2">
        <f>46.15*C11</f>
        <v>2119.9463999999998</v>
      </c>
      <c r="K11" s="2">
        <f>153.24*C11</f>
        <v>7039.2326400000002</v>
      </c>
      <c r="L11" s="2">
        <f>27.27*C11</f>
        <v>1252.67472</v>
      </c>
      <c r="M11" s="2">
        <f>57.66*C11</f>
        <v>2648.6697599999998</v>
      </c>
      <c r="N11" s="2">
        <f>11.47*C11</f>
        <v>526.88592000000006</v>
      </c>
      <c r="O11" s="2">
        <f>99.32*C11</f>
        <v>4562.3635199999999</v>
      </c>
      <c r="P11" s="2">
        <f>99.94*C11</f>
        <v>4590.8438399999995</v>
      </c>
    </row>
    <row r="12" spans="1:18">
      <c r="A12" t="s">
        <v>26</v>
      </c>
      <c r="B12" s="2">
        <v>34468.6</v>
      </c>
      <c r="C12">
        <f t="shared" si="0"/>
        <v>34.468599999999995</v>
      </c>
      <c r="D12" s="2">
        <v>33790</v>
      </c>
      <c r="E12" s="2">
        <f>259.37*C12</f>
        <v>8940.1207819999981</v>
      </c>
      <c r="F12" s="2">
        <f>78.81*C12</f>
        <v>2716.4703659999996</v>
      </c>
      <c r="G12" s="2">
        <f>51.67*C12</f>
        <v>1780.9925619999999</v>
      </c>
      <c r="H12" s="2">
        <f>162.97*C12</f>
        <v>5617.347741999999</v>
      </c>
      <c r="I12" s="2">
        <f>39.23*C12</f>
        <v>1352.2031779999998</v>
      </c>
      <c r="J12" s="2">
        <f>61.48*C12</f>
        <v>2119.1295279999995</v>
      </c>
      <c r="K12" s="2">
        <f>138.97*C12</f>
        <v>4790.101341999999</v>
      </c>
      <c r="L12" s="2">
        <f>34.17*C12</f>
        <v>1177.792062</v>
      </c>
      <c r="M12" s="2">
        <f>70.08*C12</f>
        <v>2415.5594879999994</v>
      </c>
      <c r="N12" s="2">
        <f>11.72*C12</f>
        <v>403.97199199999994</v>
      </c>
      <c r="O12" s="2">
        <f>47.75*C12</f>
        <v>1645.8756499999997</v>
      </c>
      <c r="P12" s="2">
        <f>43.79*C12</f>
        <v>1509.3799939999997</v>
      </c>
    </row>
    <row r="13" spans="1:18">
      <c r="A13" t="s">
        <v>27</v>
      </c>
      <c r="B13" s="2">
        <v>42665.3</v>
      </c>
      <c r="C13">
        <f t="shared" si="0"/>
        <v>42.665300000000002</v>
      </c>
      <c r="D13" s="2">
        <v>41250</v>
      </c>
      <c r="E13" s="2">
        <f>207.2*C13</f>
        <v>8840.2501599999996</v>
      </c>
      <c r="F13" s="2">
        <f>65.87*C13</f>
        <v>2810.3633110000005</v>
      </c>
      <c r="G13" s="2">
        <f>62.14*C13</f>
        <v>2651.2217420000002</v>
      </c>
      <c r="H13" s="2">
        <f>119.53*C13</f>
        <v>5099.7833090000004</v>
      </c>
      <c r="I13" s="2">
        <f>82.28*C13</f>
        <v>3510.500884</v>
      </c>
      <c r="J13" s="2">
        <f>70.32*C13</f>
        <v>3000.223896</v>
      </c>
      <c r="K13" s="2">
        <f>140.8*C13</f>
        <v>6007.2742400000006</v>
      </c>
      <c r="L13" s="2">
        <f>29.09*C13</f>
        <v>1241.1335770000001</v>
      </c>
      <c r="M13" s="2">
        <f>79.29*C13</f>
        <v>3382.9316370000006</v>
      </c>
      <c r="N13" s="2">
        <f>11.99*C13</f>
        <v>511.55694700000004</v>
      </c>
      <c r="O13" s="2">
        <f>50.46*C13</f>
        <v>2152.8910380000002</v>
      </c>
      <c r="P13" s="2">
        <f>81.05*C13</f>
        <v>3458.0225650000002</v>
      </c>
    </row>
    <row r="14" spans="1:18">
      <c r="A14" t="s">
        <v>28</v>
      </c>
      <c r="B14" s="2">
        <v>134753.79999999999</v>
      </c>
      <c r="C14">
        <f t="shared" si="0"/>
        <v>134.75379999999998</v>
      </c>
      <c r="D14" s="2">
        <v>83230</v>
      </c>
      <c r="E14" s="2">
        <f>126.4*C14</f>
        <v>17032.88032</v>
      </c>
      <c r="F14" s="2">
        <f>104.7*C14</f>
        <v>14108.722859999998</v>
      </c>
      <c r="G14" s="2">
        <f>64.1*C14</f>
        <v>8637.7185799999988</v>
      </c>
      <c r="H14" s="2">
        <f>131.6*C14</f>
        <v>17733.600079999997</v>
      </c>
      <c r="I14" s="2">
        <f>77.5*C14</f>
        <v>10443.419499999998</v>
      </c>
      <c r="J14" s="2">
        <f>26.4*C14</f>
        <v>3557.5003199999992</v>
      </c>
      <c r="K14" s="2">
        <f>180.7*C14</f>
        <v>24350.011659999996</v>
      </c>
      <c r="L14" s="2">
        <f>16.9*C14</f>
        <v>2277.3392199999994</v>
      </c>
      <c r="M14" s="2">
        <f>54.8*C14</f>
        <v>7384.5082399999983</v>
      </c>
      <c r="N14" s="2">
        <f>11.9*C14</f>
        <v>1603.5702199999998</v>
      </c>
      <c r="O14" s="2">
        <f>71.8*C14</f>
        <v>9675.3228399999989</v>
      </c>
      <c r="P14" s="2">
        <f>133.2*C14</f>
        <v>17949.206159999998</v>
      </c>
    </row>
    <row r="15" spans="1:18">
      <c r="A15" t="s">
        <v>29</v>
      </c>
      <c r="B15" s="2">
        <v>47714.5</v>
      </c>
      <c r="C15">
        <f t="shared" si="0"/>
        <v>47.714500000000001</v>
      </c>
      <c r="D15" s="2">
        <v>44550</v>
      </c>
      <c r="E15" s="2">
        <f>178.71*C15</f>
        <v>8527.0582950000007</v>
      </c>
      <c r="F15" s="2">
        <f>38.85*C15</f>
        <v>1853.7083250000001</v>
      </c>
      <c r="G15" s="2">
        <f>42.46*C15</f>
        <v>2025.95767</v>
      </c>
      <c r="H15" s="2">
        <f>100.09*C15</f>
        <v>4775.7443050000002</v>
      </c>
      <c r="I15" s="2">
        <f>87.4*C15</f>
        <v>4170.2473</v>
      </c>
      <c r="J15" s="2">
        <f>48.79*C15</f>
        <v>2327.9904550000001</v>
      </c>
      <c r="K15" s="2">
        <f>124.02*C15</f>
        <v>5917.5522899999996</v>
      </c>
      <c r="L15" s="2">
        <f>39.81*C15</f>
        <v>1899.5142450000001</v>
      </c>
      <c r="M15" s="2">
        <f>79.29*C15</f>
        <v>3783.2827050000005</v>
      </c>
      <c r="N15" s="2">
        <f>26.45*C15</f>
        <v>1262.0485249999999</v>
      </c>
      <c r="O15" s="2">
        <f>149.75*C15</f>
        <v>7145.2463749999997</v>
      </c>
      <c r="P15" s="2">
        <f>84.38*C15</f>
        <v>4026.1495099999997</v>
      </c>
    </row>
    <row r="16" spans="1:18">
      <c r="A16" t="s">
        <v>30</v>
      </c>
      <c r="B16" s="2">
        <v>63766.9</v>
      </c>
      <c r="C16">
        <f t="shared" si="0"/>
        <v>63.7669</v>
      </c>
      <c r="D16" s="2">
        <v>63360</v>
      </c>
      <c r="E16" s="2">
        <f>153.91*C16</f>
        <v>9814.3635789999989</v>
      </c>
      <c r="F16" s="2">
        <f>37.56*C16</f>
        <v>2395.0847640000002</v>
      </c>
      <c r="G16" s="2">
        <f>63.88*C16</f>
        <v>4073.429572</v>
      </c>
      <c r="H16" s="2">
        <f>185.47*C16</f>
        <v>11826.846943</v>
      </c>
      <c r="I16" s="2">
        <f>78.89*C16</f>
        <v>5030.5707410000005</v>
      </c>
      <c r="J16" s="2">
        <f>27.3*C16</f>
        <v>1740.83637</v>
      </c>
      <c r="K16" s="2">
        <f>130.81*C16</f>
        <v>8341.3481890000003</v>
      </c>
      <c r="L16" s="2">
        <f>30.57*C16</f>
        <v>1949.354133</v>
      </c>
      <c r="M16" s="2">
        <f>99.1*C16</f>
        <v>6319.29979</v>
      </c>
      <c r="N16" s="2">
        <f>4.53*C16</f>
        <v>288.864057</v>
      </c>
      <c r="O16" s="2">
        <f>67.39*C16</f>
        <v>4297.2513909999998</v>
      </c>
      <c r="P16" s="2">
        <f>120.58*C16</f>
        <v>7689.0128020000002</v>
      </c>
    </row>
    <row r="17" spans="1:16">
      <c r="A17" t="s">
        <v>31</v>
      </c>
      <c r="B17" s="2">
        <v>35888.199999999997</v>
      </c>
      <c r="C17">
        <f t="shared" si="0"/>
        <v>35.888199999999998</v>
      </c>
      <c r="D17" s="2">
        <v>35470</v>
      </c>
      <c r="E17" s="2">
        <f>217*C17</f>
        <v>7787.7393999999995</v>
      </c>
      <c r="F17" s="2">
        <f>37.95*C17</f>
        <v>1361.9571900000001</v>
      </c>
      <c r="G17" s="2">
        <f>54.9*C17</f>
        <v>1970.2621799999997</v>
      </c>
      <c r="H17" s="2">
        <f>94.4*C17</f>
        <v>3387.8460799999998</v>
      </c>
      <c r="I17" s="2">
        <f>71.59*C17</f>
        <v>2569.236238</v>
      </c>
      <c r="J17" s="2">
        <f>67.54*C17</f>
        <v>2423.8890280000001</v>
      </c>
      <c r="K17" s="2">
        <f>152.39*C17</f>
        <v>5469.0027979999995</v>
      </c>
      <c r="L17" s="2">
        <f>30.25*C17</f>
        <v>1085.61805</v>
      </c>
      <c r="M17" s="2">
        <f>49.13*C17</f>
        <v>1763.1872659999999</v>
      </c>
      <c r="N17" s="2">
        <f>19.31*C17</f>
        <v>693.00114199999996</v>
      </c>
      <c r="O17" s="2">
        <f>102.46*C17</f>
        <v>3677.1049719999996</v>
      </c>
      <c r="P17" s="2">
        <f>103.1*C17</f>
        <v>3700.0734199999997</v>
      </c>
    </row>
    <row r="18" spans="1:16">
      <c r="A18" t="s">
        <v>32</v>
      </c>
      <c r="B18" s="2">
        <v>33010.300000000003</v>
      </c>
      <c r="C18">
        <f t="shared" si="0"/>
        <v>33.010300000000001</v>
      </c>
      <c r="D18" s="2">
        <v>32450</v>
      </c>
      <c r="E18" s="2">
        <f>229.69*C18</f>
        <v>7582.1358070000006</v>
      </c>
      <c r="F18" s="2">
        <f>59.71*C18</f>
        <v>1971.0450130000002</v>
      </c>
      <c r="G18" s="2">
        <f>53.39*C18</f>
        <v>1762.4199170000002</v>
      </c>
      <c r="H18" s="2">
        <f>184.41*C18</f>
        <v>6087.4294230000005</v>
      </c>
      <c r="I18" s="2">
        <f>82.56*C18</f>
        <v>2725.3303680000004</v>
      </c>
      <c r="J18" s="2">
        <f>31.29*C18</f>
        <v>1032.8922869999999</v>
      </c>
      <c r="K18" s="2">
        <f>70.53*C18</f>
        <v>2328.2164590000002</v>
      </c>
      <c r="L18" s="2">
        <f>41.41*C18</f>
        <v>1366.9565229999998</v>
      </c>
      <c r="M18" s="2">
        <f>84.04*C18</f>
        <v>2774.1856120000002</v>
      </c>
      <c r="N18" s="2">
        <f>15.93*C18</f>
        <v>525.85407899999996</v>
      </c>
      <c r="O18" s="2">
        <f>64.9*C18</f>
        <v>2142.3684700000003</v>
      </c>
      <c r="P18" s="2">
        <f>82.14*C18</f>
        <v>2711.466042</v>
      </c>
    </row>
    <row r="19" spans="1:16">
      <c r="A19" t="s">
        <v>33</v>
      </c>
      <c r="B19" s="2">
        <v>43624.7</v>
      </c>
      <c r="C19">
        <f t="shared" si="0"/>
        <v>43.624699999999997</v>
      </c>
      <c r="D19" s="2">
        <v>43060</v>
      </c>
      <c r="E19" s="2">
        <f>176.27*C19</f>
        <v>7689.7258689999999</v>
      </c>
      <c r="F19" s="2">
        <f>50.45*C19</f>
        <v>2200.8661149999998</v>
      </c>
      <c r="G19" s="2">
        <f>67.85*C19</f>
        <v>2959.9358949999996</v>
      </c>
      <c r="H19" s="2">
        <f>116.7*C19</f>
        <v>5091.0024899999999</v>
      </c>
      <c r="I19" s="2">
        <f>69.85*C19</f>
        <v>3047.1852949999998</v>
      </c>
      <c r="J19" s="2">
        <f>54.29*C19</f>
        <v>2368.384963</v>
      </c>
      <c r="K19" s="2">
        <f>160.81*C19</f>
        <v>7015.2880069999992</v>
      </c>
      <c r="L19" s="2">
        <f>34.27*C19</f>
        <v>1495.0184690000001</v>
      </c>
      <c r="M19" s="2">
        <f>78.81*C19</f>
        <v>3438.0626069999998</v>
      </c>
      <c r="N19" s="2">
        <f>13.69*C19</f>
        <v>597.22214299999996</v>
      </c>
      <c r="O19" s="2">
        <f>85.19*C19</f>
        <v>3716.3881929999998</v>
      </c>
      <c r="P19" s="2">
        <f>91.84*C19</f>
        <v>4006.492448</v>
      </c>
    </row>
    <row r="20" spans="1:16">
      <c r="A20" t="s">
        <v>34</v>
      </c>
      <c r="B20" s="2">
        <v>40775.300000000003</v>
      </c>
      <c r="C20">
        <f t="shared" si="0"/>
        <v>40.775300000000001</v>
      </c>
      <c r="D20" s="2">
        <v>40980</v>
      </c>
      <c r="E20" s="2">
        <f>220.74/1000*B20</f>
        <v>9000.7397220000021</v>
      </c>
      <c r="F20" s="2">
        <f>30.38/1000*B20</f>
        <v>1238.753614</v>
      </c>
      <c r="G20" s="2">
        <f>59.19/1000*B20</f>
        <v>2413.4900070000003</v>
      </c>
      <c r="H20" s="2">
        <f>139.44/1000*B20</f>
        <v>5685.707832000001</v>
      </c>
      <c r="I20" s="2">
        <f>56.7/1000*B20</f>
        <v>2311.9595100000001</v>
      </c>
      <c r="J20" s="2">
        <f>42.66/1000*B20</f>
        <v>1739.4742980000001</v>
      </c>
      <c r="K20" s="2">
        <f>131.63/1000*B20</f>
        <v>5367.2527390000005</v>
      </c>
      <c r="L20" s="2">
        <f>34.7*C20</f>
        <v>1414.9029100000002</v>
      </c>
      <c r="M20" s="2">
        <f>51.17*C20</f>
        <v>2086.4721010000003</v>
      </c>
      <c r="N20" s="2">
        <f>15.57*C20</f>
        <v>634.87142100000005</v>
      </c>
      <c r="O20" s="2">
        <f>144.17*C20</f>
        <v>5878.5750009999992</v>
      </c>
      <c r="P20" s="2">
        <f>73.67*C20</f>
        <v>3003.9163510000003</v>
      </c>
    </row>
    <row r="24" spans="1:16">
      <c r="A24" t="s">
        <v>35</v>
      </c>
      <c r="B24">
        <f>_xlfn.STDEV.S(B2:B20)</f>
        <v>25702.12149435384</v>
      </c>
      <c r="C24">
        <f t="shared" ref="C24:P24" si="1">_xlfn.STDEV.S(C2:C20)</f>
        <v>25.702121494353857</v>
      </c>
      <c r="D24">
        <f t="shared" si="1"/>
        <v>14897.124060138511</v>
      </c>
      <c r="E24">
        <f t="shared" si="1"/>
        <v>2395.3312300744274</v>
      </c>
      <c r="F24">
        <f t="shared" si="1"/>
        <v>2888.1182913871471</v>
      </c>
      <c r="G24">
        <f t="shared" si="1"/>
        <v>1631.5613200158803</v>
      </c>
      <c r="H24">
        <f t="shared" si="1"/>
        <v>4192.6133330887706</v>
      </c>
      <c r="I24">
        <f t="shared" si="1"/>
        <v>2026.62813930779</v>
      </c>
      <c r="J24">
        <f t="shared" si="1"/>
        <v>1328.050141778119</v>
      </c>
      <c r="K24">
        <f t="shared" si="1"/>
        <v>4751.7873867533099</v>
      </c>
      <c r="L24">
        <f t="shared" si="1"/>
        <v>594.551249046267</v>
      </c>
      <c r="M24">
        <f t="shared" si="1"/>
        <v>1946.7000980021464</v>
      </c>
      <c r="N24">
        <f t="shared" si="1"/>
        <v>509.03792131095588</v>
      </c>
      <c r="O24">
        <f t="shared" si="1"/>
        <v>3622.100035696079</v>
      </c>
      <c r="P24">
        <f t="shared" si="1"/>
        <v>3620.2980277954389</v>
      </c>
    </row>
    <row r="25" spans="1:16">
      <c r="A25" s="3"/>
      <c r="B25">
        <f>B24/12</f>
        <v>2141.8434578628198</v>
      </c>
      <c r="C25">
        <f t="shared" ref="C25:P25" si="2">C24/12</f>
        <v>2.1418434578628216</v>
      </c>
      <c r="D25">
        <f t="shared" si="2"/>
        <v>1241.4270050115426</v>
      </c>
      <c r="E25">
        <f t="shared" si="2"/>
        <v>199.61093583953561</v>
      </c>
      <c r="F25">
        <f t="shared" si="2"/>
        <v>240.67652428226225</v>
      </c>
      <c r="G25">
        <f t="shared" si="2"/>
        <v>135.96344333465669</v>
      </c>
      <c r="H25">
        <f t="shared" si="2"/>
        <v>349.38444442406421</v>
      </c>
      <c r="I25">
        <f t="shared" si="2"/>
        <v>168.88567827564916</v>
      </c>
      <c r="J25">
        <f t="shared" si="2"/>
        <v>110.67084514817658</v>
      </c>
      <c r="K25">
        <f t="shared" si="2"/>
        <v>395.98228222944249</v>
      </c>
      <c r="L25">
        <f t="shared" si="2"/>
        <v>49.54593742052225</v>
      </c>
      <c r="M25">
        <f t="shared" si="2"/>
        <v>162.22500816684553</v>
      </c>
      <c r="N25">
        <f t="shared" si="2"/>
        <v>42.419826775912988</v>
      </c>
      <c r="O25">
        <f t="shared" si="2"/>
        <v>301.84166964133993</v>
      </c>
      <c r="P25">
        <f t="shared" si="2"/>
        <v>301.69150231628657</v>
      </c>
    </row>
    <row r="27" spans="1:16">
      <c r="A27" t="s">
        <v>36</v>
      </c>
    </row>
    <row r="28" spans="1:16">
      <c r="A28" t="s">
        <v>16</v>
      </c>
      <c r="D28">
        <f>+D2/12</f>
        <v>4864.166666666667</v>
      </c>
      <c r="E28">
        <f>+E2/12</f>
        <v>649.37297291666675</v>
      </c>
      <c r="F28">
        <f>+F2/12</f>
        <v>198.8969479166667</v>
      </c>
      <c r="G28">
        <f>+G2/12</f>
        <v>297.05514791666661</v>
      </c>
      <c r="H28">
        <f>+H2/12</f>
        <v>751.62109791666671</v>
      </c>
      <c r="I28">
        <f>+I2/12</f>
        <v>409.28463749999997</v>
      </c>
      <c r="J28">
        <f>+J2/12</f>
        <v>286.05130208333333</v>
      </c>
      <c r="K28">
        <f>+K2/12</f>
        <v>680.19347916666663</v>
      </c>
      <c r="L28">
        <f>+L2/12</f>
        <v>117.68272291666666</v>
      </c>
      <c r="M28">
        <f>+M2/12</f>
        <v>467.66344791666666</v>
      </c>
      <c r="N28">
        <f>+N2/12</f>
        <v>62.614804166666666</v>
      </c>
      <c r="O28">
        <f>+O2/12</f>
        <v>545.17726458333334</v>
      </c>
      <c r="P28">
        <f>+P2/12</f>
        <v>403.34450833333335</v>
      </c>
    </row>
    <row r="29" spans="1:16">
      <c r="A29" t="s">
        <v>17</v>
      </c>
      <c r="D29">
        <f t="shared" ref="D29:D46" si="3">+D3/12</f>
        <v>4955</v>
      </c>
      <c r="E29">
        <f>+E3/12</f>
        <v>827.88092683333343</v>
      </c>
      <c r="F29">
        <f>+F3/12</f>
        <v>262.53715949999997</v>
      </c>
      <c r="G29">
        <f>+G3/12</f>
        <v>288.56497366666667</v>
      </c>
      <c r="H29">
        <f>+H3/12</f>
        <v>843.54672441666673</v>
      </c>
      <c r="I29">
        <f>+I3/12</f>
        <v>410.69926391666667</v>
      </c>
      <c r="J29">
        <f>+J3/12</f>
        <v>378.33637800000002</v>
      </c>
      <c r="K29">
        <f>+K3/12</f>
        <v>527.18600958333332</v>
      </c>
      <c r="L29">
        <f>+L3/12</f>
        <v>196.38722425000003</v>
      </c>
      <c r="M29">
        <f>+M3/12</f>
        <v>407.2125190000001</v>
      </c>
      <c r="N29">
        <f>+N3/12</f>
        <v>25.684050583333335</v>
      </c>
      <c r="O29">
        <f>+O3/12</f>
        <v>330.30769450000003</v>
      </c>
      <c r="P29">
        <f>+P3/12</f>
        <v>412.56540908333335</v>
      </c>
    </row>
    <row r="30" spans="1:16">
      <c r="A30" t="s">
        <v>18</v>
      </c>
      <c r="D30">
        <f t="shared" si="3"/>
        <v>3284.1666666666665</v>
      </c>
      <c r="E30">
        <f>+E4/12</f>
        <v>551.70437308333328</v>
      </c>
      <c r="F30">
        <f>+F4/12</f>
        <v>192.14079150000001</v>
      </c>
      <c r="G30">
        <f>+G4/12</f>
        <v>233.20742800000002</v>
      </c>
      <c r="H30">
        <f>+H4/12</f>
        <v>291.79299233333336</v>
      </c>
      <c r="I30">
        <f>+I4/12</f>
        <v>209.73064616666667</v>
      </c>
      <c r="J30">
        <f>+J4/12</f>
        <v>93.481566333333333</v>
      </c>
      <c r="K30">
        <f>+K4/12</f>
        <v>541.24266516666671</v>
      </c>
      <c r="L30">
        <f>+L4/12</f>
        <v>111.28420149999999</v>
      </c>
      <c r="M30">
        <f>+M4/12</f>
        <v>258.24460016666666</v>
      </c>
      <c r="N30">
        <f>+N4/12</f>
        <v>138.55556891666666</v>
      </c>
      <c r="O30">
        <f>+O4/12</f>
        <v>671.96081900000001</v>
      </c>
      <c r="P30">
        <f>+P4/12</f>
        <v>253.06694133333335</v>
      </c>
    </row>
    <row r="31" spans="1:16">
      <c r="A31" t="s">
        <v>19</v>
      </c>
      <c r="D31">
        <f t="shared" si="3"/>
        <v>3464.1666666666665</v>
      </c>
      <c r="E31">
        <f>+E5/12</f>
        <v>734.6243341666667</v>
      </c>
      <c r="F31">
        <f>+F5/12</f>
        <v>193.79962333333333</v>
      </c>
      <c r="G31">
        <f>+G5/12</f>
        <v>194.7137725</v>
      </c>
      <c r="H31">
        <f>+H5/12</f>
        <v>589.62621249999995</v>
      </c>
      <c r="I31">
        <f>+I5/12</f>
        <v>236.27239999999998</v>
      </c>
      <c r="J31">
        <f>+J5/12</f>
        <v>190.70557999999997</v>
      </c>
      <c r="K31">
        <f>+K5/12</f>
        <v>508.54821333333325</v>
      </c>
      <c r="L31">
        <f>+L5/12</f>
        <v>155.93275208333333</v>
      </c>
      <c r="M31">
        <f>+M5/12</f>
        <v>271.04522791666665</v>
      </c>
      <c r="N31">
        <f>+N5/12</f>
        <v>42.191499999999998</v>
      </c>
      <c r="O31">
        <f>+O5/12</f>
        <v>193.16675083333334</v>
      </c>
      <c r="P31">
        <f>+P5/12</f>
        <v>205.33196666666666</v>
      </c>
    </row>
    <row r="32" spans="1:16">
      <c r="A32" t="s">
        <v>20</v>
      </c>
      <c r="D32">
        <f t="shared" si="3"/>
        <v>4661.666666666667</v>
      </c>
      <c r="E32">
        <f>+E6/12</f>
        <v>705.00125666666679</v>
      </c>
      <c r="F32">
        <f>+F6/12</f>
        <v>271.45757099999997</v>
      </c>
      <c r="G32">
        <f>+G6/12</f>
        <v>202.37844916666666</v>
      </c>
      <c r="H32">
        <f>+H6/12</f>
        <v>843.29701683333326</v>
      </c>
      <c r="I32">
        <f>+I6/12</f>
        <v>290.02229849999998</v>
      </c>
      <c r="J32">
        <f>+J6/12</f>
        <v>281.31292016666663</v>
      </c>
      <c r="K32">
        <f>+K6/12</f>
        <v>631.33825149999996</v>
      </c>
      <c r="L32">
        <f>+L6/12</f>
        <v>145.62997349999998</v>
      </c>
      <c r="M32">
        <f>+M6/12</f>
        <v>476.67802783333332</v>
      </c>
      <c r="N32">
        <f>+N6/12</f>
        <v>21.681768166666668</v>
      </c>
      <c r="O32">
        <f>+O6/12</f>
        <v>320.09257316666668</v>
      </c>
      <c r="P32">
        <f>+P6/12</f>
        <v>394.99322683333338</v>
      </c>
    </row>
    <row r="33" spans="1:16">
      <c r="A33" t="s">
        <v>21</v>
      </c>
      <c r="D33">
        <f t="shared" si="3"/>
        <v>4320.833333333333</v>
      </c>
      <c r="E33">
        <f>+E7/12</f>
        <v>699.84469041666671</v>
      </c>
      <c r="F33">
        <f>+F7/12</f>
        <v>189.9789815</v>
      </c>
      <c r="G33">
        <f>+G7/12</f>
        <v>168.29246225</v>
      </c>
      <c r="H33">
        <f>+H7/12</f>
        <v>737.29938058333335</v>
      </c>
      <c r="I33">
        <f>+I7/12</f>
        <v>250.59977799999999</v>
      </c>
      <c r="J33">
        <f>+J7/12</f>
        <v>192.26177299999998</v>
      </c>
      <c r="K33">
        <f>+K7/12</f>
        <v>669.61883999999998</v>
      </c>
      <c r="L33">
        <f>+L7/12</f>
        <v>128.17451533333332</v>
      </c>
      <c r="M33">
        <f>+M7/12</f>
        <v>339.24818124999996</v>
      </c>
      <c r="N33">
        <f>+N7/12</f>
        <v>15.894992666666665</v>
      </c>
      <c r="O33">
        <f>+O7/12</f>
        <v>311.6855875833333</v>
      </c>
      <c r="P33">
        <f>+P7/12</f>
        <v>524.40793624999992</v>
      </c>
    </row>
    <row r="34" spans="1:16">
      <c r="A34" t="s">
        <v>22</v>
      </c>
      <c r="D34">
        <f t="shared" si="3"/>
        <v>4973.333333333333</v>
      </c>
      <c r="E34">
        <f>+E8/12</f>
        <v>610.99136099999998</v>
      </c>
      <c r="F34">
        <f>+F8/12</f>
        <v>217.03540799999999</v>
      </c>
      <c r="G34">
        <f>+G8/12</f>
        <v>208.34626799999998</v>
      </c>
      <c r="H34">
        <f>+H8/12</f>
        <v>1217.4450599999998</v>
      </c>
      <c r="I34">
        <f>+I8/12</f>
        <v>293.98256999999995</v>
      </c>
      <c r="J34">
        <f>+J8/12</f>
        <v>277.56975</v>
      </c>
      <c r="K34">
        <f>+K8/12</f>
        <v>721.39171199999998</v>
      </c>
      <c r="L34">
        <f>+L8/12</f>
        <v>142.115712</v>
      </c>
      <c r="M34">
        <f>+M8/12</f>
        <v>469.21355999999997</v>
      </c>
      <c r="N34">
        <f>+N8/12</f>
        <v>46.921356000000003</v>
      </c>
      <c r="O34">
        <f>+O8/12</f>
        <v>190.29216599999998</v>
      </c>
      <c r="P34">
        <f>+P8/12</f>
        <v>431.99507699999998</v>
      </c>
    </row>
    <row r="35" spans="1:16">
      <c r="A35" t="s">
        <v>23</v>
      </c>
      <c r="D35">
        <f t="shared" si="3"/>
        <v>2617.5</v>
      </c>
      <c r="E35">
        <f>+E9/12</f>
        <v>548.75957849999998</v>
      </c>
      <c r="F35">
        <f>+F9/12</f>
        <v>123.48524875</v>
      </c>
      <c r="G35">
        <f>+G9/12</f>
        <v>151.36396699999997</v>
      </c>
      <c r="H35">
        <f>+H9/12</f>
        <v>329.51132374999997</v>
      </c>
      <c r="I35">
        <f>+I9/12</f>
        <v>101.10925225</v>
      </c>
      <c r="J35">
        <f>+J9/12</f>
        <v>151.62475949999998</v>
      </c>
      <c r="K35">
        <f>+K9/12</f>
        <v>340.41245024999995</v>
      </c>
      <c r="L35">
        <f>+L9/12</f>
        <v>130.03114049999999</v>
      </c>
      <c r="M35">
        <f>+M9/12</f>
        <v>108.698314</v>
      </c>
      <c r="N35">
        <f>+N9/12</f>
        <v>58.652233249999995</v>
      </c>
      <c r="O35">
        <f>+O9/12</f>
        <v>412.13038774999995</v>
      </c>
      <c r="P35">
        <f>+P9/12</f>
        <v>152.1463445</v>
      </c>
    </row>
    <row r="36" spans="1:16">
      <c r="A36" t="s">
        <v>24</v>
      </c>
      <c r="D36">
        <f t="shared" si="3"/>
        <v>6620.833333333333</v>
      </c>
      <c r="E36">
        <f>+E10/12</f>
        <v>1076.3568511666665</v>
      </c>
      <c r="F36">
        <f>+F10/12</f>
        <v>531.21444200000008</v>
      </c>
      <c r="G36">
        <f>+G10/12</f>
        <v>444.45296500000001</v>
      </c>
      <c r="H36">
        <f>+H10/12</f>
        <v>1224.5078394999998</v>
      </c>
      <c r="I36">
        <f>+I10/12</f>
        <v>484.72874266666668</v>
      </c>
      <c r="J36">
        <f>+J10/12</f>
        <v>567.94169299999987</v>
      </c>
      <c r="K36">
        <f>+K10/12</f>
        <v>1253.6057581666666</v>
      </c>
      <c r="L36">
        <f>+L10/12</f>
        <v>306.41527766666667</v>
      </c>
      <c r="M36">
        <f>+M10/12</f>
        <v>693.47082383333327</v>
      </c>
      <c r="N36">
        <f>+N10/12</f>
        <v>163.58707933333332</v>
      </c>
      <c r="O36">
        <f>+O10/12</f>
        <v>1428.2819833333333</v>
      </c>
      <c r="P36">
        <f>+P10/12</f>
        <v>696.66449783333337</v>
      </c>
    </row>
    <row r="37" spans="1:16">
      <c r="A37" t="s">
        <v>25</v>
      </c>
      <c r="D37">
        <f t="shared" si="3"/>
        <v>3911.6666666666665</v>
      </c>
      <c r="E37">
        <f>+E11/12</f>
        <v>744.73739999999998</v>
      </c>
      <c r="F37">
        <f>+F11/12</f>
        <v>138.03767999999999</v>
      </c>
      <c r="G37">
        <f>+G11/12</f>
        <v>280.13303999999999</v>
      </c>
      <c r="H37">
        <f>+H11/12</f>
        <v>444.73704000000004</v>
      </c>
      <c r="I37">
        <f>+I11/12</f>
        <v>325.34171999999995</v>
      </c>
      <c r="J37">
        <f>+J11/12</f>
        <v>176.66219999999998</v>
      </c>
      <c r="K37">
        <f>+K11/12</f>
        <v>586.60271999999998</v>
      </c>
      <c r="L37">
        <f>+L11/12</f>
        <v>104.38956</v>
      </c>
      <c r="M37">
        <f>+M11/12</f>
        <v>220.72247999999999</v>
      </c>
      <c r="N37">
        <f>+N11/12</f>
        <v>43.907160000000005</v>
      </c>
      <c r="O37">
        <f>+O11/12</f>
        <v>380.19695999999999</v>
      </c>
      <c r="P37">
        <f>+P11/12</f>
        <v>382.57031999999998</v>
      </c>
    </row>
    <row r="38" spans="1:16">
      <c r="A38" t="s">
        <v>26</v>
      </c>
      <c r="D38">
        <f t="shared" si="3"/>
        <v>2815.8333333333335</v>
      </c>
      <c r="E38">
        <f>+E12/12</f>
        <v>745.01006516666655</v>
      </c>
      <c r="F38">
        <f>+F12/12</f>
        <v>226.37253049999995</v>
      </c>
      <c r="G38">
        <f>+G12/12</f>
        <v>148.41604683333333</v>
      </c>
      <c r="H38">
        <f>+H12/12</f>
        <v>468.11231183333325</v>
      </c>
      <c r="I38">
        <f>+I12/12</f>
        <v>112.68359816666664</v>
      </c>
      <c r="J38">
        <f>+J12/12</f>
        <v>176.59412733333329</v>
      </c>
      <c r="K38">
        <f>+K12/12</f>
        <v>399.17511183333323</v>
      </c>
      <c r="L38">
        <f>+L12/12</f>
        <v>98.149338499999999</v>
      </c>
      <c r="M38">
        <f>+M12/12</f>
        <v>201.29662399999995</v>
      </c>
      <c r="N38">
        <f>+N12/12</f>
        <v>33.66433266666666</v>
      </c>
      <c r="O38">
        <f>+O12/12</f>
        <v>137.15630416666664</v>
      </c>
      <c r="P38">
        <f>+P12/12</f>
        <v>125.78166616666664</v>
      </c>
    </row>
    <row r="39" spans="1:16">
      <c r="A39" t="s">
        <v>27</v>
      </c>
      <c r="D39">
        <f t="shared" si="3"/>
        <v>3437.5</v>
      </c>
      <c r="E39">
        <f>+E13/12</f>
        <v>736.6875133333333</v>
      </c>
      <c r="F39">
        <f>+F13/12</f>
        <v>234.19694258333337</v>
      </c>
      <c r="G39">
        <f>+G13/12</f>
        <v>220.93514516666667</v>
      </c>
      <c r="H39">
        <f>+H13/12</f>
        <v>424.9819424166667</v>
      </c>
      <c r="I39">
        <f>+I13/12</f>
        <v>292.54174033333334</v>
      </c>
      <c r="J39">
        <f>+J13/12</f>
        <v>250.01865799999999</v>
      </c>
      <c r="K39">
        <f>+K13/12</f>
        <v>500.6061866666667</v>
      </c>
      <c r="L39">
        <f>+L13/12</f>
        <v>103.42779808333334</v>
      </c>
      <c r="M39">
        <f>+M13/12</f>
        <v>281.91096975000005</v>
      </c>
      <c r="N39">
        <f>+N13/12</f>
        <v>42.629745583333339</v>
      </c>
      <c r="O39">
        <f>+O13/12</f>
        <v>179.40758650000001</v>
      </c>
      <c r="P39">
        <f>+P13/12</f>
        <v>288.16854708333335</v>
      </c>
    </row>
    <row r="40" spans="1:16">
      <c r="A40" t="s">
        <v>28</v>
      </c>
      <c r="D40">
        <f t="shared" si="3"/>
        <v>6935.833333333333</v>
      </c>
      <c r="E40">
        <f>+E14/12</f>
        <v>1419.4066933333334</v>
      </c>
      <c r="F40">
        <f>+F14/12</f>
        <v>1175.7269049999998</v>
      </c>
      <c r="G40">
        <f>+G14/12</f>
        <v>719.80988166666657</v>
      </c>
      <c r="H40">
        <f>+H14/12</f>
        <v>1477.8000066666664</v>
      </c>
      <c r="I40">
        <f>+I14/12</f>
        <v>870.28495833333318</v>
      </c>
      <c r="J40">
        <f>+J14/12</f>
        <v>296.45835999999991</v>
      </c>
      <c r="K40">
        <f>+K14/12</f>
        <v>2029.1676383333331</v>
      </c>
      <c r="L40">
        <f>+L14/12</f>
        <v>189.77826833333327</v>
      </c>
      <c r="M40">
        <f>+M14/12</f>
        <v>615.37568666666652</v>
      </c>
      <c r="N40">
        <f>+N14/12</f>
        <v>133.63085166666664</v>
      </c>
      <c r="O40">
        <f>+O14/12</f>
        <v>806.27690333333328</v>
      </c>
      <c r="P40">
        <f>+P14/12</f>
        <v>1495.7671799999998</v>
      </c>
    </row>
    <row r="41" spans="1:16">
      <c r="A41" t="s">
        <v>29</v>
      </c>
      <c r="D41">
        <f t="shared" si="3"/>
        <v>3712.5</v>
      </c>
      <c r="E41">
        <f>+E15/12</f>
        <v>710.58819125000002</v>
      </c>
      <c r="F41">
        <f>+F15/12</f>
        <v>154.47569375</v>
      </c>
      <c r="G41">
        <f>+G15/12</f>
        <v>168.82980583333332</v>
      </c>
      <c r="H41">
        <f>+H15/12</f>
        <v>397.97869208333333</v>
      </c>
      <c r="I41">
        <f>+I15/12</f>
        <v>347.52060833333331</v>
      </c>
      <c r="J41">
        <f>+J15/12</f>
        <v>193.99920458333335</v>
      </c>
      <c r="K41">
        <f>+K15/12</f>
        <v>493.12935749999997</v>
      </c>
      <c r="L41">
        <f>+L15/12</f>
        <v>158.29285375000001</v>
      </c>
      <c r="M41">
        <f>+M15/12</f>
        <v>315.27355875000006</v>
      </c>
      <c r="N41">
        <f>+N15/12</f>
        <v>105.17071041666667</v>
      </c>
      <c r="O41">
        <f>+O15/12</f>
        <v>595.43719791666661</v>
      </c>
      <c r="P41">
        <f>+P15/12</f>
        <v>335.51245916666664</v>
      </c>
    </row>
    <row r="42" spans="1:16">
      <c r="A42" t="s">
        <v>30</v>
      </c>
      <c r="D42">
        <f t="shared" si="3"/>
        <v>5280</v>
      </c>
      <c r="E42">
        <f>+E16/12</f>
        <v>817.86363158333324</v>
      </c>
      <c r="F42">
        <f>+F16/12</f>
        <v>199.59039700000002</v>
      </c>
      <c r="G42">
        <f>+G16/12</f>
        <v>339.45246433333335</v>
      </c>
      <c r="H42">
        <f>+H16/12</f>
        <v>985.57057858333337</v>
      </c>
      <c r="I42">
        <f>+I16/12</f>
        <v>419.21422841666669</v>
      </c>
      <c r="J42">
        <f>+J16/12</f>
        <v>145.06969749999999</v>
      </c>
      <c r="K42">
        <f>+K16/12</f>
        <v>695.11234908333336</v>
      </c>
      <c r="L42">
        <f>+L16/12</f>
        <v>162.44617775</v>
      </c>
      <c r="M42">
        <f>+M16/12</f>
        <v>526.60831583333334</v>
      </c>
      <c r="N42">
        <f>+N16/12</f>
        <v>24.072004750000001</v>
      </c>
      <c r="O42">
        <f>+O16/12</f>
        <v>358.10428258333332</v>
      </c>
      <c r="P42">
        <f>+P16/12</f>
        <v>640.75106683333331</v>
      </c>
    </row>
    <row r="43" spans="1:16">
      <c r="A43" t="s">
        <v>31</v>
      </c>
      <c r="D43">
        <f t="shared" si="3"/>
        <v>2955.8333333333335</v>
      </c>
      <c r="E43">
        <f>+E17/12</f>
        <v>648.97828333333325</v>
      </c>
      <c r="F43">
        <f>+F17/12</f>
        <v>113.49643250000001</v>
      </c>
      <c r="G43">
        <f>+G17/12</f>
        <v>164.18851499999997</v>
      </c>
      <c r="H43">
        <f>+H17/12</f>
        <v>282.32050666666663</v>
      </c>
      <c r="I43">
        <f>+I17/12</f>
        <v>214.10301983333332</v>
      </c>
      <c r="J43">
        <f>+J17/12</f>
        <v>201.99075233333335</v>
      </c>
      <c r="K43">
        <f>+K17/12</f>
        <v>455.75023316666665</v>
      </c>
      <c r="L43">
        <f>+L17/12</f>
        <v>90.468170833333332</v>
      </c>
      <c r="M43">
        <f>+M17/12</f>
        <v>146.93227216666665</v>
      </c>
      <c r="N43">
        <f>+N17/12</f>
        <v>57.750095166666661</v>
      </c>
      <c r="O43">
        <f>+O17/12</f>
        <v>306.42541433333332</v>
      </c>
      <c r="P43">
        <f>+P17/12</f>
        <v>308.33945166666666</v>
      </c>
    </row>
    <row r="44" spans="1:16">
      <c r="A44" t="s">
        <v>32</v>
      </c>
      <c r="D44">
        <f t="shared" si="3"/>
        <v>2704.1666666666665</v>
      </c>
      <c r="E44">
        <f>+E18/12</f>
        <v>631.84465058333342</v>
      </c>
      <c r="F44">
        <f>+F18/12</f>
        <v>164.25375108333336</v>
      </c>
      <c r="G44">
        <f>+G18/12</f>
        <v>146.86832641666669</v>
      </c>
      <c r="H44">
        <f>+H18/12</f>
        <v>507.28578525000006</v>
      </c>
      <c r="I44">
        <f>+I18/12</f>
        <v>227.11086400000002</v>
      </c>
      <c r="J44">
        <f>+J18/12</f>
        <v>86.074357249999991</v>
      </c>
      <c r="K44">
        <f>+K18/12</f>
        <v>194.01803825000002</v>
      </c>
      <c r="L44">
        <f>+L18/12</f>
        <v>113.91304358333332</v>
      </c>
      <c r="M44">
        <f>+M18/12</f>
        <v>231.18213433333335</v>
      </c>
      <c r="N44">
        <f>+N18/12</f>
        <v>43.821173249999994</v>
      </c>
      <c r="O44">
        <f>+O18/12</f>
        <v>178.53070583333337</v>
      </c>
      <c r="P44">
        <f>+P18/12</f>
        <v>225.95550349999999</v>
      </c>
    </row>
    <row r="45" spans="1:16">
      <c r="A45" t="s">
        <v>33</v>
      </c>
      <c r="D45">
        <f t="shared" si="3"/>
        <v>3588.3333333333335</v>
      </c>
      <c r="E45">
        <f>+E19/12</f>
        <v>640.81048908333332</v>
      </c>
      <c r="F45">
        <f>+F19/12</f>
        <v>183.40550958333333</v>
      </c>
      <c r="G45">
        <f>+G19/12</f>
        <v>246.66132458333331</v>
      </c>
      <c r="H45">
        <f>+H19/12</f>
        <v>424.25020749999999</v>
      </c>
      <c r="I45">
        <f>+I19/12</f>
        <v>253.93210791666664</v>
      </c>
      <c r="J45">
        <f>+J19/12</f>
        <v>197.36541358333332</v>
      </c>
      <c r="K45">
        <f>+K19/12</f>
        <v>584.60733391666656</v>
      </c>
      <c r="L45">
        <f>+L19/12</f>
        <v>124.58487241666667</v>
      </c>
      <c r="M45">
        <f>+M19/12</f>
        <v>286.50521724999999</v>
      </c>
      <c r="N45">
        <f>+N19/12</f>
        <v>49.768511916666661</v>
      </c>
      <c r="O45">
        <f>+O19/12</f>
        <v>309.69901608333333</v>
      </c>
      <c r="P45">
        <f>+P19/12</f>
        <v>333.87437066666666</v>
      </c>
    </row>
    <row r="46" spans="1:16">
      <c r="A46" t="s">
        <v>34</v>
      </c>
      <c r="D46">
        <f t="shared" si="3"/>
        <v>3415</v>
      </c>
      <c r="E46">
        <f>+E20/12</f>
        <v>750.06164350000017</v>
      </c>
      <c r="F46">
        <f>+F20/12</f>
        <v>103.22946783333333</v>
      </c>
      <c r="G46">
        <f>+G20/12</f>
        <v>201.12416725000003</v>
      </c>
      <c r="H46">
        <f>+H20/12</f>
        <v>473.80898600000006</v>
      </c>
      <c r="I46">
        <f>+I20/12</f>
        <v>192.66329250000001</v>
      </c>
      <c r="J46">
        <f>+J20/12</f>
        <v>144.95619150000002</v>
      </c>
      <c r="K46">
        <f>+K20/12</f>
        <v>447.27106158333339</v>
      </c>
      <c r="L46">
        <f>+L20/12</f>
        <v>117.90857583333336</v>
      </c>
      <c r="M46">
        <f>+M20/12</f>
        <v>173.87267508333335</v>
      </c>
      <c r="N46">
        <f>+N20/12</f>
        <v>52.905951750000007</v>
      </c>
      <c r="O46">
        <f>+O20/12</f>
        <v>489.88125008333327</v>
      </c>
      <c r="P46">
        <f>+P20/12</f>
        <v>250.32636258333335</v>
      </c>
    </row>
    <row r="48" spans="1:16">
      <c r="A48" t="e">
        <f>_xlfn.STDEV.S(A28:A46)</f>
        <v>#DIV/0!</v>
      </c>
      <c r="B48" t="e">
        <f t="shared" ref="B48:P48" si="4">_xlfn.STDEV.S(B28:B46)</f>
        <v>#DIV/0!</v>
      </c>
      <c r="C48" t="e">
        <f t="shared" si="4"/>
        <v>#DIV/0!</v>
      </c>
      <c r="D48">
        <f t="shared" si="4"/>
        <v>1241.4270050115429</v>
      </c>
      <c r="E48">
        <f t="shared" si="4"/>
        <v>199.61093583953541</v>
      </c>
      <c r="F48">
        <f t="shared" si="4"/>
        <v>240.67652428226225</v>
      </c>
      <c r="G48">
        <f t="shared" si="4"/>
        <v>135.96344333465689</v>
      </c>
      <c r="H48">
        <f t="shared" si="4"/>
        <v>349.38444442406416</v>
      </c>
      <c r="I48">
        <f t="shared" si="4"/>
        <v>168.88567827564898</v>
      </c>
      <c r="J48">
        <f t="shared" si="4"/>
        <v>110.67084514817644</v>
      </c>
      <c r="K48">
        <f t="shared" si="4"/>
        <v>395.98228222944209</v>
      </c>
      <c r="L48">
        <f t="shared" si="4"/>
        <v>49.545937420522129</v>
      </c>
      <c r="M48">
        <f t="shared" si="4"/>
        <v>162.2250081668453</v>
      </c>
      <c r="N48">
        <f t="shared" si="4"/>
        <v>42.419826775912981</v>
      </c>
      <c r="O48">
        <f t="shared" si="4"/>
        <v>301.84166964133982</v>
      </c>
      <c r="P48">
        <f t="shared" si="4"/>
        <v>301.69150231628674</v>
      </c>
    </row>
    <row r="51" spans="5:11">
      <c r="E51">
        <v>1000</v>
      </c>
      <c r="F51">
        <v>2</v>
      </c>
      <c r="G51">
        <v>2000</v>
      </c>
      <c r="J51">
        <v>200</v>
      </c>
    </row>
    <row r="52" spans="5:11">
      <c r="E52">
        <v>850</v>
      </c>
      <c r="F52">
        <v>2</v>
      </c>
      <c r="G52">
        <v>1700</v>
      </c>
      <c r="J52">
        <v>600</v>
      </c>
    </row>
    <row r="53" spans="5:11">
      <c r="J53">
        <v>400</v>
      </c>
      <c r="K53">
        <f>400/600</f>
        <v>0.66666666666666663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DE67F-6467-4A9B-85CD-0FBC6E9DD574}">
  <dimension ref="A1:A15"/>
  <sheetViews>
    <sheetView workbookViewId="0">
      <selection activeCell="A15" sqref="A15"/>
    </sheetView>
  </sheetViews>
  <sheetFormatPr defaultRowHeight="15"/>
  <cols>
    <col min="1" max="1" width="28" bestFit="1" customWidth="1"/>
  </cols>
  <sheetData>
    <row r="1" spans="1:1">
      <c r="A1" s="4" t="s">
        <v>37</v>
      </c>
    </row>
    <row r="2" spans="1:1">
      <c r="A2" t="s">
        <v>38</v>
      </c>
    </row>
    <row r="3" spans="1:1">
      <c r="A3" t="s">
        <v>39</v>
      </c>
    </row>
    <row r="4" spans="1:1">
      <c r="A4" t="s">
        <v>40</v>
      </c>
    </row>
    <row r="5" spans="1:1">
      <c r="A5" t="s">
        <v>41</v>
      </c>
    </row>
    <row r="7" spans="1:1">
      <c r="A7" t="s">
        <v>42</v>
      </c>
    </row>
    <row r="8" spans="1:1">
      <c r="A8" t="s">
        <v>43</v>
      </c>
    </row>
    <row r="9" spans="1:1">
      <c r="A9" t="s">
        <v>44</v>
      </c>
    </row>
    <row r="10" spans="1:1">
      <c r="A10" t="s">
        <v>45</v>
      </c>
    </row>
    <row r="11" spans="1:1">
      <c r="A11" t="s">
        <v>46</v>
      </c>
    </row>
    <row r="14" spans="1:1">
      <c r="A14" t="s">
        <v>47</v>
      </c>
    </row>
    <row r="15" spans="1:1">
      <c r="A15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Ákos Kormos</dc:creator>
  <cp:keywords/>
  <dc:description/>
  <cp:lastModifiedBy/>
  <cp:revision/>
  <dcterms:created xsi:type="dcterms:W3CDTF">2015-06-05T18:19:34Z</dcterms:created>
  <dcterms:modified xsi:type="dcterms:W3CDTF">2022-10-22T18:41:19Z</dcterms:modified>
  <cp:category/>
  <cp:contentStatus/>
</cp:coreProperties>
</file>