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rlene\Desktop\"/>
    </mc:Choice>
  </mc:AlternateContent>
  <bookViews>
    <workbookView xWindow="0" yWindow="0" windowWidth="21525" windowHeight="10200"/>
  </bookViews>
  <sheets>
    <sheet name="Summary" sheetId="5" r:id="rId1"/>
    <sheet name="FY2015" sheetId="1" r:id="rId2"/>
    <sheet name="Staff 1" sheetId="2" r:id="rId3"/>
    <sheet name="Staff 2" sheetId="8" r:id="rId4"/>
    <sheet name="Intern 1" sheetId="7" r:id="rId5"/>
    <sheet name="Intern 2" sheetId="6" r:id="rId6"/>
  </sheets>
  <definedNames>
    <definedName name="Categories">Summary!$B$9:$B$17</definedName>
    <definedName name="Countries">OFFSET(Summary!$AW:$AW,8,0,COUNTA(Summary!$AW:$AW)-1,1)</definedName>
    <definedName name="_xlnm.Print_Area" localSheetId="1">'FY2015'!$A$4:$DX$4</definedName>
  </definedNames>
  <calcPr calcId="152511"/>
</workbook>
</file>

<file path=xl/calcChain.xml><?xml version="1.0" encoding="utf-8"?>
<calcChain xmlns="http://schemas.openxmlformats.org/spreadsheetml/2006/main">
  <c r="A1" i="1" l="1"/>
  <c r="DA4" i="1" l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A1" i="8"/>
  <c r="A1" i="6"/>
  <c r="A1" i="7"/>
  <c r="A1" i="2"/>
  <c r="T4" i="1" l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BB4" i="1"/>
  <c r="CA4" i="1"/>
  <c r="AJ10" i="5" l="1"/>
  <c r="AK10" i="5"/>
  <c r="AL10" i="5"/>
  <c r="AM10" i="5"/>
  <c r="AN10" i="5"/>
  <c r="AO10" i="5"/>
  <c r="AP10" i="5"/>
  <c r="AQ10" i="5"/>
  <c r="AR10" i="5"/>
  <c r="AS10" i="5"/>
  <c r="AT10" i="5"/>
  <c r="AU10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U9" i="5"/>
  <c r="AT9" i="5"/>
  <c r="AS9" i="5"/>
  <c r="AR9" i="5"/>
  <c r="AQ9" i="5"/>
  <c r="AP9" i="5"/>
  <c r="AM9" i="5"/>
  <c r="AO9" i="5"/>
  <c r="V10" i="5"/>
  <c r="W10" i="5"/>
  <c r="X10" i="5"/>
  <c r="Y10" i="5"/>
  <c r="Z10" i="5"/>
  <c r="AA10" i="5"/>
  <c r="AB10" i="5"/>
  <c r="AC10" i="5"/>
  <c r="AD10" i="5"/>
  <c r="AE10" i="5"/>
  <c r="AF10" i="5"/>
  <c r="V11" i="5"/>
  <c r="W11" i="5"/>
  <c r="X11" i="5"/>
  <c r="Y11" i="5"/>
  <c r="Z11" i="5"/>
  <c r="AA11" i="5"/>
  <c r="AB11" i="5"/>
  <c r="AC11" i="5"/>
  <c r="AD11" i="5"/>
  <c r="AE11" i="5"/>
  <c r="AF11" i="5"/>
  <c r="V12" i="5"/>
  <c r="W12" i="5"/>
  <c r="X12" i="5"/>
  <c r="Y12" i="5"/>
  <c r="Z12" i="5"/>
  <c r="AA12" i="5"/>
  <c r="AB12" i="5"/>
  <c r="AC12" i="5"/>
  <c r="AD12" i="5"/>
  <c r="AE12" i="5"/>
  <c r="AF12" i="5"/>
  <c r="V13" i="5"/>
  <c r="W13" i="5"/>
  <c r="X13" i="5"/>
  <c r="Y13" i="5"/>
  <c r="Z13" i="5"/>
  <c r="AA13" i="5"/>
  <c r="AB13" i="5"/>
  <c r="AC13" i="5"/>
  <c r="AD13" i="5"/>
  <c r="AE13" i="5"/>
  <c r="AF13" i="5"/>
  <c r="V14" i="5"/>
  <c r="W14" i="5"/>
  <c r="Z14" i="5"/>
  <c r="AA14" i="5"/>
  <c r="AD14" i="5"/>
  <c r="AE14" i="5"/>
  <c r="AF14" i="5"/>
  <c r="V15" i="5"/>
  <c r="W15" i="5"/>
  <c r="X15" i="5"/>
  <c r="Y15" i="5"/>
  <c r="Z15" i="5"/>
  <c r="AA15" i="5"/>
  <c r="AB15" i="5"/>
  <c r="AC15" i="5"/>
  <c r="AD15" i="5"/>
  <c r="AE15" i="5"/>
  <c r="AF15" i="5"/>
  <c r="V16" i="5"/>
  <c r="W16" i="5"/>
  <c r="X16" i="5"/>
  <c r="Y16" i="5"/>
  <c r="Z16" i="5"/>
  <c r="AA16" i="5"/>
  <c r="AB16" i="5"/>
  <c r="AC16" i="5"/>
  <c r="AD16" i="5"/>
  <c r="AE16" i="5"/>
  <c r="AF16" i="5"/>
  <c r="V17" i="5"/>
  <c r="W17" i="5"/>
  <c r="X17" i="5"/>
  <c r="Y17" i="5"/>
  <c r="Z17" i="5"/>
  <c r="AA17" i="5"/>
  <c r="AB17" i="5"/>
  <c r="AC17" i="5"/>
  <c r="AD17" i="5"/>
  <c r="AE17" i="5"/>
  <c r="AF17" i="5"/>
  <c r="AF9" i="5"/>
  <c r="AC9" i="5"/>
  <c r="AB9" i="5"/>
  <c r="Y9" i="5"/>
  <c r="X9" i="5"/>
  <c r="U10" i="5"/>
  <c r="U11" i="5"/>
  <c r="U12" i="5"/>
  <c r="U13" i="5"/>
  <c r="U15" i="5"/>
  <c r="U16" i="5"/>
  <c r="U17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K9" i="5"/>
  <c r="J9" i="5"/>
  <c r="AK9" i="5" l="1"/>
  <c r="AX10" i="5"/>
  <c r="AX25" i="5"/>
  <c r="AX26" i="5"/>
  <c r="AX17" i="5"/>
  <c r="AX29" i="5"/>
  <c r="AX24" i="5"/>
  <c r="AX20" i="5"/>
  <c r="AX16" i="5"/>
  <c r="AX12" i="5"/>
  <c r="AX13" i="5"/>
  <c r="AX9" i="5"/>
  <c r="AX28" i="5"/>
  <c r="AX23" i="5"/>
  <c r="AX19" i="5"/>
  <c r="AX15" i="5"/>
  <c r="AX11" i="5"/>
  <c r="AX30" i="5"/>
  <c r="AX21" i="5"/>
  <c r="AX31" i="5"/>
  <c r="AX27" i="5"/>
  <c r="AX22" i="5"/>
  <c r="AX18" i="5"/>
  <c r="AX14" i="5"/>
  <c r="AL9" i="5"/>
  <c r="AJ9" i="5"/>
  <c r="AN9" i="5"/>
  <c r="I10" i="5"/>
  <c r="L10" i="5" s="1"/>
  <c r="I11" i="5"/>
  <c r="L11" i="5" s="1"/>
  <c r="I12" i="5"/>
  <c r="L12" i="5" s="1"/>
  <c r="I13" i="5"/>
  <c r="L13" i="5" s="1"/>
  <c r="I14" i="5"/>
  <c r="L14" i="5" s="1"/>
  <c r="I15" i="5"/>
  <c r="L15" i="5" s="1"/>
  <c r="I16" i="5"/>
  <c r="L16" i="5" s="1"/>
  <c r="I17" i="5"/>
  <c r="L17" i="5" s="1"/>
  <c r="I9" i="5"/>
  <c r="L9" i="5" s="1"/>
  <c r="AE9" i="5" l="1"/>
  <c r="W9" i="5"/>
  <c r="L6" i="5"/>
  <c r="L5" i="5"/>
  <c r="L4" i="5"/>
  <c r="Y14" i="5" l="1"/>
  <c r="AC14" i="5"/>
  <c r="U14" i="5"/>
  <c r="X14" i="5"/>
  <c r="AB14" i="5"/>
  <c r="AH10" i="5"/>
  <c r="AH14" i="5"/>
  <c r="AH9" i="5"/>
  <c r="U9" i="5"/>
  <c r="Z9" i="5"/>
  <c r="AH11" i="5"/>
  <c r="AH15" i="5"/>
  <c r="AH13" i="5"/>
  <c r="AD9" i="5"/>
  <c r="AH12" i="5"/>
  <c r="AH16" i="5"/>
  <c r="AA9" i="5"/>
  <c r="AH17" i="5"/>
  <c r="V9" i="5"/>
  <c r="N9" i="5"/>
  <c r="O10" i="5"/>
  <c r="O11" i="5"/>
  <c r="O12" i="5"/>
  <c r="O13" i="5"/>
  <c r="O14" i="5"/>
  <c r="O15" i="5"/>
  <c r="O16" i="5"/>
  <c r="O17" i="5"/>
  <c r="R9" i="5"/>
  <c r="N10" i="5"/>
  <c r="N14" i="5"/>
  <c r="R12" i="5"/>
  <c r="R14" i="5"/>
  <c r="R17" i="5"/>
  <c r="N13" i="5"/>
  <c r="P10" i="5"/>
  <c r="P11" i="5"/>
  <c r="P12" i="5"/>
  <c r="P13" i="5"/>
  <c r="P14" i="5"/>
  <c r="P15" i="5"/>
  <c r="P16" i="5"/>
  <c r="P17" i="5"/>
  <c r="Q9" i="5"/>
  <c r="N11" i="5"/>
  <c r="N15" i="5"/>
  <c r="R11" i="5"/>
  <c r="R15" i="5"/>
  <c r="O9" i="5"/>
  <c r="Q10" i="5"/>
  <c r="Q11" i="5"/>
  <c r="Q12" i="5"/>
  <c r="Q13" i="5"/>
  <c r="Q14" i="5"/>
  <c r="Q15" i="5"/>
  <c r="Q16" i="5"/>
  <c r="Q17" i="5"/>
  <c r="P9" i="5"/>
  <c r="N12" i="5"/>
  <c r="N16" i="5"/>
  <c r="R10" i="5"/>
  <c r="R13" i="5"/>
  <c r="R16" i="5"/>
  <c r="N17" i="5"/>
  <c r="Y26" i="5" l="1"/>
  <c r="Y27" i="5"/>
  <c r="Y24" i="5"/>
  <c r="Y25" i="5"/>
  <c r="Y28" i="5"/>
  <c r="I31" i="5"/>
  <c r="C9" i="5" l="1"/>
  <c r="G10" i="5"/>
  <c r="G15" i="5"/>
  <c r="G9" i="5"/>
  <c r="G14" i="5"/>
  <c r="G12" i="5"/>
  <c r="G17" i="5"/>
  <c r="G16" i="5"/>
  <c r="G11" i="5"/>
  <c r="G13" i="5"/>
  <c r="D10" i="5"/>
  <c r="D14" i="5"/>
  <c r="D17" i="5"/>
  <c r="D11" i="5"/>
  <c r="D15" i="5"/>
  <c r="D13" i="5"/>
  <c r="D12" i="5"/>
  <c r="D16" i="5"/>
  <c r="D9" i="5"/>
  <c r="C10" i="5"/>
  <c r="I32" i="5"/>
  <c r="I29" i="5"/>
  <c r="I30" i="5"/>
  <c r="E10" i="5" l="1"/>
  <c r="E9" i="5"/>
  <c r="C11" i="5"/>
  <c r="E11" i="5" s="1"/>
  <c r="C16" i="5"/>
  <c r="E16" i="5" s="1"/>
  <c r="C13" i="5"/>
  <c r="E13" i="5" s="1"/>
  <c r="C17" i="5"/>
  <c r="E17" i="5" s="1"/>
  <c r="C14" i="5"/>
  <c r="E14" i="5" s="1"/>
  <c r="C12" i="5"/>
  <c r="E12" i="5" s="1"/>
  <c r="C15" i="5"/>
  <c r="E15" i="5" s="1"/>
  <c r="C26" i="5"/>
  <c r="C25" i="5"/>
  <c r="C24" i="5" l="1"/>
</calcChain>
</file>

<file path=xl/sharedStrings.xml><?xml version="1.0" encoding="utf-8"?>
<sst xmlns="http://schemas.openxmlformats.org/spreadsheetml/2006/main" count="465" uniqueCount="266">
  <si>
    <t>First Name</t>
  </si>
  <si>
    <t>Last Name</t>
  </si>
  <si>
    <t>City</t>
  </si>
  <si>
    <t xml:space="preserve">State </t>
  </si>
  <si>
    <t>Zip</t>
  </si>
  <si>
    <t>Case #</t>
  </si>
  <si>
    <t>Country of Origin</t>
  </si>
  <si>
    <t>Iraq</t>
  </si>
  <si>
    <t>Primary Language</t>
  </si>
  <si>
    <t>Somalia</t>
  </si>
  <si>
    <t>Iran</t>
  </si>
  <si>
    <t>Nepal</t>
  </si>
  <si>
    <t>Primary Ph #</t>
  </si>
  <si>
    <t>Secondary Ph #</t>
  </si>
  <si>
    <t>Date Case Opened</t>
  </si>
  <si>
    <t>Date Case Closed</t>
  </si>
  <si>
    <t>VOT</t>
  </si>
  <si>
    <t>SGBV</t>
  </si>
  <si>
    <t>Address</t>
  </si>
  <si>
    <t>1st call</t>
  </si>
  <si>
    <t>2nd call</t>
  </si>
  <si>
    <t>3rd call</t>
  </si>
  <si>
    <t>DV</t>
  </si>
  <si>
    <t>LGBT</t>
  </si>
  <si>
    <t>Reason Closed</t>
  </si>
  <si>
    <t>Bhutan</t>
  </si>
  <si>
    <t>Mexico</t>
  </si>
  <si>
    <t xml:space="preserve">LGBT </t>
  </si>
  <si>
    <t>Child Welfare</t>
  </si>
  <si>
    <t>Family Stabilization Specialist Data</t>
  </si>
  <si>
    <t xml:space="preserve">Agency : </t>
  </si>
  <si>
    <t>Total Number of Resources</t>
  </si>
  <si>
    <t xml:space="preserve">Sex Assualt </t>
  </si>
  <si>
    <t xml:space="preserve">Severe Mental Health </t>
  </si>
  <si>
    <t xml:space="preserve">Suicide Ideation </t>
  </si>
  <si>
    <t xml:space="preserve">Complications of Crime Committed </t>
  </si>
  <si>
    <t xml:space="preserve">Substance Abuse </t>
  </si>
  <si>
    <t xml:space="preserve">Elder Abuse </t>
  </si>
  <si>
    <t xml:space="preserve">Housing </t>
  </si>
  <si>
    <t>Dissability or Other Health</t>
  </si>
  <si>
    <t xml:space="preserve">Legal Issues (Other) </t>
  </si>
  <si>
    <t xml:space="preserve">Country of Origin </t>
  </si>
  <si>
    <t xml:space="preserve">Total </t>
  </si>
  <si>
    <t xml:space="preserve">Afghanistan </t>
  </si>
  <si>
    <t xml:space="preserve">Burundi </t>
  </si>
  <si>
    <t xml:space="preserve">Central African Republic </t>
  </si>
  <si>
    <t xml:space="preserve">Columbia </t>
  </si>
  <si>
    <t xml:space="preserve">Congo, Dem. Republic of </t>
  </si>
  <si>
    <t xml:space="preserve">Cuba </t>
  </si>
  <si>
    <t xml:space="preserve">Eritrea </t>
  </si>
  <si>
    <t xml:space="preserve">Reporting (Receiving Direct Services) </t>
  </si>
  <si>
    <t>Case stats</t>
  </si>
  <si>
    <t xml:space="preserve">Ethiopia </t>
  </si>
  <si>
    <t>Liberia</t>
  </si>
  <si>
    <t xml:space="preserve">Libya </t>
  </si>
  <si>
    <t xml:space="preserve">Other </t>
  </si>
  <si>
    <t xml:space="preserve">Total Hours (FSS + Intern) </t>
  </si>
  <si>
    <t>Sudan</t>
  </si>
  <si>
    <t>Total Resources Used</t>
  </si>
  <si>
    <t xml:space="preserve">Syria </t>
  </si>
  <si>
    <t xml:space="preserve">Total Intern Hours </t>
  </si>
  <si>
    <t xml:space="preserve">Viet Nam </t>
  </si>
  <si>
    <t xml:space="preserve">Total New Cases </t>
  </si>
  <si>
    <t xml:space="preserve">Total Ongoing Cases </t>
  </si>
  <si>
    <t>Period start:</t>
  </si>
  <si>
    <t>Period ending:</t>
  </si>
  <si>
    <t>Sexual assault</t>
  </si>
  <si>
    <t>Torture survivors</t>
  </si>
  <si>
    <t>Total FSS-Staff Hours (direct + indirect)</t>
  </si>
  <si>
    <t>Total Hours Intern (direct + indirect)</t>
  </si>
  <si>
    <t>Total Hours (FSS + Intern; direct + indirect)</t>
  </si>
  <si>
    <t>Sri Lanka</t>
  </si>
  <si>
    <t>Lebanon</t>
  </si>
  <si>
    <t>Referral reason</t>
  </si>
  <si>
    <t>Total number of cases closed in this time period</t>
  </si>
  <si>
    <t>Total cases active in this time period</t>
  </si>
  <si>
    <t>Disability or Other Health</t>
  </si>
  <si>
    <t>Total indirectly affected (other household members)</t>
  </si>
  <si>
    <t xml:space="preserve">Sex Assault </t>
  </si>
  <si>
    <t>Total number of ongoing cases in this time period</t>
  </si>
  <si>
    <t>Total number of new cases in this time period</t>
  </si>
  <si>
    <t>Notes</t>
  </si>
  <si>
    <t># times reported to CPS</t>
  </si>
  <si>
    <t># times reported to APS</t>
  </si>
  <si>
    <t># suicide attempts</t>
  </si>
  <si>
    <t># suicide deaths</t>
  </si>
  <si>
    <t># times police called</t>
  </si>
  <si>
    <t>Total Closed cases</t>
  </si>
  <si>
    <t>Calculated as active in this date range?</t>
  </si>
  <si>
    <t>DirectF1</t>
  </si>
  <si>
    <t>DirectF12</t>
  </si>
  <si>
    <t>DirectF2</t>
  </si>
  <si>
    <t>DirectF3</t>
  </si>
  <si>
    <t>DirectF4</t>
  </si>
  <si>
    <t>DirectF5</t>
  </si>
  <si>
    <t>DirectF6</t>
  </si>
  <si>
    <t>DirectF7</t>
  </si>
  <si>
    <t>DirectF8</t>
  </si>
  <si>
    <t>DirectF9</t>
  </si>
  <si>
    <t>DirectF10</t>
  </si>
  <si>
    <t>DirectF11</t>
  </si>
  <si>
    <t>IndirectF</t>
  </si>
  <si>
    <t>IndirectF2</t>
  </si>
  <si>
    <t>IndirectF3</t>
  </si>
  <si>
    <t>IndirectF4</t>
  </si>
  <si>
    <t>IndirectF5</t>
  </si>
  <si>
    <t>IndirectF6</t>
  </si>
  <si>
    <t>IndirectF7</t>
  </si>
  <si>
    <t>IndirectF8</t>
  </si>
  <si>
    <t>IndirectF9</t>
  </si>
  <si>
    <t>IndirectF10</t>
  </si>
  <si>
    <t>IndirectF11</t>
  </si>
  <si>
    <t>IndirectF12</t>
  </si>
  <si>
    <t>Sum, FSS for this range</t>
  </si>
  <si>
    <t>DirectI1</t>
  </si>
  <si>
    <t>IndirectI1</t>
  </si>
  <si>
    <t>DirectI2</t>
  </si>
  <si>
    <t>DirectI3</t>
  </si>
  <si>
    <t>DirectI4</t>
  </si>
  <si>
    <t>DirectI5</t>
  </si>
  <si>
    <t>DirectI6</t>
  </si>
  <si>
    <t>DirectI7</t>
  </si>
  <si>
    <t>DirectI8</t>
  </si>
  <si>
    <t>DirectI9</t>
  </si>
  <si>
    <t>DirectI10</t>
  </si>
  <si>
    <t>DirectI11</t>
  </si>
  <si>
    <t>DirectI12</t>
  </si>
  <si>
    <t>IndirectI2</t>
  </si>
  <si>
    <t>IndirectI3</t>
  </si>
  <si>
    <t>IndirectI4</t>
  </si>
  <si>
    <t>IndirectI5</t>
  </si>
  <si>
    <t>IndirectI6</t>
  </si>
  <si>
    <t>IndirectI7</t>
  </si>
  <si>
    <t>IndirectI8</t>
  </si>
  <si>
    <t>IndirectI9</t>
  </si>
  <si>
    <t>IndirectI10</t>
  </si>
  <si>
    <t>IndirectI11</t>
  </si>
  <si>
    <t>IndirectI12</t>
  </si>
  <si>
    <t>FSSR2</t>
  </si>
  <si>
    <t>FSSR3</t>
  </si>
  <si>
    <t>FSSR4</t>
  </si>
  <si>
    <t>FSSR6</t>
  </si>
  <si>
    <t>FSSR8</t>
  </si>
  <si>
    <t>FSSR10</t>
  </si>
  <si>
    <t>FSSR12</t>
  </si>
  <si>
    <t>FSSR5</t>
  </si>
  <si>
    <t>FSSR7</t>
  </si>
  <si>
    <t>FSSR9</t>
  </si>
  <si>
    <t>FSSR11</t>
  </si>
  <si>
    <t>InternR2</t>
  </si>
  <si>
    <t>InternR3</t>
  </si>
  <si>
    <t>InternR4</t>
  </si>
  <si>
    <t>InternR5</t>
  </si>
  <si>
    <t>InternR6</t>
  </si>
  <si>
    <t>InternR7</t>
  </si>
  <si>
    <t>InternR8</t>
  </si>
  <si>
    <t>InternR9</t>
  </si>
  <si>
    <t>InternR10</t>
  </si>
  <si>
    <t>InternR11</t>
  </si>
  <si>
    <t>InternR12</t>
  </si>
  <si>
    <t>FSSR1</t>
  </si>
  <si>
    <t>InternR1</t>
  </si>
  <si>
    <t>Sum, Intern for this range</t>
  </si>
  <si>
    <t>Sum, Resource for this range</t>
  </si>
  <si>
    <t>FSS row ref:</t>
  </si>
  <si>
    <t>Intern row ref:</t>
  </si>
  <si>
    <t>Resource row ref:</t>
  </si>
  <si>
    <t>Total reported to CPS</t>
  </si>
  <si>
    <t>Total reported to APS</t>
  </si>
  <si>
    <t>Total police called</t>
  </si>
  <si>
    <t>Total suicide attempts</t>
  </si>
  <si>
    <t>Total suicide deaths</t>
  </si>
  <si>
    <t>Categories of Service</t>
  </si>
  <si>
    <t>Sexual Assault</t>
  </si>
  <si>
    <t>Severe Mental Health</t>
  </si>
  <si>
    <t>Suicide Ideation</t>
  </si>
  <si>
    <t>Crime Complication</t>
  </si>
  <si>
    <t>Substance Abuse</t>
  </si>
  <si>
    <t>Elder Abuse</t>
  </si>
  <si>
    <t>Housing</t>
  </si>
  <si>
    <t>Legal Issues (Other)</t>
  </si>
  <si>
    <t>Co-occuring in household</t>
  </si>
  <si>
    <t>DV-HH</t>
  </si>
  <si>
    <t>Sexual assault-HH</t>
  </si>
  <si>
    <t>Severe Mental Health-HH</t>
  </si>
  <si>
    <t>Child Welfare-HH</t>
  </si>
  <si>
    <t>Suicide Ideation-HH</t>
  </si>
  <si>
    <t>LGBT-HH</t>
  </si>
  <si>
    <t>Crime Complication-HH</t>
  </si>
  <si>
    <t>Substance Abuse-HH</t>
  </si>
  <si>
    <t>Elder Abuse-HH</t>
  </si>
  <si>
    <t>Disability or Other Health-HH</t>
  </si>
  <si>
    <t>Legal Issues (Other)-HH</t>
  </si>
  <si>
    <t>Housing-HH</t>
  </si>
  <si>
    <t xml:space="preserve">Burma/Myanmar </t>
  </si>
  <si>
    <t>Other Countries (total by hand)</t>
  </si>
  <si>
    <t>Note: Formulas locked, but can enter start/end period and agency. If anything needs to be changed, go to Review--&gt;Unprotect Sheet, and the password is FSS</t>
  </si>
  <si>
    <t>Household information</t>
  </si>
  <si>
    <t>Co-occurring in household (use X's)</t>
  </si>
  <si>
    <t># in household (include client)</t>
  </si>
  <si>
    <t xml:space="preserve"> (use 1 for primary, 2 for secondaries)</t>
  </si>
  <si>
    <t>(use X's)</t>
  </si>
  <si>
    <t>Categories of Service and Case Stats</t>
  </si>
  <si>
    <t>Contact information</t>
  </si>
  <si>
    <t>(use cumulative for the year?)</t>
  </si>
  <si>
    <t>Attempts to contact and case status</t>
  </si>
  <si>
    <t>FSS Client Hours</t>
  </si>
  <si>
    <t>Intern Client Hours</t>
  </si>
  <si>
    <t>Resources Used</t>
  </si>
  <si>
    <t>Res2</t>
  </si>
  <si>
    <t>Case note3</t>
  </si>
  <si>
    <t>Res6</t>
  </si>
  <si>
    <t>Case note7</t>
  </si>
  <si>
    <t>Res10</t>
  </si>
  <si>
    <t>Case note11</t>
  </si>
  <si>
    <t>Hrs Dir2</t>
  </si>
  <si>
    <t>Hrs Dir3</t>
  </si>
  <si>
    <t>Hrs Dir4</t>
  </si>
  <si>
    <t>Hrs Dir5</t>
  </si>
  <si>
    <t>Hrs Dir6</t>
  </si>
  <si>
    <t>Hrs Dir7</t>
  </si>
  <si>
    <t>Hrs Dir8</t>
  </si>
  <si>
    <t>Hrs Dir9</t>
  </si>
  <si>
    <t>Hrs Dir10</t>
  </si>
  <si>
    <t>Hrs Dir11</t>
  </si>
  <si>
    <t>Hrs Dir12</t>
  </si>
  <si>
    <t>Hrs Dir1</t>
  </si>
  <si>
    <t>Hrs Ind1</t>
  </si>
  <si>
    <t>Hrs Ind2</t>
  </si>
  <si>
    <t>Hrs Ind3</t>
  </si>
  <si>
    <t>Hrs Ind4</t>
  </si>
  <si>
    <t>Hrs Ind5</t>
  </si>
  <si>
    <t>Hrs Ind6</t>
  </si>
  <si>
    <t>Hrs Ind7</t>
  </si>
  <si>
    <t>Hrs Ind8</t>
  </si>
  <si>
    <t>Hrs Ind9</t>
  </si>
  <si>
    <t>Hrs Ind10</t>
  </si>
  <si>
    <t>Hrs Ind11</t>
  </si>
  <si>
    <t>Hrs Ind12</t>
  </si>
  <si>
    <t>Res3</t>
  </si>
  <si>
    <t>Res4</t>
  </si>
  <si>
    <t>Res5</t>
  </si>
  <si>
    <t>Res7</t>
  </si>
  <si>
    <t>Res8</t>
  </si>
  <si>
    <t>Res9</t>
  </si>
  <si>
    <t>Res11</t>
  </si>
  <si>
    <t>Res12</t>
  </si>
  <si>
    <t>Res1</t>
  </si>
  <si>
    <t>Case note2</t>
  </si>
  <si>
    <t>Case note4</t>
  </si>
  <si>
    <t>Case note5</t>
  </si>
  <si>
    <t>Case note6</t>
  </si>
  <si>
    <t>Case note8</t>
  </si>
  <si>
    <t>Case note9</t>
  </si>
  <si>
    <t>Case note10</t>
  </si>
  <si>
    <t>Case note12</t>
  </si>
  <si>
    <t>Case note1</t>
  </si>
  <si>
    <t xml:space="preserve">Total Cases Active in this Time Period: </t>
  </si>
  <si>
    <t>IF YOU SORT, HAVE TO SORT BY SAME COL IN ALL NAMED SPREADSHEETS</t>
  </si>
  <si>
    <t>X</t>
  </si>
  <si>
    <t>Example</t>
  </si>
  <si>
    <t>Case</t>
  </si>
  <si>
    <t>Bhutanese</t>
  </si>
  <si>
    <t>Example place</t>
  </si>
  <si>
    <t>City1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</si>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</sst>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yyyy"/>
  </numFmts>
  <fonts count="31" x14ac:knownFonts="1">
    <font>
      <sz val="11"/>
      <color theme="1"/>
      <name val="Calibri"/>
      <family val="2"/>
      <scheme val="minor"/>
    </font>
    <font>
      <b/>
      <sz val="20"/>
      <name val="Calibri"/>
      <family val="2"/>
    </font>
    <font>
      <sz val="11"/>
      <name val="Calibri"/>
      <family val="2"/>
    </font>
    <font>
      <sz val="10"/>
      <name val="Times New Roman"/>
      <family val="1"/>
    </font>
    <font>
      <sz val="20"/>
      <name val="Calibri"/>
      <family val="2"/>
    </font>
    <font>
      <b/>
      <sz val="12"/>
      <name val="Calibri"/>
      <family val="2"/>
    </font>
    <font>
      <b/>
      <sz val="16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0"/>
      <color theme="1"/>
      <name val="Times New Roman"/>
      <family val="1"/>
    </font>
    <font>
      <sz val="14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theme="1"/>
      <name val="Times New Roman"/>
      <family val="1"/>
    </font>
    <font>
      <b/>
      <i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</font>
    <font>
      <sz val="16"/>
      <name val="Calibri"/>
      <family val="2"/>
    </font>
    <font>
      <sz val="12"/>
      <name val="Calibri"/>
      <family val="2"/>
    </font>
    <font>
      <b/>
      <sz val="16"/>
      <color theme="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6">
    <xf numFmtId="0" fontId="0" fillId="0" borderId="0" xfId="0"/>
    <xf numFmtId="0" fontId="8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9" fillId="4" borderId="0" xfId="0" applyFont="1" applyFill="1"/>
    <xf numFmtId="0" fontId="1" fillId="5" borderId="0" xfId="0" applyFont="1" applyFill="1"/>
    <xf numFmtId="0" fontId="10" fillId="5" borderId="0" xfId="0" applyFont="1" applyFill="1"/>
    <xf numFmtId="0" fontId="2" fillId="5" borderId="0" xfId="0" applyFont="1" applyFill="1"/>
    <xf numFmtId="0" fontId="9" fillId="5" borderId="0" xfId="0" applyFont="1" applyFill="1"/>
    <xf numFmtId="0" fontId="9" fillId="5" borderId="0" xfId="0" applyFont="1" applyFill="1" applyBorder="1"/>
    <xf numFmtId="0" fontId="3" fillId="5" borderId="0" xfId="0" applyFont="1" applyFill="1" applyBorder="1"/>
    <xf numFmtId="0" fontId="3" fillId="5" borderId="0" xfId="0" applyFont="1" applyFill="1"/>
    <xf numFmtId="0" fontId="11" fillId="5" borderId="0" xfId="0" applyFont="1" applyFill="1"/>
    <xf numFmtId="0" fontId="12" fillId="5" borderId="0" xfId="0" applyFont="1" applyFill="1" applyAlignment="1">
      <alignment horizontal="right"/>
    </xf>
    <xf numFmtId="0" fontId="12" fillId="5" borderId="0" xfId="0" applyFont="1" applyFill="1"/>
    <xf numFmtId="0" fontId="12" fillId="4" borderId="0" xfId="0" applyFont="1" applyFill="1" applyAlignment="1">
      <alignment horizontal="right"/>
    </xf>
    <xf numFmtId="0" fontId="12" fillId="4" borderId="0" xfId="0" applyFont="1" applyFill="1"/>
    <xf numFmtId="0" fontId="2" fillId="4" borderId="0" xfId="0" applyFont="1" applyFill="1"/>
    <xf numFmtId="0" fontId="9" fillId="4" borderId="0" xfId="0" applyFont="1" applyFill="1" applyBorder="1"/>
    <xf numFmtId="0" fontId="11" fillId="4" borderId="0" xfId="0" applyFont="1" applyFill="1" applyBorder="1"/>
    <xf numFmtId="0" fontId="11" fillId="4" borderId="0" xfId="0" applyFont="1" applyFill="1"/>
    <xf numFmtId="0" fontId="9" fillId="4" borderId="1" xfId="0" applyFont="1" applyFill="1" applyBorder="1"/>
    <xf numFmtId="0" fontId="9" fillId="4" borderId="3" xfId="0" applyFont="1" applyFill="1" applyBorder="1"/>
    <xf numFmtId="0" fontId="9" fillId="4" borderId="10" xfId="0" applyFont="1" applyFill="1" applyBorder="1"/>
    <xf numFmtId="0" fontId="13" fillId="4" borderId="3" xfId="0" applyFont="1" applyFill="1" applyBorder="1"/>
    <xf numFmtId="0" fontId="9" fillId="4" borderId="13" xfId="0" applyFont="1" applyFill="1" applyBorder="1"/>
    <xf numFmtId="0" fontId="4" fillId="4" borderId="0" xfId="0" applyFont="1" applyFill="1" applyBorder="1" applyAlignment="1">
      <alignment horizontal="center" wrapText="1"/>
    </xf>
    <xf numFmtId="0" fontId="16" fillId="4" borderId="0" xfId="0" applyFont="1" applyFill="1" applyBorder="1"/>
    <xf numFmtId="0" fontId="9" fillId="4" borderId="0" xfId="0" applyFont="1" applyFill="1" applyBorder="1" applyAlignment="1">
      <alignment horizontal="center"/>
    </xf>
    <xf numFmtId="0" fontId="9" fillId="4" borderId="1" xfId="0" applyNumberFormat="1" applyFont="1" applyFill="1" applyBorder="1"/>
    <xf numFmtId="0" fontId="9" fillId="4" borderId="33" xfId="0" applyFont="1" applyFill="1" applyBorder="1"/>
    <xf numFmtId="0" fontId="12" fillId="4" borderId="0" xfId="0" applyFont="1" applyFill="1" applyBorder="1"/>
    <xf numFmtId="0" fontId="18" fillId="7" borderId="1" xfId="0" applyFont="1" applyFill="1" applyBorder="1" applyAlignment="1">
      <alignment textRotation="45" wrapText="1"/>
    </xf>
    <xf numFmtId="0" fontId="0" fillId="7" borderId="1" xfId="0" applyFont="1" applyFill="1" applyBorder="1" applyAlignment="1">
      <alignment textRotation="45" wrapText="1"/>
    </xf>
    <xf numFmtId="0" fontId="0" fillId="4" borderId="0" xfId="0" applyFont="1" applyFill="1"/>
    <xf numFmtId="0" fontId="0" fillId="9" borderId="3" xfId="0" applyFont="1" applyFill="1" applyBorder="1" applyAlignment="1">
      <alignment horizontal="center" textRotation="45" wrapText="1"/>
    </xf>
    <xf numFmtId="0" fontId="0" fillId="4" borderId="10" xfId="0" applyFont="1" applyFill="1" applyBorder="1" applyAlignment="1">
      <alignment horizontal="center" textRotation="45" wrapText="1"/>
    </xf>
    <xf numFmtId="0" fontId="7" fillId="8" borderId="23" xfId="0" applyFont="1" applyFill="1" applyBorder="1" applyAlignment="1">
      <alignment textRotation="45" wrapText="1"/>
    </xf>
    <xf numFmtId="0" fontId="0" fillId="8" borderId="3" xfId="0" applyFont="1" applyFill="1" applyBorder="1" applyAlignment="1">
      <alignment horizontal="center" textRotation="45" wrapText="1"/>
    </xf>
    <xf numFmtId="0" fontId="0" fillId="8" borderId="6" xfId="0" applyFont="1" applyFill="1" applyBorder="1" applyAlignment="1">
      <alignment horizontal="center" textRotation="45" wrapText="1"/>
    </xf>
    <xf numFmtId="0" fontId="0" fillId="4" borderId="6" xfId="0" applyFont="1" applyFill="1" applyBorder="1" applyAlignment="1">
      <alignment horizontal="center" textRotation="45" wrapText="1"/>
    </xf>
    <xf numFmtId="0" fontId="7" fillId="4" borderId="6" xfId="0" applyFont="1" applyFill="1" applyBorder="1"/>
    <xf numFmtId="0" fontId="7" fillId="7" borderId="1" xfId="0" applyFont="1" applyFill="1" applyBorder="1" applyAlignment="1">
      <alignment textRotation="45" wrapText="1"/>
    </xf>
    <xf numFmtId="0" fontId="0" fillId="4" borderId="10" xfId="0" applyFont="1" applyFill="1" applyBorder="1" applyAlignment="1">
      <alignment textRotation="45" wrapText="1"/>
    </xf>
    <xf numFmtId="0" fontId="0" fillId="4" borderId="0" xfId="0" applyFont="1" applyFill="1" applyBorder="1" applyAlignment="1">
      <alignment textRotation="45" wrapText="1"/>
    </xf>
    <xf numFmtId="0" fontId="0" fillId="4" borderId="6" xfId="0" applyFont="1" applyFill="1" applyBorder="1" applyAlignment="1">
      <alignment textRotation="45" wrapText="1"/>
    </xf>
    <xf numFmtId="0" fontId="19" fillId="4" borderId="0" xfId="0" applyFont="1" applyFill="1"/>
    <xf numFmtId="0" fontId="9" fillId="4" borderId="6" xfId="0" applyNumberFormat="1" applyFont="1" applyFill="1" applyBorder="1"/>
    <xf numFmtId="0" fontId="13" fillId="4" borderId="0" xfId="0" applyFont="1" applyFill="1"/>
    <xf numFmtId="0" fontId="14" fillId="4" borderId="0" xfId="0" applyFont="1" applyFill="1"/>
    <xf numFmtId="0" fontId="14" fillId="4" borderId="0" xfId="0" applyFont="1" applyFill="1" applyBorder="1"/>
    <xf numFmtId="0" fontId="22" fillId="4" borderId="0" xfId="0" applyFont="1" applyFill="1" applyBorder="1"/>
    <xf numFmtId="0" fontId="13" fillId="4" borderId="0" xfId="0" applyFont="1" applyFill="1" applyBorder="1"/>
    <xf numFmtId="0" fontId="13" fillId="4" borderId="11" xfId="0" applyFont="1" applyFill="1" applyBorder="1" applyAlignment="1"/>
    <xf numFmtId="0" fontId="13" fillId="4" borderId="9" xfId="0" applyFont="1" applyFill="1" applyBorder="1"/>
    <xf numFmtId="0" fontId="13" fillId="4" borderId="14" xfId="0" applyFont="1" applyFill="1" applyBorder="1"/>
    <xf numFmtId="0" fontId="13" fillId="4" borderId="15" xfId="0" applyFont="1" applyFill="1" applyBorder="1" applyAlignment="1"/>
    <xf numFmtId="0" fontId="13" fillId="4" borderId="16" xfId="0" applyFont="1" applyFill="1" applyBorder="1"/>
    <xf numFmtId="0" fontId="13" fillId="4" borderId="18" xfId="0" applyFont="1" applyFill="1" applyBorder="1"/>
    <xf numFmtId="0" fontId="22" fillId="4" borderId="0" xfId="0" applyFont="1" applyFill="1"/>
    <xf numFmtId="0" fontId="13" fillId="4" borderId="17" xfId="0" applyFont="1" applyFill="1" applyBorder="1" applyAlignment="1"/>
    <xf numFmtId="0" fontId="13" fillId="4" borderId="19" xfId="0" applyFont="1" applyFill="1" applyBorder="1"/>
    <xf numFmtId="0" fontId="13" fillId="4" borderId="11" xfId="0" applyFont="1" applyFill="1" applyBorder="1"/>
    <xf numFmtId="0" fontId="5" fillId="4" borderId="14" xfId="0" applyFont="1" applyFill="1" applyBorder="1"/>
    <xf numFmtId="0" fontId="13" fillId="4" borderId="15" xfId="0" applyFont="1" applyFill="1" applyBorder="1"/>
    <xf numFmtId="0" fontId="5" fillId="4" borderId="16" xfId="0" applyFont="1" applyFill="1" applyBorder="1"/>
    <xf numFmtId="0" fontId="5" fillId="4" borderId="22" xfId="0" applyFont="1" applyFill="1" applyBorder="1"/>
    <xf numFmtId="0" fontId="0" fillId="0" borderId="0" xfId="0" applyAlignment="1">
      <alignment vertical="center"/>
    </xf>
    <xf numFmtId="0" fontId="17" fillId="11" borderId="23" xfId="0" applyFont="1" applyFill="1" applyBorder="1" applyAlignment="1">
      <alignment horizontal="left" vertical="center" wrapText="1" indent="10"/>
    </xf>
    <xf numFmtId="0" fontId="17" fillId="11" borderId="23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/>
    <xf numFmtId="0" fontId="5" fillId="4" borderId="11" xfId="0" applyFont="1" applyFill="1" applyBorder="1"/>
    <xf numFmtId="0" fontId="5" fillId="4" borderId="15" xfId="0" applyFont="1" applyFill="1" applyBorder="1"/>
    <xf numFmtId="0" fontId="5" fillId="4" borderId="17" xfId="0" applyFont="1" applyFill="1" applyBorder="1"/>
    <xf numFmtId="0" fontId="5" fillId="4" borderId="18" xfId="0" applyFont="1" applyFill="1" applyBorder="1"/>
    <xf numFmtId="0" fontId="5" fillId="4" borderId="20" xfId="0" applyFont="1" applyFill="1" applyBorder="1"/>
    <xf numFmtId="0" fontId="5" fillId="4" borderId="21" xfId="0" applyFont="1" applyFill="1" applyBorder="1"/>
    <xf numFmtId="0" fontId="0" fillId="6" borderId="1" xfId="0" applyFont="1" applyFill="1" applyBorder="1" applyAlignment="1">
      <alignment textRotation="45" wrapText="1"/>
    </xf>
    <xf numFmtId="0" fontId="9" fillId="4" borderId="23" xfId="0" applyNumberFormat="1" applyFont="1" applyFill="1" applyBorder="1"/>
    <xf numFmtId="0" fontId="0" fillId="4" borderId="6" xfId="0" applyFont="1" applyFill="1" applyBorder="1" applyAlignment="1"/>
    <xf numFmtId="0" fontId="6" fillId="4" borderId="0" xfId="0" applyFont="1" applyFill="1" applyBorder="1" applyAlignment="1">
      <alignment vertical="center"/>
    </xf>
    <xf numFmtId="0" fontId="23" fillId="4" borderId="0" xfId="0" applyFont="1" applyFill="1" applyAlignment="1">
      <alignment vertical="center"/>
    </xf>
    <xf numFmtId="0" fontId="21" fillId="4" borderId="16" xfId="0" applyFont="1" applyFill="1" applyBorder="1" applyAlignment="1">
      <alignment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25" fillId="4" borderId="0" xfId="0" applyFont="1" applyFill="1" applyAlignment="1">
      <alignment vertical="center"/>
    </xf>
    <xf numFmtId="0" fontId="20" fillId="4" borderId="0" xfId="0" applyFont="1" applyFill="1" applyBorder="1" applyAlignment="1">
      <alignment vertical="center"/>
    </xf>
    <xf numFmtId="0" fontId="21" fillId="4" borderId="0" xfId="0" applyFont="1" applyFill="1" applyBorder="1" applyAlignment="1">
      <alignment vertical="center" wrapText="1"/>
    </xf>
    <xf numFmtId="0" fontId="6" fillId="4" borderId="34" xfId="0" applyFont="1" applyFill="1" applyBorder="1" applyAlignment="1">
      <alignment vertical="center"/>
    </xf>
    <xf numFmtId="0" fontId="0" fillId="12" borderId="1" xfId="0" applyFont="1" applyFill="1" applyBorder="1" applyAlignment="1">
      <alignment horizontal="right" textRotation="45" wrapText="1"/>
    </xf>
    <xf numFmtId="0" fontId="0" fillId="10" borderId="6" xfId="0" applyFont="1" applyFill="1" applyBorder="1" applyAlignment="1">
      <alignment horizontal="center" textRotation="45" wrapText="1"/>
    </xf>
    <xf numFmtId="0" fontId="0" fillId="10" borderId="3" xfId="0" applyFont="1" applyFill="1" applyBorder="1" applyAlignment="1">
      <alignment horizontal="center" textRotation="45" wrapText="1"/>
    </xf>
    <xf numFmtId="0" fontId="7" fillId="11" borderId="1" xfId="0" applyFont="1" applyFill="1" applyBorder="1" applyAlignment="1">
      <alignment textRotation="45" wrapText="1"/>
    </xf>
    <xf numFmtId="0" fontId="26" fillId="5" borderId="0" xfId="0" applyFont="1" applyFill="1"/>
    <xf numFmtId="0" fontId="15" fillId="4" borderId="1" xfId="0" applyFont="1" applyFill="1" applyBorder="1"/>
    <xf numFmtId="0" fontId="27" fillId="4" borderId="1" xfId="0" applyNumberFormat="1" applyFont="1" applyFill="1" applyBorder="1"/>
    <xf numFmtId="0" fontId="27" fillId="4" borderId="6" xfId="0" applyNumberFormat="1" applyFont="1" applyFill="1" applyBorder="1"/>
    <xf numFmtId="0" fontId="7" fillId="6" borderId="1" xfId="0" applyFont="1" applyFill="1" applyBorder="1" applyAlignment="1">
      <alignment textRotation="45" wrapText="1"/>
    </xf>
    <xf numFmtId="0" fontId="28" fillId="4" borderId="1" xfId="0" applyFont="1" applyFill="1" applyBorder="1"/>
    <xf numFmtId="0" fontId="7" fillId="4" borderId="31" xfId="0" applyFont="1" applyFill="1" applyBorder="1" applyAlignment="1">
      <alignment horizontal="center"/>
    </xf>
    <xf numFmtId="0" fontId="12" fillId="13" borderId="0" xfId="0" applyFont="1" applyFill="1" applyProtection="1">
      <protection locked="0"/>
    </xf>
    <xf numFmtId="0" fontId="2" fillId="13" borderId="0" xfId="0" applyFont="1" applyFill="1" applyProtection="1">
      <protection locked="0"/>
    </xf>
    <xf numFmtId="0" fontId="9" fillId="4" borderId="1" xfId="0" applyFont="1" applyFill="1" applyBorder="1" applyProtection="1">
      <protection locked="0"/>
    </xf>
    <xf numFmtId="0" fontId="9" fillId="4" borderId="1" xfId="0" applyNumberFormat="1" applyFont="1" applyFill="1" applyBorder="1" applyProtection="1">
      <protection locked="0"/>
    </xf>
    <xf numFmtId="0" fontId="0" fillId="14" borderId="0" xfId="0" applyFont="1" applyFill="1" applyBorder="1" applyAlignment="1">
      <alignment vertical="center" wrapText="1"/>
    </xf>
    <xf numFmtId="0" fontId="0" fillId="14" borderId="33" xfId="0" applyFont="1" applyFill="1" applyBorder="1" applyAlignment="1">
      <alignment vertical="center" wrapText="1"/>
    </xf>
    <xf numFmtId="0" fontId="7" fillId="14" borderId="1" xfId="0" applyFont="1" applyFill="1" applyBorder="1" applyAlignment="1">
      <alignment vertical="center" wrapText="1"/>
    </xf>
    <xf numFmtId="164" fontId="7" fillId="14" borderId="4" xfId="0" applyNumberFormat="1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vertical="center" wrapText="1"/>
    </xf>
    <xf numFmtId="0" fontId="17" fillId="11" borderId="31" xfId="0" applyFont="1" applyFill="1" applyBorder="1" applyAlignment="1">
      <alignment horizontal="center" vertical="center" wrapText="1"/>
    </xf>
    <xf numFmtId="0" fontId="7" fillId="14" borderId="12" xfId="0" applyFont="1" applyFill="1" applyBorder="1" applyAlignment="1">
      <alignment horizontal="center" vertical="center" wrapText="1"/>
    </xf>
    <xf numFmtId="0" fontId="7" fillId="14" borderId="23" xfId="0" applyFont="1" applyFill="1" applyBorder="1" applyAlignment="1">
      <alignment horizontal="center" vertical="center" wrapText="1"/>
    </xf>
    <xf numFmtId="0" fontId="7" fillId="8" borderId="2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textRotation="45" wrapText="1"/>
    </xf>
    <xf numFmtId="0" fontId="7" fillId="8" borderId="10" xfId="0" applyFont="1" applyFill="1" applyBorder="1" applyAlignment="1">
      <alignment horizontal="center" vertical="center" textRotation="45" wrapText="1"/>
    </xf>
    <xf numFmtId="14" fontId="7" fillId="14" borderId="23" xfId="0" applyNumberFormat="1" applyFont="1" applyFill="1" applyBorder="1" applyAlignment="1">
      <alignment horizontal="left" vertical="center" wrapText="1" indent="10"/>
    </xf>
    <xf numFmtId="0" fontId="7" fillId="10" borderId="23" xfId="0" applyFont="1" applyFill="1" applyBorder="1" applyAlignment="1">
      <alignment horizontal="center" vertical="center" textRotation="45" wrapText="1"/>
    </xf>
    <xf numFmtId="0" fontId="7" fillId="10" borderId="31" xfId="0" applyFont="1" applyFill="1" applyBorder="1" applyAlignment="1">
      <alignment horizontal="center" vertical="center" textRotation="45" wrapText="1"/>
    </xf>
    <xf numFmtId="0" fontId="7" fillId="9" borderId="32" xfId="0" applyFont="1" applyFill="1" applyBorder="1" applyAlignment="1">
      <alignment horizontal="center" vertical="center" textRotation="45" wrapText="1"/>
    </xf>
    <xf numFmtId="0" fontId="8" fillId="9" borderId="23" xfId="0" applyFont="1" applyFill="1" applyBorder="1" applyAlignment="1">
      <alignment horizontal="center" vertical="center" textRotation="45" wrapText="1"/>
    </xf>
    <xf numFmtId="0" fontId="7" fillId="9" borderId="31" xfId="0" applyFont="1" applyFill="1" applyBorder="1" applyAlignment="1">
      <alignment horizontal="center" vertical="center" textRotation="45" wrapText="1"/>
    </xf>
    <xf numFmtId="0" fontId="7" fillId="14" borderId="23" xfId="0" applyFont="1" applyFill="1" applyBorder="1" applyAlignment="1">
      <alignment horizontal="center" vertical="center" textRotation="45" wrapText="1"/>
    </xf>
    <xf numFmtId="0" fontId="7" fillId="12" borderId="32" xfId="0" applyFont="1" applyFill="1" applyBorder="1" applyAlignment="1">
      <alignment horizontal="center" vertical="center" textRotation="45" wrapText="1"/>
    </xf>
    <xf numFmtId="0" fontId="7" fillId="12" borderId="23" xfId="0" applyFont="1" applyFill="1" applyBorder="1" applyAlignment="1">
      <alignment horizontal="center" vertical="center" textRotation="45" wrapText="1"/>
    </xf>
    <xf numFmtId="0" fontId="7" fillId="14" borderId="12" xfId="0" applyFont="1" applyFill="1" applyBorder="1" applyAlignment="1">
      <alignment horizontal="left" vertical="center" wrapText="1" indent="12"/>
    </xf>
    <xf numFmtId="0" fontId="8" fillId="6" borderId="23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11" borderId="24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7" fillId="14" borderId="12" xfId="0" applyFont="1" applyFill="1" applyBorder="1" applyAlignment="1">
      <alignment horizontal="center" vertical="top" wrapText="1"/>
    </xf>
    <xf numFmtId="0" fontId="7" fillId="14" borderId="23" xfId="0" applyFont="1" applyFill="1" applyBorder="1" applyAlignment="1">
      <alignment horizontal="center" vertical="top" wrapText="1"/>
    </xf>
    <xf numFmtId="0" fontId="0" fillId="6" borderId="0" xfId="0" applyFill="1"/>
    <xf numFmtId="0" fontId="0" fillId="3" borderId="0" xfId="0" applyFill="1"/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14" fontId="0" fillId="0" borderId="0" xfId="0" applyNumberFormat="1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vertical="top" wrapText="1"/>
      <protection locked="0"/>
    </xf>
    <xf numFmtId="0" fontId="0" fillId="0" borderId="0" xfId="0" applyFill="1" applyBorder="1" applyAlignment="1">
      <alignment horizontal="center" vertical="center"/>
    </xf>
    <xf numFmtId="0" fontId="30" fillId="11" borderId="23" xfId="0" applyNumberFormat="1" applyFont="1" applyFill="1" applyBorder="1" applyAlignment="1" applyProtection="1">
      <alignment horizontal="left" vertical="center" wrapText="1" indent="10"/>
    </xf>
    <xf numFmtId="0" fontId="30" fillId="11" borderId="31" xfId="0" applyFont="1" applyFill="1" applyBorder="1" applyAlignment="1">
      <alignment horizontal="center" vertical="center" wrapText="1"/>
    </xf>
    <xf numFmtId="0" fontId="0" fillId="0" borderId="28" xfId="0" applyFill="1" applyBorder="1" applyAlignment="1" applyProtection="1">
      <alignment horizontal="center" vertical="center"/>
      <protection locked="0"/>
    </xf>
    <xf numFmtId="0" fontId="30" fillId="11" borderId="23" xfId="0" applyFont="1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30" fillId="11" borderId="13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horizontal="center" vertical="center" wrapText="1"/>
    </xf>
    <xf numFmtId="0" fontId="24" fillId="4" borderId="34" xfId="0" applyFont="1" applyFill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21" fillId="4" borderId="16" xfId="0" applyFont="1" applyFill="1" applyBorder="1" applyAlignment="1">
      <alignment horizontal="center" vertical="center" wrapText="1"/>
    </xf>
    <xf numFmtId="0" fontId="21" fillId="4" borderId="17" xfId="0" applyFont="1" applyFill="1" applyBorder="1" applyAlignment="1">
      <alignment horizontal="center" vertical="center" wrapText="1"/>
    </xf>
    <xf numFmtId="0" fontId="21" fillId="4" borderId="19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17" fontId="12" fillId="13" borderId="0" xfId="0" applyNumberFormat="1" applyFont="1" applyFill="1" applyAlignment="1" applyProtection="1">
      <alignment horizontal="center"/>
      <protection locked="0"/>
    </xf>
    <xf numFmtId="0" fontId="21" fillId="4" borderId="15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/>
    </xf>
    <xf numFmtId="0" fontId="21" fillId="4" borderId="14" xfId="0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0" fontId="21" fillId="4" borderId="16" xfId="0" applyFont="1" applyFill="1" applyBorder="1" applyAlignment="1">
      <alignment horizontal="center" vertical="center"/>
    </xf>
    <xf numFmtId="0" fontId="21" fillId="4" borderId="17" xfId="0" applyFont="1" applyFill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0" fontId="21" fillId="4" borderId="18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164" fontId="7" fillId="14" borderId="7" xfId="0" applyNumberFormat="1" applyFont="1" applyFill="1" applyBorder="1" applyAlignment="1">
      <alignment horizontal="center" vertical="center" wrapText="1"/>
    </xf>
    <xf numFmtId="164" fontId="7" fillId="14" borderId="2" xfId="0" applyNumberFormat="1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 wrapText="1"/>
    </xf>
    <xf numFmtId="0" fontId="29" fillId="2" borderId="26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164" fontId="7" fillId="14" borderId="26" xfId="0" applyNumberFormat="1" applyFont="1" applyFill="1" applyBorder="1" applyAlignment="1">
      <alignment horizontal="center" vertical="center" wrapText="1"/>
    </xf>
    <xf numFmtId="0" fontId="29" fillId="2" borderId="10" xfId="0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center" vertical="center" wrapText="1"/>
    </xf>
    <xf numFmtId="0" fontId="29" fillId="2" borderId="3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0" fillId="14" borderId="31" xfId="0" applyFont="1" applyFill="1" applyBorder="1" applyAlignment="1">
      <alignment horizontal="center" vertical="center" wrapText="1"/>
    </xf>
    <xf numFmtId="0" fontId="0" fillId="14" borderId="13" xfId="0" applyFont="1" applyFill="1" applyBorder="1" applyAlignment="1">
      <alignment horizontal="center" vertical="center" wrapText="1"/>
    </xf>
    <xf numFmtId="0" fontId="7" fillId="14" borderId="31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0" fontId="7" fillId="14" borderId="12" xfId="0" applyFont="1" applyFill="1" applyBorder="1" applyAlignment="1">
      <alignment horizontal="center" vertical="center" wrapText="1"/>
    </xf>
    <xf numFmtId="0" fontId="7" fillId="14" borderId="10" xfId="0" applyFont="1" applyFill="1" applyBorder="1" applyAlignment="1">
      <alignment horizontal="center" vertical="center" wrapText="1"/>
    </xf>
    <xf numFmtId="0" fontId="7" fillId="14" borderId="0" xfId="0" applyFont="1" applyFill="1" applyBorder="1" applyAlignment="1">
      <alignment horizontal="center" vertical="center" wrapText="1"/>
    </xf>
    <xf numFmtId="0" fontId="7" fillId="14" borderId="30" xfId="0" applyFont="1" applyFill="1" applyBorder="1" applyAlignment="1">
      <alignment horizontal="center" vertical="center" wrapText="1"/>
    </xf>
    <xf numFmtId="0" fontId="7" fillId="14" borderId="29" xfId="0" applyFont="1" applyFill="1" applyBorder="1" applyAlignment="1">
      <alignment horizontal="center" vertical="center" wrapText="1"/>
    </xf>
    <xf numFmtId="0" fontId="7" fillId="14" borderId="33" xfId="0" applyFont="1" applyFill="1" applyBorder="1" applyAlignment="1">
      <alignment horizontal="center" vertical="center" wrapText="1"/>
    </xf>
    <xf numFmtId="0" fontId="29" fillId="2" borderId="27" xfId="0" applyFont="1" applyFill="1" applyBorder="1" applyAlignment="1">
      <alignment horizontal="center" vertical="center" wrapText="1"/>
    </xf>
    <xf numFmtId="0" fontId="29" fillId="2" borderId="25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center" vertical="center" wrapText="1"/>
    </xf>
    <xf numFmtId="0" fontId="29" fillId="2" borderId="6" xfId="0" applyFont="1" applyFill="1" applyBorder="1" applyAlignment="1">
      <alignment horizontal="center" vertical="center" wrapText="1"/>
    </xf>
    <xf numFmtId="0" fontId="29" fillId="2" borderId="23" xfId="0" applyFont="1" applyFill="1" applyBorder="1" applyAlignment="1">
      <alignment horizontal="center" vertical="center" wrapText="1"/>
    </xf>
    <xf numFmtId="17" fontId="29" fillId="2" borderId="6" xfId="0" applyNumberFormat="1" applyFont="1" applyFill="1" applyBorder="1" applyAlignment="1">
      <alignment horizontal="center" vertical="center" wrapText="1"/>
    </xf>
    <xf numFmtId="17" fontId="29" fillId="2" borderId="23" xfId="0" applyNumberFormat="1" applyFont="1" applyFill="1" applyBorder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362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/>
        <top style="thin">
          <color auto="1"/>
        </top>
        <bottom style="thin">
          <color auto="1"/>
        </bottom>
      </border>
    </dxf>
    <dxf>
      <font>
        <b/>
        <i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/>
        <i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>
        <right style="thin">
          <color indexed="64"/>
        </right>
      </border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alignment horizontal="general" vertical="top" textRotation="0" wrapText="1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numFmt numFmtId="19" formatCode="m/d/yyyy"/>
      <alignment horizontal="general"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numFmt numFmtId="19" formatCode="m/d/yyyy"/>
      <alignment horizontal="general" vertical="center" textRotation="0" wrapText="0" indent="0" justifyLastLine="0" shrinkToFit="0" readingOrder="0"/>
      <border outline="0">
        <left style="thin">
          <color indexed="64"/>
        </left>
      </border>
      <protection locked="0" hidden="0"/>
    </dxf>
    <dxf>
      <font>
        <b/>
        <i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left" vertical="center" textRotation="0" wrapText="1" indent="1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0"/>
    </dxf>
    <dxf>
      <alignment horizontal="center" vertical="center" textRotation="0" wrapText="0" indent="0" justifyLastLine="0" shrinkToFit="0" readingOrder="0"/>
      <border outline="0">
        <right style="thin">
          <color indexed="64"/>
        </right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DX4" totalsRowShown="0" headerRowDxfId="361" dataDxfId="359" headerRowBorderDxfId="360" tableBorderDxfId="358" totalsRowBorderDxfId="357" dataCellStyle="Normal">
  <autoFilter ref="A3:DX4"/>
  <sortState ref="A4:DX77">
    <sortCondition ref="A3:A77"/>
  </sortState>
  <tableColumns count="128">
    <tableColumn id="1" name="First Name" dataDxfId="356" dataCellStyle="Normal"/>
    <tableColumn id="2" name="Last Name" dataDxfId="355" dataCellStyle="Normal"/>
    <tableColumn id="5" name="Case #" dataDxfId="354" dataCellStyle="Normal"/>
    <tableColumn id="3" name="Referral reason" dataDxfId="353" dataCellStyle="Normal"/>
    <tableColumn id="6" name="Country of Origin" dataDxfId="352" dataCellStyle="Normal"/>
    <tableColumn id="7" name="Primary Language" dataDxfId="351" dataCellStyle="Normal"/>
    <tableColumn id="4" name="# in household (include client)" dataDxfId="350" dataCellStyle="Normal"/>
    <tableColumn id="125" name="DV-HH" dataDxfId="349" dataCellStyle="Normal"/>
    <tableColumn id="126" name="Sexual assault-HH" dataDxfId="348" dataCellStyle="Normal"/>
    <tableColumn id="127" name="Severe Mental Health-HH" dataDxfId="347" dataCellStyle="Normal"/>
    <tableColumn id="128" name="Child Welfare-HH" dataDxfId="346" dataCellStyle="Normal"/>
    <tableColumn id="124" name="Suicide Ideation-HH" dataDxfId="345" dataCellStyle="Normal"/>
    <tableColumn id="122" name="LGBT-HH" dataDxfId="344" dataCellStyle="Normal"/>
    <tableColumn id="123" name="Crime Complication-HH" dataDxfId="343" dataCellStyle="Normal"/>
    <tableColumn id="121" name="Substance Abuse-HH" dataDxfId="342" dataCellStyle="Normal"/>
    <tableColumn id="120" name="Elder Abuse-HH" dataDxfId="341" dataCellStyle="Normal"/>
    <tableColumn id="129" name="Housing-HH" dataDxfId="340" dataCellStyle="Normal"/>
    <tableColumn id="130" name="Disability or Other Health-HH" dataDxfId="339" dataCellStyle="Normal"/>
    <tableColumn id="131" name="Legal Issues (Other)-HH" dataDxfId="338" dataCellStyle="Normal"/>
    <tableColumn id="95" name="Calculated as active in this date range?" dataDxfId="337" dataCellStyle="Normal">
      <calculatedColumnFormula>IF(ISBLANK(Table1[[#This Row],[Date Case Opened]]),
        0,
        IF(Table1[[#This Row],[Date Case Opened]]&gt;Summary!$L$2,
             0,
             IF(AND(AND(Table1[[#This Row],[Date Case Opened]]&gt;=Summary!$C$2,Table1[[#This Row],[Date Case Opened]]&lt;=Summary!$L$2),OR(ISBLANK(Table1[[#This Row],[Date Case Closed]]),NOT(Table1[[#This Row],[Date Case Closed]]&lt;Summary!$C$2))),
             1,
                  IF(AND(AND(Table1[[#This Row],[Date Case Opened]]&lt;Summary!$C$2),OR(ISBLANK(Table1[[#This Row],[Date Case Closed]]),NOT(Table1[[#This Row],[Date Case Closed]]&lt;Summary!$C$2))),
                  1,0
                  )
            )
       )
)</calculatedColumnFormula>
    </tableColumn>
    <tableColumn id="8" name="Date Case Opened" dataDxfId="336" dataCellStyle="Normal"/>
    <tableColumn id="9" name="1st call" dataDxfId="335" dataCellStyle="Normal"/>
    <tableColumn id="10" name="2nd call" dataDxfId="334" dataCellStyle="Normal"/>
    <tableColumn id="11" name="3rd call" dataDxfId="333" dataCellStyle="Normal"/>
    <tableColumn id="12" name="Notes" dataDxfId="332" dataCellStyle="Normal"/>
    <tableColumn id="13" name="Date Case Closed" dataDxfId="331" dataCellStyle="Normal"/>
    <tableColumn id="14" name="Reason Closed" dataDxfId="330" dataCellStyle="Normal"/>
    <tableColumn id="15" name="DV" dataDxfId="329" dataCellStyle="Normal"/>
    <tableColumn id="16" name="Sexual assault" dataDxfId="328" dataCellStyle="Normal"/>
    <tableColumn id="17" name="Severe Mental Health" dataDxfId="327" dataCellStyle="Normal"/>
    <tableColumn id="18" name="Child Welfare" dataDxfId="326" dataCellStyle="Normal"/>
    <tableColumn id="19" name="Suicide Ideation" dataDxfId="325" dataCellStyle="Normal"/>
    <tableColumn id="20" name="LGBT" dataDxfId="324" dataCellStyle="Normal"/>
    <tableColumn id="21" name="Crime Complication" dataDxfId="323" dataCellStyle="Normal"/>
    <tableColumn id="22" name="Substance Abuse" dataDxfId="322" dataCellStyle="Normal"/>
    <tableColumn id="23" name="Elder Abuse" dataDxfId="321" dataCellStyle="Normal"/>
    <tableColumn id="24" name="Housing" dataDxfId="320" dataCellStyle="Normal"/>
    <tableColumn id="25" name="Disability or Other Health" dataDxfId="319" dataCellStyle="Normal"/>
    <tableColumn id="26" name="Legal Issues (Other)" dataDxfId="318" dataCellStyle="Normal"/>
    <tableColumn id="27" name="VOT" dataDxfId="317" dataCellStyle="Normal"/>
    <tableColumn id="28" name="SGBV" dataDxfId="316" dataCellStyle="Normal"/>
    <tableColumn id="29" name="Torture survivors" dataDxfId="315" dataCellStyle="Normal"/>
    <tableColumn id="30" name="# times reported to CPS" dataDxfId="314" dataCellStyle="Normal"/>
    <tableColumn id="31" name="# times reported to APS" dataDxfId="313" dataCellStyle="Normal"/>
    <tableColumn id="32" name="# times police called" dataDxfId="312" dataCellStyle="Normal"/>
    <tableColumn id="33" name="# suicide attempts" dataDxfId="311" dataCellStyle="Normal"/>
    <tableColumn id="34" name="# suicide deaths" dataDxfId="310" dataCellStyle="Normal"/>
    <tableColumn id="35" name="Address" dataDxfId="309" dataCellStyle="Normal"/>
    <tableColumn id="36" name="City" dataDxfId="308" dataCellStyle="Normal"/>
    <tableColumn id="37" name="State " dataDxfId="307" dataCellStyle="Normal"/>
    <tableColumn id="38" name="Zip" dataDxfId="306" dataCellStyle="Normal"/>
    <tableColumn id="39" name="Primary Ph #" dataDxfId="305" dataCellStyle="Normal"/>
    <tableColumn id="40" name="Secondary Ph #" dataDxfId="304" dataCellStyle="Normal"/>
    <tableColumn id="96" name="Sum, FSS for this range" dataDxfId="303" dataCellStyle="Normal">
      <calculatedColumnFormula>SUM(INDIRECT(Summary!$L$4))</calculatedColumnFormula>
    </tableColumn>
    <tableColumn id="41" name="DirectF1" dataDxfId="302" dataCellStyle="Normal">
      <calculatedColumnFormula>Staff1[[#This Row],[Hrs Dir1]]+Staff2[[#This Row],[Hrs Dir1]]</calculatedColumnFormula>
    </tableColumn>
    <tableColumn id="42" name="IndirectF" dataDxfId="301" dataCellStyle="Normal">
      <calculatedColumnFormula>Staff1[[#This Row],[Hrs Ind1]]+Staff2[[#This Row],[Hrs Ind1]]</calculatedColumnFormula>
    </tableColumn>
    <tableColumn id="43" name="DirectF2" dataDxfId="300" dataCellStyle="Normal">
      <calculatedColumnFormula>Staff1[[#This Row],[Hrs Dir2]]+Staff2[[#This Row],[Hrs Dir2]]</calculatedColumnFormula>
    </tableColumn>
    <tableColumn id="44" name="IndirectF2" dataDxfId="299" dataCellStyle="Normal">
      <calculatedColumnFormula>Staff1[[#This Row],[Hrs Ind2]]+Staff2[[#This Row],[Hrs Ind2]]</calculatedColumnFormula>
    </tableColumn>
    <tableColumn id="45" name="DirectF3" dataDxfId="298" dataCellStyle="Normal">
      <calculatedColumnFormula>Staff1[[#This Row],[Hrs Dir3]]+Staff2[[#This Row],[Hrs Dir3]]</calculatedColumnFormula>
    </tableColumn>
    <tableColumn id="46" name="IndirectF3" dataDxfId="297" dataCellStyle="Normal">
      <calculatedColumnFormula>Staff1[[#This Row],[Hrs Ind3]]+Staff2[[#This Row],[Hrs Ind3]]</calculatedColumnFormula>
    </tableColumn>
    <tableColumn id="47" name="DirectF4" dataDxfId="296" dataCellStyle="Normal">
      <calculatedColumnFormula>Staff1[[#This Row],[Hrs Dir4]]+Staff2[[#This Row],[Hrs Dir4]]</calculatedColumnFormula>
    </tableColumn>
    <tableColumn id="48" name="IndirectF4" dataDxfId="295" dataCellStyle="Normal">
      <calculatedColumnFormula>Staff1[[#This Row],[Hrs Ind4]]+Staff2[[#This Row],[Hrs Ind4]]</calculatedColumnFormula>
    </tableColumn>
    <tableColumn id="49" name="DirectF5" dataDxfId="294" dataCellStyle="Normal">
      <calculatedColumnFormula>Staff1[[#This Row],[Hrs Dir5]]+Staff2[[#This Row],[Hrs Dir5]]</calculatedColumnFormula>
    </tableColumn>
    <tableColumn id="50" name="IndirectF5" dataDxfId="293" dataCellStyle="Normal">
      <calculatedColumnFormula>Staff1[[#This Row],[Hrs Ind5]]+Staff2[[#This Row],[Hrs Ind5]]</calculatedColumnFormula>
    </tableColumn>
    <tableColumn id="51" name="DirectF6" dataDxfId="292" dataCellStyle="Normal">
      <calculatedColumnFormula>Staff1[[#This Row],[Hrs Dir6]]+Staff2[[#This Row],[Hrs Dir6]]</calculatedColumnFormula>
    </tableColumn>
    <tableColumn id="52" name="IndirectF6" dataDxfId="291" dataCellStyle="Normal">
      <calculatedColumnFormula>Staff1[[#This Row],[Hrs Ind6]]+Staff2[[#This Row],[Hrs Ind6]]</calculatedColumnFormula>
    </tableColumn>
    <tableColumn id="53" name="DirectF7" dataDxfId="290" dataCellStyle="Normal">
      <calculatedColumnFormula>Staff1[[#This Row],[Hrs Dir7]]+Staff2[[#This Row],[Hrs Dir7]]</calculatedColumnFormula>
    </tableColumn>
    <tableColumn id="54" name="IndirectF7" dataDxfId="289" dataCellStyle="Normal">
      <calculatedColumnFormula>Staff1[[#This Row],[Hrs Ind7]]+Staff2[[#This Row],[Hrs Ind7]]</calculatedColumnFormula>
    </tableColumn>
    <tableColumn id="55" name="DirectF8" dataDxfId="288" dataCellStyle="Normal">
      <calculatedColumnFormula>Staff1[[#This Row],[Hrs Dir8]]+Staff2[[#This Row],[Hrs Dir8]]</calculatedColumnFormula>
    </tableColumn>
    <tableColumn id="56" name="IndirectF8" dataDxfId="287" dataCellStyle="Normal">
      <calculatedColumnFormula>Staff1[[#This Row],[Hrs Ind8]]+Staff2[[#This Row],[Hrs Ind8]]</calculatedColumnFormula>
    </tableColumn>
    <tableColumn id="57" name="DirectF9" dataDxfId="286" dataCellStyle="Normal">
      <calculatedColumnFormula>Staff1[[#This Row],[Hrs Dir9]]+Staff2[[#This Row],[Hrs Dir9]]</calculatedColumnFormula>
    </tableColumn>
    <tableColumn id="58" name="IndirectF9" dataDxfId="285" dataCellStyle="Normal">
      <calculatedColumnFormula>Staff1[[#This Row],[Hrs Ind9]]+Staff2[[#This Row],[Hrs Ind9]]</calculatedColumnFormula>
    </tableColumn>
    <tableColumn id="59" name="DirectF10" dataDxfId="284" dataCellStyle="Normal">
      <calculatedColumnFormula>Staff1[[#This Row],[Hrs Dir10]]+Staff2[[#This Row],[Hrs Dir10]]</calculatedColumnFormula>
    </tableColumn>
    <tableColumn id="60" name="IndirectF10" dataDxfId="283" dataCellStyle="Normal">
      <calculatedColumnFormula>Staff1[[#This Row],[Hrs Ind10]]+Staff2[[#This Row],[Hrs Ind10]]</calculatedColumnFormula>
    </tableColumn>
    <tableColumn id="61" name="DirectF11" dataDxfId="282" dataCellStyle="Normal">
      <calculatedColumnFormula>Staff1[[#This Row],[Hrs Dir11]]+Staff2[[#This Row],[Hrs Dir11]]</calculatedColumnFormula>
    </tableColumn>
    <tableColumn id="62" name="IndirectF11" dataDxfId="281" dataCellStyle="Normal">
      <calculatedColumnFormula>Staff1[[#This Row],[Hrs Ind11]]+Staff2[[#This Row],[Hrs Ind11]]</calculatedColumnFormula>
    </tableColumn>
    <tableColumn id="63" name="DirectF12" dataDxfId="280" dataCellStyle="Normal">
      <calculatedColumnFormula>Staff1[[#This Row],[Hrs Dir12]]+Staff2[[#This Row],[Hrs Dir12]]</calculatedColumnFormula>
    </tableColumn>
    <tableColumn id="64" name="IndirectF12" dataDxfId="279" dataCellStyle="Normal">
      <calculatedColumnFormula>Staff1[[#This Row],[Hrs Ind12]]+Staff2[[#This Row],[Hrs Ind12]]</calculatedColumnFormula>
    </tableColumn>
    <tableColumn id="115" name="Sum, Intern for this range" dataDxfId="278" dataCellStyle="Normal">
      <calculatedColumnFormula>SUM(INDIRECT(Summary!$L$5))</calculatedColumnFormula>
    </tableColumn>
    <tableColumn id="65" name="DirectI1" dataDxfId="277" dataCellStyle="Normal">
      <calculatedColumnFormula>Intern1[[#This Row],[Hrs Dir1]]+Intern2[[#This Row],[Hrs Dir1]]</calculatedColumnFormula>
    </tableColumn>
    <tableColumn id="66" name="IndirectI1" dataDxfId="276" dataCellStyle="Normal">
      <calculatedColumnFormula>Intern1[[#This Row],[Hrs Ind1]]+Intern2[[#This Row],[Hrs Ind1]]</calculatedColumnFormula>
    </tableColumn>
    <tableColumn id="67" name="DirectI2" dataDxfId="275" dataCellStyle="Normal">
      <calculatedColumnFormula>Intern1[[#This Row],[Hrs Dir2]]+Intern2[[#This Row],[Hrs Dir2]]</calculatedColumnFormula>
    </tableColumn>
    <tableColumn id="68" name="IndirectI2" dataDxfId="274" dataCellStyle="Normal">
      <calculatedColumnFormula>Intern1[[#This Row],[Hrs Ind2]]+Intern2[[#This Row],[Hrs Ind2]]</calculatedColumnFormula>
    </tableColumn>
    <tableColumn id="69" name="DirectI3" dataDxfId="273" dataCellStyle="Normal">
      <calculatedColumnFormula>Intern1[[#This Row],[Hrs Dir3]]+Intern2[[#This Row],[Hrs Dir3]]</calculatedColumnFormula>
    </tableColumn>
    <tableColumn id="70" name="IndirectI3" dataDxfId="272" dataCellStyle="Normal">
      <calculatedColumnFormula>Intern1[[#This Row],[Hrs Ind3]]+Intern2[[#This Row],[Hrs Ind3]]</calculatedColumnFormula>
    </tableColumn>
    <tableColumn id="71" name="DirectI4" dataDxfId="271" dataCellStyle="Normal">
      <calculatedColumnFormula>Intern1[[#This Row],[Hrs Dir4]]+Intern2[[#This Row],[Hrs Dir4]]</calculatedColumnFormula>
    </tableColumn>
    <tableColumn id="72" name="IndirectI4" dataDxfId="270" dataCellStyle="Normal">
      <calculatedColumnFormula>Intern1[[#This Row],[Hrs Ind4]]+Intern2[[#This Row],[Hrs Ind4]]</calculatedColumnFormula>
    </tableColumn>
    <tableColumn id="73" name="DirectI5" dataDxfId="269" dataCellStyle="Normal">
      <calculatedColumnFormula>Intern1[[#This Row],[Hrs Dir5]]+Intern2[[#This Row],[Hrs Dir5]]</calculatedColumnFormula>
    </tableColumn>
    <tableColumn id="74" name="IndirectI5" dataDxfId="268" dataCellStyle="Normal">
      <calculatedColumnFormula>Intern1[[#This Row],[Hrs Ind5]]+Intern2[[#This Row],[Hrs Ind5]]</calculatedColumnFormula>
    </tableColumn>
    <tableColumn id="75" name="DirectI6" dataDxfId="267" dataCellStyle="Normal">
      <calculatedColumnFormula>Intern1[[#This Row],[Hrs Dir6]]+Intern2[[#This Row],[Hrs Dir6]]</calculatedColumnFormula>
    </tableColumn>
    <tableColumn id="76" name="IndirectI6" dataDxfId="266" dataCellStyle="Normal">
      <calculatedColumnFormula>Intern1[[#This Row],[Hrs Ind6]]+Intern2[[#This Row],[Hrs Ind6]]</calculatedColumnFormula>
    </tableColumn>
    <tableColumn id="77" name="DirectI7" dataDxfId="265" dataCellStyle="Normal">
      <calculatedColumnFormula>Intern1[[#This Row],[Hrs Dir7]]+Intern2[[#This Row],[Hrs Dir7]]</calculatedColumnFormula>
    </tableColumn>
    <tableColumn id="78" name="IndirectI7" dataDxfId="264" dataCellStyle="Normal">
      <calculatedColumnFormula>Intern1[[#This Row],[Hrs Ind7]]+Intern2[[#This Row],[Hrs Ind7]]</calculatedColumnFormula>
    </tableColumn>
    <tableColumn id="79" name="DirectI8" dataDxfId="263" dataCellStyle="Normal">
      <calculatedColumnFormula>Intern1[[#This Row],[Hrs Dir8]]+Intern2[[#This Row],[Hrs Dir8]]</calculatedColumnFormula>
    </tableColumn>
    <tableColumn id="80" name="IndirectI8" dataDxfId="262" dataCellStyle="Normal">
      <calculatedColumnFormula>Intern1[[#This Row],[Hrs Ind8]]+Intern2[[#This Row],[Hrs Ind8]]</calculatedColumnFormula>
    </tableColumn>
    <tableColumn id="81" name="DirectI9" dataDxfId="261" dataCellStyle="Normal">
      <calculatedColumnFormula>Intern1[[#This Row],[Hrs Dir9]]+Intern2[[#This Row],[Hrs Dir9]]</calculatedColumnFormula>
    </tableColumn>
    <tableColumn id="82" name="IndirectI9" dataDxfId="260" dataCellStyle="Normal">
      <calculatedColumnFormula>Intern1[[#This Row],[Hrs Ind9]]+Intern2[[#This Row],[Hrs Ind9]]</calculatedColumnFormula>
    </tableColumn>
    <tableColumn id="83" name="DirectI10" dataDxfId="259" dataCellStyle="Normal">
      <calculatedColumnFormula>Intern1[[#This Row],[Hrs Dir10]]+Intern2[[#This Row],[Hrs Dir10]]</calculatedColumnFormula>
    </tableColumn>
    <tableColumn id="84" name="IndirectI10" dataDxfId="258" dataCellStyle="Normal">
      <calculatedColumnFormula>Intern1[[#This Row],[Hrs Ind10]]+Intern2[[#This Row],[Hrs Ind10]]</calculatedColumnFormula>
    </tableColumn>
    <tableColumn id="85" name="DirectI11" dataDxfId="257" dataCellStyle="Normal">
      <calculatedColumnFormula>Intern1[[#This Row],[Hrs Dir11]]+Intern2[[#This Row],[Hrs Dir11]]</calculatedColumnFormula>
    </tableColumn>
    <tableColumn id="86" name="IndirectI11" dataDxfId="256" dataCellStyle="Normal">
      <calculatedColumnFormula>Intern1[[#This Row],[Hrs Ind11]]+Intern2[[#This Row],[Hrs Ind11]]</calculatedColumnFormula>
    </tableColumn>
    <tableColumn id="87" name="DirectI12" dataDxfId="255" dataCellStyle="Normal">
      <calculatedColumnFormula>Intern1[[#This Row],[Hrs Dir12]]+Intern2[[#This Row],[Hrs Dir12]]</calculatedColumnFormula>
    </tableColumn>
    <tableColumn id="88" name="IndirectI12" dataDxfId="254" dataCellStyle="Normal">
      <calculatedColumnFormula>Intern1[[#This Row],[Hrs Ind12]]+Intern2[[#This Row],[Hrs Ind12]]</calculatedColumnFormula>
    </tableColumn>
    <tableColumn id="116" name="Sum, Resource for this range" dataDxfId="253" dataCellStyle="Normal">
      <calculatedColumnFormula>SUM(INDIRECT(Summary!$L$6))</calculatedColumnFormula>
    </tableColumn>
    <tableColumn id="89" name="FSSR1" dataDxfId="252" dataCellStyle="Normal">
      <calculatedColumnFormula>Staff1[[#This Row],[Res1]]+Staff2[[#This Row],[Res1]]</calculatedColumnFormula>
    </tableColumn>
    <tableColumn id="90" name="InternR1" dataDxfId="251" dataCellStyle="Normal">
      <calculatedColumnFormula>Intern1[[#This Row],[Res1]]+Intern2[[#This Row],[Res1]]</calculatedColumnFormula>
    </tableColumn>
    <tableColumn id="91" name="FSSR2" dataDxfId="250" dataCellStyle="Normal">
      <calculatedColumnFormula>Staff1[[#This Row],[Res2]]+Staff2[[#This Row],[Res2]]</calculatedColumnFormula>
    </tableColumn>
    <tableColumn id="92" name="InternR2" dataDxfId="249" dataCellStyle="Normal">
      <calculatedColumnFormula>Intern1[[#This Row],[Res2]]+Intern2[[#This Row],[Res2]]</calculatedColumnFormula>
    </tableColumn>
    <tableColumn id="93" name="FSSR3" dataDxfId="248" dataCellStyle="Normal">
      <calculatedColumnFormula>Staff1[[#This Row],[Res3]]+Staff2[[#This Row],[Res3]]</calculatedColumnFormula>
    </tableColumn>
    <tableColumn id="94" name="InternR3" dataDxfId="247" dataCellStyle="Normal">
      <calculatedColumnFormula>Intern1[[#This Row],[Res3]]+Intern2[[#This Row],[Res3]]</calculatedColumnFormula>
    </tableColumn>
    <tableColumn id="97" name="FSSR4" dataDxfId="246" dataCellStyle="Normal">
      <calculatedColumnFormula>Staff1[[#This Row],[Res4]]+Staff2[[#This Row],[Res4]]</calculatedColumnFormula>
    </tableColumn>
    <tableColumn id="98" name="InternR4" dataDxfId="245" dataCellStyle="Normal">
      <calculatedColumnFormula>Intern1[[#This Row],[Res4]]+Intern2[[#This Row],[Res4]]</calculatedColumnFormula>
    </tableColumn>
    <tableColumn id="99" name="FSSR5" dataDxfId="244" dataCellStyle="Normal">
      <calculatedColumnFormula>Staff1[[#This Row],[Res5]]+Staff2[[#This Row],[Res5]]</calculatedColumnFormula>
    </tableColumn>
    <tableColumn id="100" name="InternR5" dataDxfId="243" dataCellStyle="Normal">
      <calculatedColumnFormula>Intern1[[#This Row],[Res5]]+Intern2[[#This Row],[Res5]]</calculatedColumnFormula>
    </tableColumn>
    <tableColumn id="101" name="FSSR6" dataDxfId="242" dataCellStyle="Normal">
      <calculatedColumnFormula>Staff1[[#This Row],[Res6]]+Staff2[[#This Row],[Res6]]</calculatedColumnFormula>
    </tableColumn>
    <tableColumn id="102" name="InternR6" dataDxfId="241" dataCellStyle="Normal">
      <calculatedColumnFormula>Intern1[[#This Row],[Res6]]+Intern2[[#This Row],[Res6]]</calculatedColumnFormula>
    </tableColumn>
    <tableColumn id="103" name="FSSR7" dataDxfId="240" dataCellStyle="Normal">
      <calculatedColumnFormula>Staff1[[#This Row],[Res7]]+Staff2[[#This Row],[Res7]]</calculatedColumnFormula>
    </tableColumn>
    <tableColumn id="104" name="InternR7" dataDxfId="239" dataCellStyle="Normal">
      <calculatedColumnFormula>Intern1[[#This Row],[Res7]]+Intern2[[#This Row],[Res7]]</calculatedColumnFormula>
    </tableColumn>
    <tableColumn id="105" name="FSSR8" dataDxfId="238" dataCellStyle="Normal">
      <calculatedColumnFormula>Staff1[[#This Row],[Res8]]+Staff2[[#This Row],[Res8]]</calculatedColumnFormula>
    </tableColumn>
    <tableColumn id="106" name="InternR8" dataDxfId="237" dataCellStyle="Normal">
      <calculatedColumnFormula>Intern1[[#This Row],[Res8]]+Intern2[[#This Row],[Res8]]</calculatedColumnFormula>
    </tableColumn>
    <tableColumn id="107" name="FSSR9" dataDxfId="236" dataCellStyle="Normal">
      <calculatedColumnFormula>Staff1[[#This Row],[Res9]]+Staff2[[#This Row],[Res9]]</calculatedColumnFormula>
    </tableColumn>
    <tableColumn id="108" name="InternR9" dataDxfId="235" dataCellStyle="Normal">
      <calculatedColumnFormula>Intern1[[#This Row],[Res9]]+Intern2[[#This Row],[Res9]]</calculatedColumnFormula>
    </tableColumn>
    <tableColumn id="109" name="FSSR10" dataDxfId="234" dataCellStyle="Normal">
      <calculatedColumnFormula>Staff1[[#This Row],[Res10]]+Staff2[[#This Row],[Res10]]</calculatedColumnFormula>
    </tableColumn>
    <tableColumn id="110" name="InternR10" dataDxfId="233" dataCellStyle="Normal">
      <calculatedColumnFormula>Intern1[[#This Row],[Res10]]+Intern2[[#This Row],[Res10]]</calculatedColumnFormula>
    </tableColumn>
    <tableColumn id="111" name="FSSR11" dataDxfId="232" dataCellStyle="Normal">
      <calculatedColumnFormula>Staff1[[#This Row],[Res11]]+Staff2[[#This Row],[Res11]]</calculatedColumnFormula>
    </tableColumn>
    <tableColumn id="112" name="InternR11" dataDxfId="231" dataCellStyle="Normal">
      <calculatedColumnFormula>Intern1[[#This Row],[Res11]]+Intern2[[#This Row],[Res11]]</calculatedColumnFormula>
    </tableColumn>
    <tableColumn id="113" name="FSSR12" dataDxfId="230" dataCellStyle="Normal">
      <calculatedColumnFormula>Staff1[[#This Row],[Res12]]+Staff2[[#This Row],[Res12]]</calculatedColumnFormula>
    </tableColumn>
    <tableColumn id="114" name="InternR12" dataDxfId="229" dataCellStyle="Normal">
      <calculatedColumnFormula>Intern1[[#This Row],[Res12]]+Intern2[[#This Row],[Res12]]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Staff1" displayName="Staff1" ref="A3:AY4" totalsRowShown="0" headerRowDxfId="228" headerRowBorderDxfId="227" tableBorderDxfId="226" totalsRowBorderDxfId="225" dataCellStyle="Normal">
  <autoFilter ref="A3:AY4"/>
  <sortState ref="A4:AY77">
    <sortCondition ref="A3:A77"/>
  </sortState>
  <tableColumns count="51">
    <tableColumn id="1" name="First Name" dataDxfId="11" dataCellStyle="Normal"/>
    <tableColumn id="2" name="Last Name" dataDxfId="10" dataCellStyle="Normal"/>
    <tableColumn id="3" name="Case #" dataDxfId="9" dataCellStyle="Normal"/>
    <tableColumn id="4" name="Hrs Dir1" dataDxfId="224" dataCellStyle="Normal"/>
    <tableColumn id="5" name="Hrs Ind1" dataDxfId="223" dataCellStyle="Normal"/>
    <tableColumn id="6" name="Res1" dataDxfId="222" dataCellStyle="Normal"/>
    <tableColumn id="7" name="Case note1" dataDxfId="221" dataCellStyle="Normal"/>
    <tableColumn id="8" name="Hrs Dir2" dataDxfId="220" dataCellStyle="Normal"/>
    <tableColumn id="9" name="Hrs Ind2" dataDxfId="219" dataCellStyle="Normal"/>
    <tableColumn id="10" name="Res2" dataDxfId="218" dataCellStyle="Normal"/>
    <tableColumn id="11" name="Case note2" dataDxfId="217" dataCellStyle="Normal"/>
    <tableColumn id="12" name="Hrs Dir3" dataDxfId="216" dataCellStyle="Normal"/>
    <tableColumn id="13" name="Hrs Ind3" dataDxfId="215" dataCellStyle="Normal"/>
    <tableColumn id="14" name="Res3" dataDxfId="214" dataCellStyle="Normal"/>
    <tableColumn id="15" name="Case note3" dataDxfId="213" dataCellStyle="Normal"/>
    <tableColumn id="16" name="Hrs Dir4" dataDxfId="212" dataCellStyle="Normal"/>
    <tableColumn id="17" name="Hrs Ind4" dataDxfId="211" dataCellStyle="Normal"/>
    <tableColumn id="18" name="Res4" dataDxfId="210" dataCellStyle="Normal"/>
    <tableColumn id="19" name="Case note4" dataDxfId="209" dataCellStyle="Normal"/>
    <tableColumn id="20" name="Hrs Dir5" dataDxfId="208" dataCellStyle="Normal"/>
    <tableColumn id="21" name="Hrs Ind5" dataDxfId="207" dataCellStyle="Normal"/>
    <tableColumn id="22" name="Res5" dataDxfId="206" dataCellStyle="Normal"/>
    <tableColumn id="23" name="Case note5" dataDxfId="205" dataCellStyle="Normal"/>
    <tableColumn id="24" name="Hrs Dir6" dataDxfId="204" dataCellStyle="Normal"/>
    <tableColumn id="25" name="Hrs Ind6" dataDxfId="203" dataCellStyle="Normal"/>
    <tableColumn id="26" name="Res6" dataDxfId="202" dataCellStyle="Normal"/>
    <tableColumn id="27" name="Case note6" dataDxfId="201" dataCellStyle="Normal"/>
    <tableColumn id="28" name="Hrs Dir7" dataDxfId="200" dataCellStyle="Normal"/>
    <tableColumn id="29" name="Hrs Ind7" dataDxfId="199" dataCellStyle="Normal"/>
    <tableColumn id="30" name="Res7" dataDxfId="198" dataCellStyle="Normal"/>
    <tableColumn id="31" name="Case note7" dataDxfId="197" dataCellStyle="Normal"/>
    <tableColumn id="32" name="Hrs Dir8" dataDxfId="196" dataCellStyle="Normal"/>
    <tableColumn id="33" name="Hrs Ind8" dataDxfId="195" dataCellStyle="Normal"/>
    <tableColumn id="34" name="Res8" dataDxfId="194" dataCellStyle="Normal"/>
    <tableColumn id="35" name="Case note8" dataDxfId="193" dataCellStyle="Normal"/>
    <tableColumn id="36" name="Hrs Dir9" dataDxfId="192" dataCellStyle="Normal"/>
    <tableColumn id="37" name="Hrs Ind9" dataDxfId="191" dataCellStyle="Normal"/>
    <tableColumn id="38" name="Res9" dataDxfId="190" dataCellStyle="Normal"/>
    <tableColumn id="39" name="Case note9" dataDxfId="189" dataCellStyle="Normal"/>
    <tableColumn id="40" name="Hrs Dir10" dataDxfId="188" dataCellStyle="Normal"/>
    <tableColumn id="41" name="Hrs Ind10" dataDxfId="187" dataCellStyle="Normal"/>
    <tableColumn id="42" name="Res10" dataDxfId="186" dataCellStyle="Normal"/>
    <tableColumn id="43" name="Case note10" dataDxfId="185" dataCellStyle="Normal"/>
    <tableColumn id="44" name="Hrs Dir11" dataDxfId="184" dataCellStyle="Normal"/>
    <tableColumn id="45" name="Hrs Ind11" dataDxfId="183" dataCellStyle="Normal"/>
    <tableColumn id="46" name="Res11" dataDxfId="182" dataCellStyle="Normal"/>
    <tableColumn id="47" name="Case note11" dataDxfId="181" dataCellStyle="Normal"/>
    <tableColumn id="48" name="Hrs Dir12" dataDxfId="180" dataCellStyle="Normal"/>
    <tableColumn id="49" name="Hrs Ind12" dataDxfId="179" dataCellStyle="Normal"/>
    <tableColumn id="50" name="Res12" dataDxfId="178" dataCellStyle="Normal"/>
    <tableColumn id="51" name="Case note12" dataDxfId="177" dataCellStyle="Normal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5" name="Staff2" displayName="Staff2" ref="A3:AY4" totalsRowShown="0" headerRowDxfId="72" headerRowBorderDxfId="71" tableBorderDxfId="70" totalsRowBorderDxfId="69" dataCellStyle="Normal">
  <autoFilter ref="A3:AY4"/>
  <sortState ref="A4:AY77">
    <sortCondition ref="A3:A77"/>
  </sortState>
  <tableColumns count="51">
    <tableColumn id="1" name="First Name" dataDxfId="8" dataCellStyle="Normal"/>
    <tableColumn id="2" name="Last Name" dataDxfId="7" dataCellStyle="Normal"/>
    <tableColumn id="3" name="Case #" dataDxfId="6" dataCellStyle="Normal"/>
    <tableColumn id="4" name="Hrs Dir1" dataDxfId="68" dataCellStyle="Normal"/>
    <tableColumn id="5" name="Hrs Ind1" dataDxfId="67" dataCellStyle="Normal"/>
    <tableColumn id="6" name="Res1" dataDxfId="66" dataCellStyle="Normal"/>
    <tableColumn id="7" name="Case note1" dataDxfId="65" dataCellStyle="Normal"/>
    <tableColumn id="8" name="Hrs Dir2" dataDxfId="64" dataCellStyle="Normal"/>
    <tableColumn id="9" name="Hrs Ind2" dataDxfId="63" dataCellStyle="Normal"/>
    <tableColumn id="10" name="Res2" dataDxfId="62" dataCellStyle="Normal"/>
    <tableColumn id="11" name="Case note2" dataDxfId="61" dataCellStyle="Normal"/>
    <tableColumn id="12" name="Hrs Dir3" dataDxfId="60" dataCellStyle="Normal"/>
    <tableColumn id="13" name="Hrs Ind3" dataDxfId="59" dataCellStyle="Normal"/>
    <tableColumn id="14" name="Res3" dataDxfId="58" dataCellStyle="Normal"/>
    <tableColumn id="15" name="Case note3" dataDxfId="57" dataCellStyle="Normal"/>
    <tableColumn id="16" name="Hrs Dir4" dataDxfId="56" dataCellStyle="Normal"/>
    <tableColumn id="17" name="Hrs Ind4" dataDxfId="55" dataCellStyle="Normal"/>
    <tableColumn id="18" name="Res4" dataDxfId="54" dataCellStyle="Normal"/>
    <tableColumn id="19" name="Case note4" dataDxfId="53" dataCellStyle="Normal"/>
    <tableColumn id="20" name="Hrs Dir5" dataDxfId="52" dataCellStyle="Normal"/>
    <tableColumn id="21" name="Hrs Ind5" dataDxfId="51" dataCellStyle="Normal"/>
    <tableColumn id="22" name="Res5" dataDxfId="50" dataCellStyle="Normal"/>
    <tableColumn id="23" name="Case note5" dataDxfId="49" dataCellStyle="Normal"/>
    <tableColumn id="24" name="Hrs Dir6" dataDxfId="48" dataCellStyle="Normal"/>
    <tableColumn id="25" name="Hrs Ind6" dataDxfId="47" dataCellStyle="Normal"/>
    <tableColumn id="26" name="Res6" dataDxfId="46" dataCellStyle="Normal"/>
    <tableColumn id="27" name="Case note6" dataDxfId="45" dataCellStyle="Normal"/>
    <tableColumn id="28" name="Hrs Dir7" dataDxfId="44" dataCellStyle="Normal"/>
    <tableColumn id="29" name="Hrs Ind7" dataDxfId="43" dataCellStyle="Normal"/>
    <tableColumn id="30" name="Res7" dataDxfId="42" dataCellStyle="Normal"/>
    <tableColumn id="31" name="Case note7" dataDxfId="41" dataCellStyle="Normal"/>
    <tableColumn id="32" name="Hrs Dir8" dataDxfId="40" dataCellStyle="Normal"/>
    <tableColumn id="33" name="Hrs Ind8" dataDxfId="39" dataCellStyle="Normal"/>
    <tableColumn id="34" name="Res8" dataDxfId="38" dataCellStyle="Normal"/>
    <tableColumn id="35" name="Case note8" dataDxfId="37" dataCellStyle="Normal"/>
    <tableColumn id="36" name="Hrs Dir9" dataDxfId="36" dataCellStyle="Normal"/>
    <tableColumn id="37" name="Hrs Ind9" dataDxfId="35" dataCellStyle="Normal"/>
    <tableColumn id="38" name="Res9" dataDxfId="34" dataCellStyle="Normal"/>
    <tableColumn id="39" name="Case note9" dataDxfId="33" dataCellStyle="Normal"/>
    <tableColumn id="40" name="Hrs Dir10" dataDxfId="32" dataCellStyle="Normal"/>
    <tableColumn id="41" name="Hrs Ind10" dataDxfId="31" dataCellStyle="Normal"/>
    <tableColumn id="42" name="Res10" dataDxfId="30" dataCellStyle="Normal"/>
    <tableColumn id="43" name="Case note10" dataDxfId="29" dataCellStyle="Normal"/>
    <tableColumn id="44" name="Hrs Dir11" dataDxfId="28" dataCellStyle="Normal"/>
    <tableColumn id="45" name="Hrs Ind11" dataDxfId="27" dataCellStyle="Normal"/>
    <tableColumn id="46" name="Res11" dataDxfId="26" dataCellStyle="Normal"/>
    <tableColumn id="47" name="Case note11" dataDxfId="25" dataCellStyle="Normal"/>
    <tableColumn id="48" name="Hrs Dir12" dataDxfId="24" dataCellStyle="Normal"/>
    <tableColumn id="49" name="Hrs Ind12" dataDxfId="23" dataCellStyle="Normal"/>
    <tableColumn id="50" name="Res12" dataDxfId="22" dataCellStyle="Normal"/>
    <tableColumn id="51" name="Case note12" dataDxfId="21" dataCellStyle="Normal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4" name="Intern1" displayName="Intern1" ref="A3:AY4" totalsRowShown="0" headerRowDxfId="176" headerRowBorderDxfId="175" tableBorderDxfId="174" totalsRowBorderDxfId="173" dataCellStyle="Normal">
  <autoFilter ref="A3:AY4"/>
  <sortState ref="A4:AY77">
    <sortCondition ref="A3:A77"/>
  </sortState>
  <tableColumns count="51">
    <tableColumn id="1" name="First Name" dataDxfId="5" dataCellStyle="Normal"/>
    <tableColumn id="2" name="Last Name" dataDxfId="4" dataCellStyle="Normal"/>
    <tableColumn id="3" name="Case #" dataDxfId="3" dataCellStyle="Normal"/>
    <tableColumn id="4" name="Hrs Dir1" dataDxfId="172" dataCellStyle="Normal"/>
    <tableColumn id="5" name="Hrs Ind1" dataDxfId="171" dataCellStyle="Normal"/>
    <tableColumn id="6" name="Res1" dataDxfId="170" dataCellStyle="Normal"/>
    <tableColumn id="7" name="Case note1" dataDxfId="169" dataCellStyle="Normal"/>
    <tableColumn id="8" name="Hrs Dir2" dataDxfId="168" dataCellStyle="Normal"/>
    <tableColumn id="9" name="Hrs Ind2" dataDxfId="167" dataCellStyle="Normal"/>
    <tableColumn id="10" name="Res2" dataDxfId="166" dataCellStyle="Normal"/>
    <tableColumn id="11" name="Case note2" dataDxfId="165" dataCellStyle="Normal"/>
    <tableColumn id="12" name="Hrs Dir3" dataDxfId="164" dataCellStyle="Normal"/>
    <tableColumn id="13" name="Hrs Ind3" dataDxfId="163" dataCellStyle="Normal"/>
    <tableColumn id="14" name="Res3" dataDxfId="162" dataCellStyle="Normal"/>
    <tableColumn id="15" name="Case note3" dataDxfId="161" dataCellStyle="Normal"/>
    <tableColumn id="16" name="Hrs Dir4" dataDxfId="160" dataCellStyle="Normal"/>
    <tableColumn id="17" name="Hrs Ind4" dataDxfId="159" dataCellStyle="Normal"/>
    <tableColumn id="18" name="Res4" dataDxfId="158" dataCellStyle="Normal"/>
    <tableColumn id="19" name="Case note4" dataDxfId="157" dataCellStyle="Normal"/>
    <tableColumn id="20" name="Hrs Dir5" dataDxfId="156" dataCellStyle="Normal"/>
    <tableColumn id="21" name="Hrs Ind5" dataDxfId="155" dataCellStyle="Normal"/>
    <tableColumn id="22" name="Res5" dataDxfId="154" dataCellStyle="Normal"/>
    <tableColumn id="23" name="Case note5" dataDxfId="153" dataCellStyle="Normal"/>
    <tableColumn id="24" name="Hrs Dir6" dataDxfId="152" dataCellStyle="Normal"/>
    <tableColumn id="25" name="Hrs Ind6" dataDxfId="151" dataCellStyle="Normal"/>
    <tableColumn id="26" name="Res6" dataDxfId="150" dataCellStyle="Normal"/>
    <tableColumn id="27" name="Case note6" dataDxfId="149" dataCellStyle="Normal"/>
    <tableColumn id="28" name="Hrs Dir7" dataDxfId="148" dataCellStyle="Normal"/>
    <tableColumn id="29" name="Hrs Ind7" dataDxfId="147" dataCellStyle="Normal"/>
    <tableColumn id="30" name="Res7" dataDxfId="146" dataCellStyle="Normal"/>
    <tableColumn id="31" name="Case note7" dataDxfId="145" dataCellStyle="Normal"/>
    <tableColumn id="32" name="Hrs Dir8" dataDxfId="144" dataCellStyle="Normal"/>
    <tableColumn id="33" name="Hrs Ind8" dataDxfId="143" dataCellStyle="Normal"/>
    <tableColumn id="34" name="Res8" dataDxfId="142" dataCellStyle="Normal"/>
    <tableColumn id="35" name="Case note8" dataDxfId="141" dataCellStyle="Normal"/>
    <tableColumn id="36" name="Hrs Dir9" dataDxfId="140" dataCellStyle="Normal"/>
    <tableColumn id="37" name="Hrs Ind9" dataDxfId="139" dataCellStyle="Normal"/>
    <tableColumn id="38" name="Res9" dataDxfId="138" dataCellStyle="Normal"/>
    <tableColumn id="39" name="Case note9" dataDxfId="137" dataCellStyle="Normal"/>
    <tableColumn id="40" name="Hrs Dir10" dataDxfId="136" dataCellStyle="Normal"/>
    <tableColumn id="41" name="Hrs Ind10" dataDxfId="135" dataCellStyle="Normal"/>
    <tableColumn id="42" name="Res10" dataDxfId="134" dataCellStyle="Normal"/>
    <tableColumn id="43" name="Case note10" dataDxfId="133" dataCellStyle="Normal"/>
    <tableColumn id="44" name="Hrs Dir11" dataDxfId="132" dataCellStyle="Normal"/>
    <tableColumn id="45" name="Hrs Ind11" dataDxfId="131" dataCellStyle="Normal"/>
    <tableColumn id="46" name="Res11" dataDxfId="130" dataCellStyle="Normal"/>
    <tableColumn id="47" name="Case note11" dataDxfId="129" dataCellStyle="Normal"/>
    <tableColumn id="48" name="Hrs Dir12" dataDxfId="128" dataCellStyle="Normal"/>
    <tableColumn id="49" name="Hrs Ind12" dataDxfId="127" dataCellStyle="Normal"/>
    <tableColumn id="50" name="Res12" dataDxfId="126" dataCellStyle="Normal"/>
    <tableColumn id="51" name="Case note12" dataDxfId="125" dataCellStyle="Normal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3" name="Intern2" displayName="Intern2" ref="A3:AY4" totalsRowShown="0" headerRowDxfId="124" headerRowBorderDxfId="123" tableBorderDxfId="122" totalsRowBorderDxfId="121" dataCellStyle="Normal">
  <autoFilter ref="A3:AY4"/>
  <sortState ref="A4:AY77">
    <sortCondition ref="A3:A77"/>
  </sortState>
  <tableColumns count="51">
    <tableColumn id="1" name="First Name" dataDxfId="2" dataCellStyle="Normal"/>
    <tableColumn id="2" name="Last Name" dataDxfId="1" dataCellStyle="Normal"/>
    <tableColumn id="3" name="Case #" dataDxfId="0" dataCellStyle="Normal"/>
    <tableColumn id="4" name="Hrs Dir1" dataDxfId="120" dataCellStyle="Normal"/>
    <tableColumn id="5" name="Hrs Ind1" dataDxfId="119" dataCellStyle="Normal"/>
    <tableColumn id="6" name="Res1" dataDxfId="118" dataCellStyle="Normal"/>
    <tableColumn id="7" name="Case note1" dataDxfId="117" dataCellStyle="Normal"/>
    <tableColumn id="8" name="Hrs Dir2" dataDxfId="116" dataCellStyle="Normal"/>
    <tableColumn id="9" name="Hrs Ind2" dataDxfId="115" dataCellStyle="Normal"/>
    <tableColumn id="10" name="Res2" dataDxfId="114" dataCellStyle="Normal"/>
    <tableColumn id="11" name="Case note2" dataDxfId="113" dataCellStyle="Normal"/>
    <tableColumn id="12" name="Hrs Dir3" dataDxfId="112" dataCellStyle="Normal"/>
    <tableColumn id="13" name="Hrs Ind3" dataDxfId="111" dataCellStyle="Normal"/>
    <tableColumn id="14" name="Res3" dataDxfId="110" dataCellStyle="Normal"/>
    <tableColumn id="15" name="Case note3" dataDxfId="109" dataCellStyle="Normal"/>
    <tableColumn id="16" name="Hrs Dir4" dataDxfId="108" dataCellStyle="Normal"/>
    <tableColumn id="17" name="Hrs Ind4" dataDxfId="107" dataCellStyle="Normal"/>
    <tableColumn id="18" name="Res4" dataDxfId="106" dataCellStyle="Normal"/>
    <tableColumn id="19" name="Case note4" dataDxfId="105" dataCellStyle="Normal"/>
    <tableColumn id="20" name="Hrs Dir5" dataDxfId="104" dataCellStyle="Normal"/>
    <tableColumn id="21" name="Hrs Ind5" dataDxfId="103" dataCellStyle="Normal"/>
    <tableColumn id="22" name="Res5" dataDxfId="102" dataCellStyle="Normal"/>
    <tableColumn id="23" name="Case note5" dataDxfId="101" dataCellStyle="Normal"/>
    <tableColumn id="24" name="Hrs Dir6" dataDxfId="100" dataCellStyle="Normal"/>
    <tableColumn id="25" name="Hrs Ind6" dataDxfId="99" dataCellStyle="Normal"/>
    <tableColumn id="26" name="Res6" dataDxfId="98" dataCellStyle="Normal"/>
    <tableColumn id="27" name="Case note6" dataDxfId="97" dataCellStyle="Normal"/>
    <tableColumn id="28" name="Hrs Dir7" dataDxfId="96" dataCellStyle="Normal"/>
    <tableColumn id="29" name="Hrs Ind7" dataDxfId="95" dataCellStyle="Normal"/>
    <tableColumn id="30" name="Res7" dataDxfId="94" dataCellStyle="Normal"/>
    <tableColumn id="31" name="Case note7" dataDxfId="93" dataCellStyle="Normal"/>
    <tableColumn id="32" name="Hrs Dir8" dataDxfId="92" dataCellStyle="Normal"/>
    <tableColumn id="33" name="Hrs Ind8" dataDxfId="91" dataCellStyle="Normal"/>
    <tableColumn id="34" name="Res8" dataDxfId="90" dataCellStyle="Normal"/>
    <tableColumn id="35" name="Case note8" dataDxfId="89" dataCellStyle="Normal"/>
    <tableColumn id="36" name="Hrs Dir9" dataDxfId="88" dataCellStyle="Normal"/>
    <tableColumn id="37" name="Hrs Ind9" dataDxfId="87" dataCellStyle="Normal"/>
    <tableColumn id="38" name="Res9" dataDxfId="86" dataCellStyle="Normal"/>
    <tableColumn id="39" name="Case note9" dataDxfId="85" dataCellStyle="Normal"/>
    <tableColumn id="40" name="Hrs Dir10" dataDxfId="84" dataCellStyle="Normal"/>
    <tableColumn id="41" name="Hrs Ind10" dataDxfId="83" dataCellStyle="Normal"/>
    <tableColumn id="42" name="Res10" dataDxfId="82" dataCellStyle="Normal"/>
    <tableColumn id="43" name="Case note10" dataDxfId="81" dataCellStyle="Normal"/>
    <tableColumn id="44" name="Hrs Dir11" dataDxfId="80" dataCellStyle="Normal"/>
    <tableColumn id="45" name="Hrs Ind11" dataDxfId="79" dataCellStyle="Normal"/>
    <tableColumn id="46" name="Res11" dataDxfId="78" dataCellStyle="Normal"/>
    <tableColumn id="47" name="Case note11" dataDxfId="77" dataCellStyle="Normal"/>
    <tableColumn id="48" name="Hrs Dir12" dataDxfId="76" dataCellStyle="Normal"/>
    <tableColumn id="49" name="Hrs Ind12" dataDxfId="75" dataCellStyle="Normal"/>
    <tableColumn id="50" name="Res12" dataDxfId="74" dataCellStyle="Normal"/>
    <tableColumn id="51" name="Case note12" dataDxfId="73" dataCellStyle="Norma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A37"/>
  <sheetViews>
    <sheetView tabSelected="1" zoomScaleNormal="100" workbookViewId="0">
      <selection activeCell="E12" sqref="E12"/>
    </sheetView>
  </sheetViews>
  <sheetFormatPr defaultColWidth="10" defaultRowHeight="15" x14ac:dyDescent="0.25"/>
  <cols>
    <col min="1" max="1" width="6.140625" style="4" customWidth="1"/>
    <col min="2" max="2" width="37" style="4" customWidth="1"/>
    <col min="3" max="5" width="5.7109375" style="4" customWidth="1"/>
    <col min="6" max="6" width="1.5703125" style="4" customWidth="1"/>
    <col min="7" max="7" width="5.7109375" style="4" customWidth="1"/>
    <col min="8" max="8" width="1.5703125" style="4" customWidth="1"/>
    <col min="9" max="9" width="5.7109375" style="17" customWidth="1"/>
    <col min="10" max="12" width="5.7109375" style="4" customWidth="1"/>
    <col min="13" max="13" width="1.7109375" style="4" customWidth="1"/>
    <col min="14" max="18" width="5.7109375" style="4" customWidth="1"/>
    <col min="19" max="20" width="1.5703125" style="18" customWidth="1"/>
    <col min="21" max="32" width="6" style="4" customWidth="1"/>
    <col min="33" max="33" width="1.42578125" style="4" customWidth="1"/>
    <col min="34" max="34" width="6" style="19" customWidth="1"/>
    <col min="35" max="35" width="0.85546875" style="20" customWidth="1"/>
    <col min="36" max="47" width="6" style="20" customWidth="1"/>
    <col min="48" max="48" width="6" style="4" customWidth="1"/>
    <col min="49" max="49" width="26.28515625" style="4" customWidth="1"/>
    <col min="50" max="51" width="10" style="4"/>
    <col min="52" max="52" width="29" style="4" customWidth="1"/>
    <col min="53" max="16384" width="10" style="4"/>
  </cols>
  <sheetData>
    <row r="1" spans="2:50" ht="26.25" x14ac:dyDescent="0.4">
      <c r="B1" s="5" t="s">
        <v>29</v>
      </c>
      <c r="C1" s="5"/>
      <c r="D1" s="6"/>
      <c r="E1" s="6"/>
      <c r="F1" s="6"/>
      <c r="G1" s="7"/>
      <c r="H1" s="7"/>
      <c r="I1" s="7"/>
      <c r="J1" s="8"/>
      <c r="K1" s="8"/>
      <c r="L1" s="8"/>
      <c r="M1" s="8"/>
      <c r="N1" s="8"/>
      <c r="O1" s="8"/>
      <c r="P1" s="8"/>
      <c r="Q1" s="8"/>
      <c r="R1" s="8"/>
      <c r="S1" s="9"/>
      <c r="T1" s="9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7"/>
      <c r="AG1" s="7"/>
      <c r="AH1" s="10"/>
      <c r="AI1" s="11"/>
      <c r="AJ1" s="11"/>
      <c r="AK1" s="11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8"/>
      <c r="AW1" s="8"/>
      <c r="AX1" s="8"/>
    </row>
    <row r="2" spans="2:50" ht="18.75" x14ac:dyDescent="0.3">
      <c r="B2" s="13" t="s">
        <v>64</v>
      </c>
      <c r="C2" s="156">
        <v>42005</v>
      </c>
      <c r="D2" s="156"/>
      <c r="E2" s="14"/>
      <c r="F2" s="14"/>
      <c r="G2" s="14" t="s">
        <v>65</v>
      </c>
      <c r="H2" s="14"/>
      <c r="I2" s="7"/>
      <c r="J2" s="8"/>
      <c r="K2" s="8"/>
      <c r="L2" s="156">
        <v>42216</v>
      </c>
      <c r="M2" s="156"/>
      <c r="N2" s="156"/>
      <c r="O2" s="8"/>
      <c r="P2" s="8"/>
      <c r="Q2" s="8"/>
      <c r="R2" s="8"/>
      <c r="S2" s="9"/>
      <c r="T2" s="9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7"/>
      <c r="AG2" s="7"/>
      <c r="AH2" s="10"/>
      <c r="AI2" s="11"/>
      <c r="AJ2" s="11"/>
      <c r="AK2" s="11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8"/>
      <c r="AW2" s="8"/>
      <c r="AX2" s="8"/>
    </row>
    <row r="3" spans="2:50" ht="18.75" x14ac:dyDescent="0.3">
      <c r="B3" s="13" t="s">
        <v>30</v>
      </c>
      <c r="C3" s="99"/>
      <c r="D3" s="99"/>
      <c r="E3" s="99"/>
      <c r="F3" s="99"/>
      <c r="G3" s="99"/>
      <c r="H3" s="99"/>
      <c r="I3" s="100"/>
      <c r="J3" s="8"/>
      <c r="K3" s="8"/>
      <c r="L3" s="8"/>
      <c r="M3" s="8"/>
      <c r="N3" s="8"/>
      <c r="O3" s="8"/>
      <c r="P3" s="8"/>
      <c r="Q3" s="8"/>
      <c r="R3" s="8"/>
      <c r="S3" s="9"/>
      <c r="T3" s="9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7"/>
      <c r="AG3" s="7"/>
      <c r="AH3" s="10"/>
      <c r="AI3" s="11"/>
      <c r="AJ3" s="11"/>
      <c r="AK3" s="11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8"/>
      <c r="AW3" s="8"/>
      <c r="AX3" s="8"/>
    </row>
    <row r="4" spans="2:50" ht="18.75" x14ac:dyDescent="0.3">
      <c r="B4" s="13"/>
      <c r="C4" s="8"/>
      <c r="D4" s="7"/>
      <c r="E4" s="8"/>
      <c r="F4" s="8"/>
      <c r="G4" s="92" t="s">
        <v>164</v>
      </c>
      <c r="H4" s="92"/>
      <c r="I4" s="92"/>
      <c r="J4" s="92"/>
      <c r="K4" s="92"/>
      <c r="L4" s="92" t="str">
        <f>"Table1[@[DirectF"&amp;MONTH($C$2)&amp;"]:[IndirectF"&amp;MONTH($L$2)&amp;"]]"</f>
        <v>Table1[@[DirectF1]:[IndirectF7]]</v>
      </c>
      <c r="M4" s="14"/>
      <c r="N4" s="14"/>
      <c r="O4" s="14"/>
      <c r="P4" s="14"/>
      <c r="Q4" s="14"/>
      <c r="R4" s="8"/>
      <c r="S4" s="9"/>
      <c r="T4" s="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7"/>
      <c r="AG4" s="7"/>
      <c r="AH4" s="10"/>
      <c r="AI4" s="11"/>
      <c r="AJ4" s="11"/>
      <c r="AK4" s="11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8"/>
      <c r="AW4" s="8"/>
      <c r="AX4" s="8"/>
    </row>
    <row r="5" spans="2:50" ht="18.75" x14ac:dyDescent="0.3">
      <c r="B5" s="13"/>
      <c r="C5" s="8"/>
      <c r="D5" s="7"/>
      <c r="E5" s="8"/>
      <c r="F5" s="8"/>
      <c r="G5" s="92" t="s">
        <v>165</v>
      </c>
      <c r="H5" s="92"/>
      <c r="I5" s="92"/>
      <c r="J5" s="92"/>
      <c r="K5" s="92"/>
      <c r="L5" s="92" t="str">
        <f>"Table1[@[DirectI"&amp;MONTH($C$2)&amp;"]:[IndirectI"&amp;MONTH($L$2)&amp;"]]"</f>
        <v>Table1[@[DirectI1]:[IndirectI7]]</v>
      </c>
      <c r="M5" s="14"/>
      <c r="N5" s="14"/>
      <c r="O5" s="14"/>
      <c r="P5" s="14"/>
      <c r="Q5" s="14"/>
      <c r="R5" s="8"/>
      <c r="S5" s="9"/>
      <c r="T5" s="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7"/>
      <c r="AH5" s="10"/>
      <c r="AI5" s="11"/>
      <c r="AJ5" s="11"/>
      <c r="AK5" s="11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8"/>
      <c r="AW5" s="8"/>
      <c r="AX5" s="8"/>
    </row>
    <row r="6" spans="2:50" ht="18.75" x14ac:dyDescent="0.3">
      <c r="B6" s="13"/>
      <c r="C6" s="14"/>
      <c r="D6" s="7"/>
      <c r="E6" s="8"/>
      <c r="F6" s="8"/>
      <c r="G6" s="92" t="s">
        <v>166</v>
      </c>
      <c r="H6" s="92"/>
      <c r="I6" s="92"/>
      <c r="J6" s="92"/>
      <c r="K6" s="92"/>
      <c r="L6" s="92" t="str">
        <f>"Table1[@[FSSR"&amp;MONTH($C$2)&amp;"]:[InternR"&amp;MONTH($L$2)&amp;"]]"</f>
        <v>Table1[@[FSSR1]:[InternR7]]</v>
      </c>
      <c r="M6" s="14"/>
      <c r="N6" s="14"/>
      <c r="O6" s="14"/>
      <c r="P6" s="14"/>
      <c r="Q6" s="14"/>
      <c r="R6" s="8"/>
      <c r="S6" s="9"/>
      <c r="T6" s="9"/>
      <c r="U6" s="8" t="s">
        <v>196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7"/>
      <c r="AG6" s="7"/>
      <c r="AH6" s="10"/>
      <c r="AI6" s="11"/>
      <c r="AJ6" s="11"/>
      <c r="AK6" s="11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8"/>
      <c r="AW6" s="8"/>
      <c r="AX6" s="8"/>
    </row>
    <row r="7" spans="2:50" ht="18.75" x14ac:dyDescent="0.3">
      <c r="B7" s="15"/>
      <c r="C7" s="16"/>
      <c r="D7" s="31"/>
      <c r="E7" s="16"/>
      <c r="F7" s="16"/>
      <c r="G7" s="16"/>
      <c r="H7" s="16"/>
      <c r="T7" s="25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70"/>
      <c r="AH7" s="70"/>
      <c r="AI7" s="70"/>
      <c r="AJ7" s="70"/>
      <c r="AK7" s="70"/>
    </row>
    <row r="8" spans="2:50" s="34" customFormat="1" ht="192" customHeight="1" x14ac:dyDescent="0.45">
      <c r="B8" s="46" t="s">
        <v>73</v>
      </c>
      <c r="C8" s="77" t="s">
        <v>68</v>
      </c>
      <c r="D8" s="77" t="s">
        <v>69</v>
      </c>
      <c r="E8" s="96" t="s">
        <v>70</v>
      </c>
      <c r="F8" s="43"/>
      <c r="G8" s="91" t="s">
        <v>31</v>
      </c>
      <c r="H8" s="44"/>
      <c r="I8" s="32" t="s">
        <v>80</v>
      </c>
      <c r="J8" s="33" t="s">
        <v>79</v>
      </c>
      <c r="K8" s="33" t="s">
        <v>74</v>
      </c>
      <c r="L8" s="42" t="s">
        <v>75</v>
      </c>
      <c r="M8" s="43"/>
      <c r="N8" s="88" t="s">
        <v>82</v>
      </c>
      <c r="O8" s="88" t="s">
        <v>83</v>
      </c>
      <c r="P8" s="88" t="s">
        <v>86</v>
      </c>
      <c r="Q8" s="88" t="s">
        <v>84</v>
      </c>
      <c r="R8" s="88" t="s">
        <v>85</v>
      </c>
      <c r="S8" s="79"/>
      <c r="T8" s="45"/>
      <c r="U8" s="89" t="s">
        <v>22</v>
      </c>
      <c r="V8" s="89" t="s">
        <v>78</v>
      </c>
      <c r="W8" s="89" t="s">
        <v>33</v>
      </c>
      <c r="X8" s="89" t="s">
        <v>28</v>
      </c>
      <c r="Y8" s="89" t="s">
        <v>34</v>
      </c>
      <c r="Z8" s="89" t="s">
        <v>27</v>
      </c>
      <c r="AA8" s="90" t="s">
        <v>35</v>
      </c>
      <c r="AB8" s="90" t="s">
        <v>36</v>
      </c>
      <c r="AC8" s="90" t="s">
        <v>37</v>
      </c>
      <c r="AD8" s="35" t="s">
        <v>38</v>
      </c>
      <c r="AE8" s="35" t="s">
        <v>76</v>
      </c>
      <c r="AF8" s="35" t="s">
        <v>40</v>
      </c>
      <c r="AG8" s="36"/>
      <c r="AH8" s="37" t="s">
        <v>77</v>
      </c>
      <c r="AJ8" s="38" t="s">
        <v>22</v>
      </c>
      <c r="AK8" s="38" t="s">
        <v>32</v>
      </c>
      <c r="AL8" s="39" t="s">
        <v>33</v>
      </c>
      <c r="AM8" s="39" t="s">
        <v>28</v>
      </c>
      <c r="AN8" s="39" t="s">
        <v>34</v>
      </c>
      <c r="AO8" s="39" t="s">
        <v>27</v>
      </c>
      <c r="AP8" s="39" t="s">
        <v>35</v>
      </c>
      <c r="AQ8" s="39" t="s">
        <v>36</v>
      </c>
      <c r="AR8" s="39" t="s">
        <v>37</v>
      </c>
      <c r="AS8" s="39" t="s">
        <v>38</v>
      </c>
      <c r="AT8" s="39" t="s">
        <v>39</v>
      </c>
      <c r="AU8" s="39" t="s">
        <v>40</v>
      </c>
      <c r="AV8" s="40"/>
      <c r="AW8" s="41" t="s">
        <v>41</v>
      </c>
      <c r="AX8" s="98" t="s">
        <v>42</v>
      </c>
    </row>
    <row r="9" spans="2:50" ht="17.25" customHeight="1" x14ac:dyDescent="0.3">
      <c r="B9" s="93" t="s">
        <v>22</v>
      </c>
      <c r="C9" s="29">
        <f ca="1">SUMPRODUCT(--(Table1[Referral reason]=$B9),Table1[Calculated as active in this date range?],Table1[Sum, FSS for this range])</f>
        <v>0</v>
      </c>
      <c r="D9" s="29">
        <f ca="1">SUMPRODUCT(--(Table1[Referral reason]=$B9),Table1[Calculated as active in this date range?],Table1[Sum, Intern for this range])</f>
        <v>0</v>
      </c>
      <c r="E9" s="94">
        <f ca="1">C9+D9</f>
        <v>0</v>
      </c>
      <c r="F9"/>
      <c r="G9" s="94">
        <f ca="1">SUMPRODUCT(--(Table1[Referral reason]=$B9),Table1[Calculated as active in this date range?],Table1[Sum, Resource for this range])</f>
        <v>0</v>
      </c>
      <c r="H9"/>
      <c r="I9" s="29">
        <f>COUNTIFS(Table1[Date Case Opened],"&gt;="&amp;$C$2,Table1[Date Case Opened],"&lt;="&amp;$L$2,Table1[Referral reason],"="&amp;$B9)</f>
        <v>0</v>
      </c>
      <c r="J9" s="29">
        <f>COUNTIFS(Table1[Date Case Opened],"&lt;"&amp;$C$2,Table1[Date Case Closed],"",Table1[Referral reason],"="&amp;$B9)+COUNTIFS(Table1[Date Case Opened],"&lt;"&amp;$C$2,Table1[Date Case Closed],"&gt;="&amp;$L$2,Table1[Referral reason],"="&amp;$B9)</f>
        <v>0</v>
      </c>
      <c r="K9" s="29">
        <f>COUNTIFS(Table1[Date Case Closed],"&gt;="&amp;$C$2,Table1[Date Case Closed],"&lt;="&amp;$L$2,Table1[Referral reason],"="&amp;$B9)</f>
        <v>0</v>
      </c>
      <c r="L9" s="94">
        <f>SUM(I9:K9)-COUNTIFS(Table1[Date Case Opened],"&gt;="&amp;$C$2,Table1[Date Case Closed],"&lt;="&amp;$L$2,Table1[Referral reason],"="&amp;$B9)</f>
        <v>0</v>
      </c>
      <c r="M9" s="24"/>
      <c r="N9" s="78">
        <f>SUMPRODUCT(--(Table1[Referral reason]=$B9),Table1[Calculated as active in this date range?],Table1['# times reported to CPS])</f>
        <v>0</v>
      </c>
      <c r="O9" s="78">
        <f>SUMPRODUCT(--(Table1[Referral reason]=$B9),Table1[Calculated as active in this date range?],Table1['# times reported to APS])</f>
        <v>0</v>
      </c>
      <c r="P9" s="78">
        <f>SUMPRODUCT(--(Table1[Referral reason]=$B9),Table1[Calculated as active in this date range?],Table1['# times police called])</f>
        <v>0</v>
      </c>
      <c r="Q9" s="78">
        <f>SUMPRODUCT(--(Table1[Referral reason]=$B9),Table1[Calculated as active in this date range?],Table1['# suicide attempts])</f>
        <v>0</v>
      </c>
      <c r="R9" s="78">
        <f>SUMPRODUCT(--(Table1[Referral reason]=$B9),Table1[Calculated as active in this date range?],Table1['# suicide deaths])</f>
        <v>0</v>
      </c>
      <c r="S9" s="23"/>
      <c r="T9" s="30"/>
      <c r="U9" s="29">
        <f>COUNTIFS(Table1[DV],"&lt;&gt;"&amp;"",Table1[Referral reason],"="&amp;$B9,Table1[Calculated as active in this date range?],1)</f>
        <v>0</v>
      </c>
      <c r="V9" s="29">
        <f>COUNTIFS(Table1[Sexual assault],"&lt;&gt;"&amp;"",Table1[Referral reason],"="&amp;$B9,Table1[Calculated as active in this date range?],1)</f>
        <v>0</v>
      </c>
      <c r="W9" s="29">
        <f>COUNTIFS(Table1[Severe Mental Health],"&lt;&gt;"&amp;"",Table1[Referral reason],"="&amp;$B9,Table1[Calculated as active in this date range?],1)</f>
        <v>0</v>
      </c>
      <c r="X9" s="29">
        <f>COUNTIFS(Table1[Child Welfare],"&lt;&gt;"&amp;"",Table1[Referral reason],"="&amp;$B9,Table1[Calculated as active in this date range?],1)</f>
        <v>0</v>
      </c>
      <c r="Y9" s="29">
        <f>COUNTIFS(Table1[Suicide Ideation],"&lt;&gt;"&amp;"",Table1[Referral reason],"="&amp;$B9,Table1[Calculated as active in this date range?],1)</f>
        <v>0</v>
      </c>
      <c r="Z9" s="29">
        <f>COUNTIFS(Table1[LGBT],"&lt;&gt;"&amp;"",Table1[Referral reason],"="&amp;$B9,Table1[Calculated as active in this date range?],1)</f>
        <v>0</v>
      </c>
      <c r="AA9" s="29">
        <f>COUNTIFS(Table1[Crime Complication],"&lt;&gt;"&amp;"",Table1[Referral reason],"="&amp;$B9,Table1[Calculated as active in this date range?],1)</f>
        <v>0</v>
      </c>
      <c r="AB9" s="29">
        <f>COUNTIFS(Table1[Substance Abuse],"&lt;&gt;"&amp;"",Table1[Referral reason],"="&amp;$B9,Table1[Calculated as active in this date range?],1)</f>
        <v>0</v>
      </c>
      <c r="AC9" s="29">
        <f>COUNTIFS(Table1[Elder Abuse],"&lt;&gt;"&amp;"",Table1[Referral reason],"="&amp;$B9,Table1[Calculated as active in this date range?],1)</f>
        <v>0</v>
      </c>
      <c r="AD9" s="29">
        <f>COUNTIFS(Table1[Housing],"&lt;&gt;"&amp;"",Table1[Referral reason],"="&amp;$B9,Table1[Calculated as active in this date range?],1)</f>
        <v>0</v>
      </c>
      <c r="AE9" s="29">
        <f>COUNTIFS(Table1[Disability or Other Health],"&lt;&gt;"&amp;"",Table1[Referral reason],"="&amp;$B9,Table1[Calculated as active in this date range?],1)</f>
        <v>0</v>
      </c>
      <c r="AF9" s="29">
        <f>COUNTIFS(Table1[Legal Issues (Other)],"&lt;&gt;"&amp;"",Table1[Referral reason],"="&amp;$B9,Table1[Calculated as active in this date range?],1)</f>
        <v>0</v>
      </c>
      <c r="AG9" s="25"/>
      <c r="AH9" s="94">
        <f>SUMPRODUCT(--(Table1[Referral reason]=$B9),Table1[Calculated as active in this date range?],Table1['# in household (include client)])-L9</f>
        <v>0</v>
      </c>
      <c r="AJ9" s="29">
        <f>COUNTIFS(Table1[DV-HH],"&lt;&gt;"&amp;"",Table1[Referral reason],"="&amp;$B9,Table1[Calculated as active in this date range?],1)</f>
        <v>0</v>
      </c>
      <c r="AK9" s="29">
        <f>COUNTIFS(Table1[Sexual assault-HH],"&lt;&gt;"&amp;"",Table1[Referral reason],"="&amp;$B9,Table1[Calculated as active in this date range?],1)</f>
        <v>0</v>
      </c>
      <c r="AL9" s="29">
        <f>COUNTIFS(Table1[Severe Mental Health-HH],"&lt;&gt;"&amp;"",Table1[Referral reason],"="&amp;$B9,Table1[Calculated as active in this date range?],1)</f>
        <v>0</v>
      </c>
      <c r="AM9" s="29">
        <f>COUNTIFS(Table1[Child Welfare-HH],"&lt;&gt;"&amp;"",Table1[Referral reason],"="&amp;$B9,Table1[Calculated as active in this date range?],1)</f>
        <v>0</v>
      </c>
      <c r="AN9" s="29">
        <f>COUNTIFS(Table1[Suicide Ideation-HH],"&lt;&gt;"&amp;"",Table1[Referral reason],"="&amp;$B9,Table1[Calculated as active in this date range?],1)</f>
        <v>0</v>
      </c>
      <c r="AO9" s="29">
        <f>COUNTIFS(Table1[LGBT-HH],"&lt;&gt;"&amp;"",Table1[Referral reason],"="&amp;$B9,Table1[Calculated as active in this date range?],1)</f>
        <v>0</v>
      </c>
      <c r="AP9" s="29">
        <f>COUNTIFS(Table1[Crime Complication-HH],"&lt;&gt;"&amp;"",Table1[Referral reason],"="&amp;$B9,Table1[Calculated as active in this date range?],1)</f>
        <v>0</v>
      </c>
      <c r="AQ9" s="29">
        <f>COUNTIFS(Table1[Substance Abuse-HH],"&lt;&gt;"&amp;"",Table1[Referral reason],"="&amp;$B9,Table1[Calculated as active in this date range?],1)</f>
        <v>0</v>
      </c>
      <c r="AR9" s="29">
        <f>COUNTIFS(Table1[Elder Abuse-HH],"&lt;&gt;"&amp;"",Table1[Referral reason],"="&amp;$B9,Table1[Calculated as active in this date range?],1)</f>
        <v>0</v>
      </c>
      <c r="AS9" s="29">
        <f>COUNTIFS(Table1[Housing-HH],"&lt;&gt;"&amp;"",Table1[Referral reason],"="&amp;$B9,Table1[Calculated as active in this date range?],1)</f>
        <v>0</v>
      </c>
      <c r="AT9" s="29">
        <f>COUNTIFS(Table1[Disability or Other Health-HH],"&lt;&gt;"&amp;"",Table1[Referral reason],"="&amp;$B9,Table1[Calculated as active in this date range?],1)</f>
        <v>0</v>
      </c>
      <c r="AU9" s="29">
        <f>COUNTIFS(Table1[Legal Issues (Other)-HH],"&lt;&gt;"&amp;"",Table1[Referral reason],"="&amp;$B9,Table1[Calculated as active in this date range?],1)</f>
        <v>0</v>
      </c>
      <c r="AV9" s="22"/>
      <c r="AW9" s="21" t="s">
        <v>43</v>
      </c>
      <c r="AX9" s="29">
        <f>COUNTIFS(Table1[Calculated as active in this date range?],1,Table1[Country of Origin],"="&amp;$AW9)</f>
        <v>0</v>
      </c>
    </row>
    <row r="10" spans="2:50" ht="17.25" customHeight="1" x14ac:dyDescent="0.3">
      <c r="B10" s="93" t="s">
        <v>173</v>
      </c>
      <c r="C10" s="29">
        <f ca="1">SUMPRODUCT(--(Table1[Referral reason]=$B10),Table1[Calculated as active in this date range?],Table1[Sum, FSS for this range])</f>
        <v>0</v>
      </c>
      <c r="D10" s="29">
        <f ca="1">SUMPRODUCT(--(Table1[Referral reason]=$B10),Table1[Calculated as active in this date range?],Table1[Sum, Intern for this range])</f>
        <v>0</v>
      </c>
      <c r="E10" s="94">
        <f t="shared" ref="E10:E17" ca="1" si="0">C10+D10</f>
        <v>0</v>
      </c>
      <c r="F10"/>
      <c r="G10" s="94">
        <f ca="1">SUMPRODUCT(--(Table1[Referral reason]=$B10),Table1[Calculated as active in this date range?],Table1[Sum, Resource for this range])</f>
        <v>0</v>
      </c>
      <c r="H10"/>
      <c r="I10" s="29">
        <f>COUNTIFS(Table1[Date Case Opened],"&gt;="&amp;$C$2,Table1[Date Case Opened],"&lt;="&amp;$L$2,Table1[Referral reason],"="&amp;$B10)</f>
        <v>0</v>
      </c>
      <c r="J10" s="29">
        <f>COUNTIFS(Table1[Date Case Opened],"&lt;"&amp;$C$2,Table1[Date Case Closed],"",Table1[Referral reason],"="&amp;$B10)+COUNTIFS(Table1[Date Case Opened],"&lt;"&amp;$C$2,Table1[Date Case Closed],"&gt;="&amp;$L$2,Table1[Referral reason],"="&amp;$B10)</f>
        <v>0</v>
      </c>
      <c r="K10" s="29">
        <f>COUNTIFS(Table1[Date Case Closed],"&gt;="&amp;$C$2,Table1[Date Case Closed],"&lt;="&amp;$L$2,Table1[Referral reason],"="&amp;$B10)</f>
        <v>0</v>
      </c>
      <c r="L10" s="94">
        <f>SUM(I10:K10)-COUNTIFS(Table1[Date Case Opened],"&gt;="&amp;$C$2,Table1[Date Case Closed],"&lt;="&amp;$L$2,Table1[Referral reason],"="&amp;$B10)</f>
        <v>0</v>
      </c>
      <c r="M10" s="24"/>
      <c r="N10" s="29">
        <f>SUMPRODUCT(--(Table1[Referral reason]=$B10),Table1[Calculated as active in this date range?],Table1['# times reported to CPS])</f>
        <v>0</v>
      </c>
      <c r="O10" s="29">
        <f>SUMPRODUCT(--(Table1[Referral reason]=$B10),Table1[Calculated as active in this date range?],Table1['# times reported to APS])</f>
        <v>0</v>
      </c>
      <c r="P10" s="29">
        <f>SUMPRODUCT(--(Table1[Referral reason]=$B10),Table1[Calculated as active in this date range?],Table1['# times police called])</f>
        <v>0</v>
      </c>
      <c r="Q10" s="29">
        <f>SUMPRODUCT(--(Table1[Referral reason]=$B10),Table1[Calculated as active in this date range?],Table1['# suicide attempts])</f>
        <v>0</v>
      </c>
      <c r="R10" s="29">
        <f>SUMPRODUCT(--(Table1[Referral reason]=$B10),Table1[Calculated as active in this date range?],Table1['# suicide deaths])</f>
        <v>0</v>
      </c>
      <c r="S10" s="23"/>
      <c r="T10" s="30"/>
      <c r="U10" s="29">
        <f>COUNTIFS(Table1[DV],"&lt;&gt;"&amp;"",Table1[Referral reason],"="&amp;$B10,Table1[Calculated as active in this date range?],1)</f>
        <v>0</v>
      </c>
      <c r="V10" s="29">
        <f>COUNTIFS(Table1[Sexual assault],"&lt;&gt;"&amp;"",Table1[Referral reason],"="&amp;$B10,Table1[Calculated as active in this date range?],1)</f>
        <v>0</v>
      </c>
      <c r="W10" s="29">
        <f>COUNTIFS(Table1[Severe Mental Health],"&lt;&gt;"&amp;"",Table1[Referral reason],"="&amp;$B10,Table1[Calculated as active in this date range?],1)</f>
        <v>0</v>
      </c>
      <c r="X10" s="29">
        <f>COUNTIFS(Table1[Child Welfare],"&lt;&gt;"&amp;"",Table1[Referral reason],"="&amp;$B10,Table1[Calculated as active in this date range?],1)</f>
        <v>0</v>
      </c>
      <c r="Y10" s="29">
        <f>COUNTIFS(Table1[Suicide Ideation],"&lt;&gt;"&amp;"",Table1[Referral reason],"="&amp;$B10,Table1[Calculated as active in this date range?],1)</f>
        <v>0</v>
      </c>
      <c r="Z10" s="29">
        <f>COUNTIFS(Table1[LGBT],"&lt;&gt;"&amp;"",Table1[Referral reason],"="&amp;$B10,Table1[Calculated as active in this date range?],1)</f>
        <v>0</v>
      </c>
      <c r="AA10" s="29">
        <f>COUNTIFS(Table1[Crime Complication],"&lt;&gt;"&amp;"",Table1[Referral reason],"="&amp;$B10,Table1[Calculated as active in this date range?],1)</f>
        <v>0</v>
      </c>
      <c r="AB10" s="29">
        <f>COUNTIFS(Table1[Substance Abuse],"&lt;&gt;"&amp;"",Table1[Referral reason],"="&amp;$B10,Table1[Calculated as active in this date range?],1)</f>
        <v>0</v>
      </c>
      <c r="AC10" s="29">
        <f>COUNTIFS(Table1[Elder Abuse],"&lt;&gt;"&amp;"",Table1[Referral reason],"="&amp;$B10,Table1[Calculated as active in this date range?],1)</f>
        <v>0</v>
      </c>
      <c r="AD10" s="29">
        <f>COUNTIFS(Table1[Housing],"&lt;&gt;"&amp;"",Table1[Referral reason],"="&amp;$B10,Table1[Calculated as active in this date range?],1)</f>
        <v>0</v>
      </c>
      <c r="AE10" s="29">
        <f>COUNTIFS(Table1[Disability or Other Health],"&lt;&gt;"&amp;"",Table1[Referral reason],"="&amp;$B10,Table1[Calculated as active in this date range?],1)</f>
        <v>0</v>
      </c>
      <c r="AF10" s="29">
        <f>COUNTIFS(Table1[Legal Issues (Other)],"&lt;&gt;"&amp;"",Table1[Referral reason],"="&amp;$B10,Table1[Calculated as active in this date range?],1)</f>
        <v>0</v>
      </c>
      <c r="AG10" s="25"/>
      <c r="AH10" s="94">
        <f>SUMPRODUCT(--(Table1[Referral reason]=$B10),Table1[Calculated as active in this date range?],Table1['# in household (include client)])-L10</f>
        <v>0</v>
      </c>
      <c r="AJ10" s="29">
        <f>COUNTIFS(Table1[DV-HH],"&lt;&gt;"&amp;"",Table1[Referral reason],"="&amp;$B10,Table1[Calculated as active in this date range?],1)</f>
        <v>0</v>
      </c>
      <c r="AK10" s="29">
        <f>COUNTIFS(Table1[Sexual assault-HH],"&lt;&gt;"&amp;"",Table1[Referral reason],"="&amp;$B10,Table1[Calculated as active in this date range?],1)</f>
        <v>0</v>
      </c>
      <c r="AL10" s="29">
        <f>COUNTIFS(Table1[Severe Mental Health-HH],"&lt;&gt;"&amp;"",Table1[Referral reason],"="&amp;$B10,Table1[Calculated as active in this date range?],1)</f>
        <v>0</v>
      </c>
      <c r="AM10" s="29">
        <f>COUNTIFS(Table1[Child Welfare-HH],"&lt;&gt;"&amp;"",Table1[Referral reason],"="&amp;$B10,Table1[Calculated as active in this date range?],1)</f>
        <v>0</v>
      </c>
      <c r="AN10" s="29">
        <f>COUNTIFS(Table1[Suicide Ideation-HH],"&lt;&gt;"&amp;"",Table1[Referral reason],"="&amp;$B10,Table1[Calculated as active in this date range?],1)</f>
        <v>0</v>
      </c>
      <c r="AO10" s="29">
        <f>COUNTIFS(Table1[LGBT-HH],"&lt;&gt;"&amp;"",Table1[Referral reason],"="&amp;$B10,Table1[Calculated as active in this date range?],1)</f>
        <v>0</v>
      </c>
      <c r="AP10" s="29">
        <f>COUNTIFS(Table1[Crime Complication-HH],"&lt;&gt;"&amp;"",Table1[Referral reason],"="&amp;$B10,Table1[Calculated as active in this date range?],1)</f>
        <v>0</v>
      </c>
      <c r="AQ10" s="29">
        <f>COUNTIFS(Table1[Substance Abuse-HH],"&lt;&gt;"&amp;"",Table1[Referral reason],"="&amp;$B10,Table1[Calculated as active in this date range?],1)</f>
        <v>0</v>
      </c>
      <c r="AR10" s="29">
        <f>COUNTIFS(Table1[Elder Abuse-HH],"&lt;&gt;"&amp;"",Table1[Referral reason],"="&amp;$B10,Table1[Calculated as active in this date range?],1)</f>
        <v>0</v>
      </c>
      <c r="AS10" s="29">
        <f>COUNTIFS(Table1[Housing-HH],"&lt;&gt;"&amp;"",Table1[Referral reason],"="&amp;$B10,Table1[Calculated as active in this date range?],1)</f>
        <v>0</v>
      </c>
      <c r="AT10" s="29">
        <f>COUNTIFS(Table1[Disability or Other Health-HH],"&lt;&gt;"&amp;"",Table1[Referral reason],"="&amp;$B10,Table1[Calculated as active in this date range?],1)</f>
        <v>0</v>
      </c>
      <c r="AU10" s="29">
        <f>COUNTIFS(Table1[Legal Issues (Other)-HH],"&lt;&gt;"&amp;"",Table1[Referral reason],"="&amp;$B10,Table1[Calculated as active in this date range?],1)</f>
        <v>0</v>
      </c>
      <c r="AV10" s="22"/>
      <c r="AW10" s="21" t="s">
        <v>25</v>
      </c>
      <c r="AX10" s="29">
        <f>COUNTIFS(Table1[Calculated as active in this date range?],1,Table1[Country of Origin],"="&amp;$AW10)</f>
        <v>1</v>
      </c>
    </row>
    <row r="11" spans="2:50" ht="17.25" customHeight="1" x14ac:dyDescent="0.3">
      <c r="B11" s="93" t="s">
        <v>174</v>
      </c>
      <c r="C11" s="29">
        <f ca="1">SUMPRODUCT(--(Table1[Referral reason]=$B11),Table1[Calculated as active in this date range?],Table1[Sum, FSS for this range])</f>
        <v>0</v>
      </c>
      <c r="D11" s="29">
        <f ca="1">SUMPRODUCT(--(Table1[Referral reason]=$B11),Table1[Calculated as active in this date range?],Table1[Sum, Intern for this range])</f>
        <v>0</v>
      </c>
      <c r="E11" s="94">
        <f t="shared" ca="1" si="0"/>
        <v>0</v>
      </c>
      <c r="F11"/>
      <c r="G11" s="94">
        <f ca="1">SUMPRODUCT(--(Table1[Referral reason]=$B11),Table1[Calculated as active in this date range?],Table1[Sum, Resource for this range])</f>
        <v>0</v>
      </c>
      <c r="H11"/>
      <c r="I11" s="29">
        <f>COUNTIFS(Table1[Date Case Opened],"&gt;="&amp;$C$2,Table1[Date Case Opened],"&lt;="&amp;$L$2,Table1[Referral reason],"="&amp;$B11)</f>
        <v>0</v>
      </c>
      <c r="J11" s="29">
        <f>COUNTIFS(Table1[Date Case Opened],"&lt;"&amp;$C$2,Table1[Date Case Closed],"",Table1[Referral reason],"="&amp;$B11)+COUNTIFS(Table1[Date Case Opened],"&lt;"&amp;$C$2,Table1[Date Case Closed],"&gt;="&amp;$L$2,Table1[Referral reason],"="&amp;$B11)</f>
        <v>0</v>
      </c>
      <c r="K11" s="29">
        <f>COUNTIFS(Table1[Date Case Closed],"&gt;="&amp;$C$2,Table1[Date Case Closed],"&lt;="&amp;$L$2,Table1[Referral reason],"="&amp;$B11)</f>
        <v>0</v>
      </c>
      <c r="L11" s="94">
        <f>SUM(I11:K11)-COUNTIFS(Table1[Date Case Opened],"&gt;="&amp;$C$2,Table1[Date Case Closed],"&lt;="&amp;$L$2,Table1[Referral reason],"="&amp;$B11)</f>
        <v>0</v>
      </c>
      <c r="M11" s="24"/>
      <c r="N11" s="29">
        <f>SUMPRODUCT(--(Table1[Referral reason]=$B11),Table1[Calculated as active in this date range?],Table1['# times reported to CPS])</f>
        <v>0</v>
      </c>
      <c r="O11" s="29">
        <f>SUMPRODUCT(--(Table1[Referral reason]=$B11),Table1[Calculated as active in this date range?],Table1['# times reported to APS])</f>
        <v>0</v>
      </c>
      <c r="P11" s="29">
        <f>SUMPRODUCT(--(Table1[Referral reason]=$B11),Table1[Calculated as active in this date range?],Table1['# times police called])</f>
        <v>0</v>
      </c>
      <c r="Q11" s="29">
        <f>SUMPRODUCT(--(Table1[Referral reason]=$B11),Table1[Calculated as active in this date range?],Table1['# suicide attempts])</f>
        <v>0</v>
      </c>
      <c r="R11" s="29">
        <f>SUMPRODUCT(--(Table1[Referral reason]=$B11),Table1[Calculated as active in this date range?],Table1['# suicide deaths])</f>
        <v>0</v>
      </c>
      <c r="S11" s="23"/>
      <c r="T11" s="30"/>
      <c r="U11" s="29">
        <f>COUNTIFS(Table1[DV],"&lt;&gt;"&amp;"",Table1[Referral reason],"="&amp;$B11,Table1[Calculated as active in this date range?],1)</f>
        <v>0</v>
      </c>
      <c r="V11" s="29">
        <f>COUNTIFS(Table1[Sexual assault],"&lt;&gt;"&amp;"",Table1[Referral reason],"="&amp;$B11,Table1[Calculated as active in this date range?],1)</f>
        <v>0</v>
      </c>
      <c r="W11" s="29">
        <f>COUNTIFS(Table1[Severe Mental Health],"&lt;&gt;"&amp;"",Table1[Referral reason],"="&amp;$B11,Table1[Calculated as active in this date range?],1)</f>
        <v>0</v>
      </c>
      <c r="X11" s="29">
        <f>COUNTIFS(Table1[Child Welfare],"&lt;&gt;"&amp;"",Table1[Referral reason],"="&amp;$B11,Table1[Calculated as active in this date range?],1)</f>
        <v>0</v>
      </c>
      <c r="Y11" s="29">
        <f>COUNTIFS(Table1[Suicide Ideation],"&lt;&gt;"&amp;"",Table1[Referral reason],"="&amp;$B11,Table1[Calculated as active in this date range?],1)</f>
        <v>0</v>
      </c>
      <c r="Z11" s="29">
        <f>COUNTIFS(Table1[LGBT],"&lt;&gt;"&amp;"",Table1[Referral reason],"="&amp;$B11,Table1[Calculated as active in this date range?],1)</f>
        <v>0</v>
      </c>
      <c r="AA11" s="29">
        <f>COUNTIFS(Table1[Crime Complication],"&lt;&gt;"&amp;"",Table1[Referral reason],"="&amp;$B11,Table1[Calculated as active in this date range?],1)</f>
        <v>0</v>
      </c>
      <c r="AB11" s="29">
        <f>COUNTIFS(Table1[Substance Abuse],"&lt;&gt;"&amp;"",Table1[Referral reason],"="&amp;$B11,Table1[Calculated as active in this date range?],1)</f>
        <v>0</v>
      </c>
      <c r="AC11" s="29">
        <f>COUNTIFS(Table1[Elder Abuse],"&lt;&gt;"&amp;"",Table1[Referral reason],"="&amp;$B11,Table1[Calculated as active in this date range?],1)</f>
        <v>0</v>
      </c>
      <c r="AD11" s="29">
        <f>COUNTIFS(Table1[Housing],"&lt;&gt;"&amp;"",Table1[Referral reason],"="&amp;$B11,Table1[Calculated as active in this date range?],1)</f>
        <v>0</v>
      </c>
      <c r="AE11" s="29">
        <f>COUNTIFS(Table1[Disability or Other Health],"&lt;&gt;"&amp;"",Table1[Referral reason],"="&amp;$B11,Table1[Calculated as active in this date range?],1)</f>
        <v>0</v>
      </c>
      <c r="AF11" s="29">
        <f>COUNTIFS(Table1[Legal Issues (Other)],"&lt;&gt;"&amp;"",Table1[Referral reason],"="&amp;$B11,Table1[Calculated as active in this date range?],1)</f>
        <v>0</v>
      </c>
      <c r="AG11" s="25"/>
      <c r="AH11" s="94">
        <f>SUMPRODUCT(--(Table1[Referral reason]=$B11),Table1[Calculated as active in this date range?],Table1['# in household (include client)])-L11</f>
        <v>0</v>
      </c>
      <c r="AJ11" s="29">
        <f>COUNTIFS(Table1[DV-HH],"&lt;&gt;"&amp;"",Table1[Referral reason],"="&amp;$B11,Table1[Calculated as active in this date range?],1)</f>
        <v>0</v>
      </c>
      <c r="AK11" s="29">
        <f>COUNTIFS(Table1[Sexual assault-HH],"&lt;&gt;"&amp;"",Table1[Referral reason],"="&amp;$B11,Table1[Calculated as active in this date range?],1)</f>
        <v>0</v>
      </c>
      <c r="AL11" s="29">
        <f>COUNTIFS(Table1[Severe Mental Health-HH],"&lt;&gt;"&amp;"",Table1[Referral reason],"="&amp;$B11,Table1[Calculated as active in this date range?],1)</f>
        <v>0</v>
      </c>
      <c r="AM11" s="29">
        <f>COUNTIFS(Table1[Child Welfare-HH],"&lt;&gt;"&amp;"",Table1[Referral reason],"="&amp;$B11,Table1[Calculated as active in this date range?],1)</f>
        <v>0</v>
      </c>
      <c r="AN11" s="29">
        <f>COUNTIFS(Table1[Suicide Ideation-HH],"&lt;&gt;"&amp;"",Table1[Referral reason],"="&amp;$B11,Table1[Calculated as active in this date range?],1)</f>
        <v>0</v>
      </c>
      <c r="AO11" s="29">
        <f>COUNTIFS(Table1[LGBT-HH],"&lt;&gt;"&amp;"",Table1[Referral reason],"="&amp;$B11,Table1[Calculated as active in this date range?],1)</f>
        <v>0</v>
      </c>
      <c r="AP11" s="29">
        <f>COUNTIFS(Table1[Crime Complication-HH],"&lt;&gt;"&amp;"",Table1[Referral reason],"="&amp;$B11,Table1[Calculated as active in this date range?],1)</f>
        <v>0</v>
      </c>
      <c r="AQ11" s="29">
        <f>COUNTIFS(Table1[Substance Abuse-HH],"&lt;&gt;"&amp;"",Table1[Referral reason],"="&amp;$B11,Table1[Calculated as active in this date range?],1)</f>
        <v>0</v>
      </c>
      <c r="AR11" s="29">
        <f>COUNTIFS(Table1[Elder Abuse-HH],"&lt;&gt;"&amp;"",Table1[Referral reason],"="&amp;$B11,Table1[Calculated as active in this date range?],1)</f>
        <v>0</v>
      </c>
      <c r="AS11" s="29">
        <f>COUNTIFS(Table1[Housing-HH],"&lt;&gt;"&amp;"",Table1[Referral reason],"="&amp;$B11,Table1[Calculated as active in this date range?],1)</f>
        <v>0</v>
      </c>
      <c r="AT11" s="29">
        <f>COUNTIFS(Table1[Disability or Other Health-HH],"&lt;&gt;"&amp;"",Table1[Referral reason],"="&amp;$B11,Table1[Calculated as active in this date range?],1)</f>
        <v>0</v>
      </c>
      <c r="AU11" s="29">
        <f>COUNTIFS(Table1[Legal Issues (Other)-HH],"&lt;&gt;"&amp;"",Table1[Referral reason],"="&amp;$B11,Table1[Calculated as active in this date range?],1)</f>
        <v>0</v>
      </c>
      <c r="AV11" s="22"/>
      <c r="AW11" s="21" t="s">
        <v>194</v>
      </c>
      <c r="AX11" s="29">
        <f>COUNTIFS(Table1[Calculated as active in this date range?],1,Table1[Country of Origin],"="&amp;$AW11)</f>
        <v>0</v>
      </c>
    </row>
    <row r="12" spans="2:50" ht="17.25" customHeight="1" x14ac:dyDescent="0.3">
      <c r="B12" s="93" t="s">
        <v>28</v>
      </c>
      <c r="C12" s="29">
        <f ca="1">SUMPRODUCT(--(Table1[Referral reason]=$B12),Table1[Calculated as active in this date range?],Table1[Sum, FSS for this range])</f>
        <v>33</v>
      </c>
      <c r="D12" s="29">
        <f ca="1">SUMPRODUCT(--(Table1[Referral reason]=$B12),Table1[Calculated as active in this date range?],Table1[Sum, Intern for this range])</f>
        <v>24</v>
      </c>
      <c r="E12" s="94">
        <f t="shared" ca="1" si="0"/>
        <v>57</v>
      </c>
      <c r="F12"/>
      <c r="G12" s="94">
        <f ca="1">SUMPRODUCT(--(Table1[Referral reason]=$B12),Table1[Calculated as active in this date range?],Table1[Sum, Resource for this range])</f>
        <v>9</v>
      </c>
      <c r="H12"/>
      <c r="I12" s="29">
        <f>COUNTIFS(Table1[Date Case Opened],"&gt;="&amp;$C$2,Table1[Date Case Opened],"&lt;="&amp;$L$2,Table1[Referral reason],"="&amp;$B12)</f>
        <v>1</v>
      </c>
      <c r="J12" s="29">
        <f>COUNTIFS(Table1[Date Case Opened],"&lt;"&amp;$C$2,Table1[Date Case Closed],"",Table1[Referral reason],"="&amp;$B12)+COUNTIFS(Table1[Date Case Opened],"&lt;"&amp;$C$2,Table1[Date Case Closed],"&gt;="&amp;$L$2,Table1[Referral reason],"="&amp;$B12)</f>
        <v>0</v>
      </c>
      <c r="K12" s="29">
        <f>COUNTIFS(Table1[Date Case Closed],"&gt;="&amp;$C$2,Table1[Date Case Closed],"&lt;="&amp;$L$2,Table1[Referral reason],"="&amp;$B12)</f>
        <v>0</v>
      </c>
      <c r="L12" s="94">
        <f>SUM(I12:K12)-COUNTIFS(Table1[Date Case Opened],"&gt;="&amp;$C$2,Table1[Date Case Closed],"&lt;="&amp;$L$2,Table1[Referral reason],"="&amp;$B12)</f>
        <v>1</v>
      </c>
      <c r="M12" s="24"/>
      <c r="N12" s="29">
        <f>SUMPRODUCT(--(Table1[Referral reason]=$B12),Table1[Calculated as active in this date range?],Table1['# times reported to CPS])</f>
        <v>1</v>
      </c>
      <c r="O12" s="29">
        <f>SUMPRODUCT(--(Table1[Referral reason]=$B12),Table1[Calculated as active in this date range?],Table1['# times reported to APS])</f>
        <v>1</v>
      </c>
      <c r="P12" s="29">
        <f>SUMPRODUCT(--(Table1[Referral reason]=$B12),Table1[Calculated as active in this date range?],Table1['# times police called])</f>
        <v>2</v>
      </c>
      <c r="Q12" s="29">
        <f>SUMPRODUCT(--(Table1[Referral reason]=$B12),Table1[Calculated as active in this date range?],Table1['# suicide attempts])</f>
        <v>0</v>
      </c>
      <c r="R12" s="29">
        <f>SUMPRODUCT(--(Table1[Referral reason]=$B12),Table1[Calculated as active in this date range?],Table1['# suicide deaths])</f>
        <v>0</v>
      </c>
      <c r="S12" s="23"/>
      <c r="T12" s="30"/>
      <c r="U12" s="29">
        <f>COUNTIFS(Table1[DV],"&lt;&gt;"&amp;"",Table1[Referral reason],"="&amp;$B12,Table1[Calculated as active in this date range?],1)</f>
        <v>0</v>
      </c>
      <c r="V12" s="29">
        <f>COUNTIFS(Table1[Sexual assault],"&lt;&gt;"&amp;"",Table1[Referral reason],"="&amp;$B12,Table1[Calculated as active in this date range?],1)</f>
        <v>0</v>
      </c>
      <c r="W12" s="29">
        <f>COUNTIFS(Table1[Severe Mental Health],"&lt;&gt;"&amp;"",Table1[Referral reason],"="&amp;$B12,Table1[Calculated as active in this date range?],1)</f>
        <v>0</v>
      </c>
      <c r="X12" s="29">
        <f>COUNTIFS(Table1[Child Welfare],"&lt;&gt;"&amp;"",Table1[Referral reason],"="&amp;$B12,Table1[Calculated as active in this date range?],1)</f>
        <v>1</v>
      </c>
      <c r="Y12" s="29">
        <f>COUNTIFS(Table1[Suicide Ideation],"&lt;&gt;"&amp;"",Table1[Referral reason],"="&amp;$B12,Table1[Calculated as active in this date range?],1)</f>
        <v>0</v>
      </c>
      <c r="Z12" s="29">
        <f>COUNTIFS(Table1[LGBT],"&lt;&gt;"&amp;"",Table1[Referral reason],"="&amp;$B12,Table1[Calculated as active in this date range?],1)</f>
        <v>1</v>
      </c>
      <c r="AA12" s="29">
        <f>COUNTIFS(Table1[Crime Complication],"&lt;&gt;"&amp;"",Table1[Referral reason],"="&amp;$B12,Table1[Calculated as active in this date range?],1)</f>
        <v>0</v>
      </c>
      <c r="AB12" s="29">
        <f>COUNTIFS(Table1[Substance Abuse],"&lt;&gt;"&amp;"",Table1[Referral reason],"="&amp;$B12,Table1[Calculated as active in this date range?],1)</f>
        <v>0</v>
      </c>
      <c r="AC12" s="29">
        <f>COUNTIFS(Table1[Elder Abuse],"&lt;&gt;"&amp;"",Table1[Referral reason],"="&amp;$B12,Table1[Calculated as active in this date range?],1)</f>
        <v>0</v>
      </c>
      <c r="AD12" s="29">
        <f>COUNTIFS(Table1[Housing],"&lt;&gt;"&amp;"",Table1[Referral reason],"="&amp;$B12,Table1[Calculated as active in this date range?],1)</f>
        <v>0</v>
      </c>
      <c r="AE12" s="29">
        <f>COUNTIFS(Table1[Disability or Other Health],"&lt;&gt;"&amp;"",Table1[Referral reason],"="&amp;$B12,Table1[Calculated as active in this date range?],1)</f>
        <v>1</v>
      </c>
      <c r="AF12" s="29">
        <f>COUNTIFS(Table1[Legal Issues (Other)],"&lt;&gt;"&amp;"",Table1[Referral reason],"="&amp;$B12,Table1[Calculated as active in this date range?],1)</f>
        <v>0</v>
      </c>
      <c r="AG12" s="25"/>
      <c r="AH12" s="94">
        <f>SUMPRODUCT(--(Table1[Referral reason]=$B12),Table1[Calculated as active in this date range?],Table1['# in household (include client)])-L12</f>
        <v>4</v>
      </c>
      <c r="AJ12" s="29">
        <f>COUNTIFS(Table1[DV-HH],"&lt;&gt;"&amp;"",Table1[Referral reason],"="&amp;$B12,Table1[Calculated as active in this date range?],1)</f>
        <v>1</v>
      </c>
      <c r="AK12" s="29">
        <f>COUNTIFS(Table1[Sexual assault-HH],"&lt;&gt;"&amp;"",Table1[Referral reason],"="&amp;$B12,Table1[Calculated as active in this date range?],1)</f>
        <v>0</v>
      </c>
      <c r="AL12" s="29">
        <f>COUNTIFS(Table1[Severe Mental Health-HH],"&lt;&gt;"&amp;"",Table1[Referral reason],"="&amp;$B12,Table1[Calculated as active in this date range?],1)</f>
        <v>1</v>
      </c>
      <c r="AM12" s="29">
        <f>COUNTIFS(Table1[Child Welfare-HH],"&lt;&gt;"&amp;"",Table1[Referral reason],"="&amp;$B12,Table1[Calculated as active in this date range?],1)</f>
        <v>0</v>
      </c>
      <c r="AN12" s="29">
        <f>COUNTIFS(Table1[Suicide Ideation-HH],"&lt;&gt;"&amp;"",Table1[Referral reason],"="&amp;$B12,Table1[Calculated as active in this date range?],1)</f>
        <v>0</v>
      </c>
      <c r="AO12" s="29">
        <f>COUNTIFS(Table1[LGBT-HH],"&lt;&gt;"&amp;"",Table1[Referral reason],"="&amp;$B12,Table1[Calculated as active in this date range?],1)</f>
        <v>0</v>
      </c>
      <c r="AP12" s="29">
        <f>COUNTIFS(Table1[Crime Complication-HH],"&lt;&gt;"&amp;"",Table1[Referral reason],"="&amp;$B12,Table1[Calculated as active in this date range?],1)</f>
        <v>1</v>
      </c>
      <c r="AQ12" s="29">
        <f>COUNTIFS(Table1[Substance Abuse-HH],"&lt;&gt;"&amp;"",Table1[Referral reason],"="&amp;$B12,Table1[Calculated as active in this date range?],1)</f>
        <v>0</v>
      </c>
      <c r="AR12" s="29">
        <f>COUNTIFS(Table1[Elder Abuse-HH],"&lt;&gt;"&amp;"",Table1[Referral reason],"="&amp;$B12,Table1[Calculated as active in this date range?],1)</f>
        <v>0</v>
      </c>
      <c r="AS12" s="29">
        <f>COUNTIFS(Table1[Housing-HH],"&lt;&gt;"&amp;"",Table1[Referral reason],"="&amp;$B12,Table1[Calculated as active in this date range?],1)</f>
        <v>0</v>
      </c>
      <c r="AT12" s="29">
        <f>COUNTIFS(Table1[Disability or Other Health-HH],"&lt;&gt;"&amp;"",Table1[Referral reason],"="&amp;$B12,Table1[Calculated as active in this date range?],1)</f>
        <v>0</v>
      </c>
      <c r="AU12" s="29">
        <f>COUNTIFS(Table1[Legal Issues (Other)-HH],"&lt;&gt;"&amp;"",Table1[Referral reason],"="&amp;$B12,Table1[Calculated as active in this date range?],1)</f>
        <v>0</v>
      </c>
      <c r="AV12" s="22"/>
      <c r="AW12" s="21" t="s">
        <v>44</v>
      </c>
      <c r="AX12" s="29">
        <f>COUNTIFS(Table1[Calculated as active in this date range?],1,Table1[Country of Origin],"="&amp;$AW12)</f>
        <v>0</v>
      </c>
    </row>
    <row r="13" spans="2:50" ht="17.25" customHeight="1" x14ac:dyDescent="0.3">
      <c r="B13" s="93" t="s">
        <v>175</v>
      </c>
      <c r="C13" s="29">
        <f ca="1">SUMPRODUCT(--(Table1[Referral reason]=$B13),Table1[Calculated as active in this date range?],Table1[Sum, FSS for this range])</f>
        <v>0</v>
      </c>
      <c r="D13" s="29">
        <f ca="1">SUMPRODUCT(--(Table1[Referral reason]=$B13),Table1[Calculated as active in this date range?],Table1[Sum, Intern for this range])</f>
        <v>0</v>
      </c>
      <c r="E13" s="94">
        <f t="shared" ca="1" si="0"/>
        <v>0</v>
      </c>
      <c r="F13"/>
      <c r="G13" s="94">
        <f ca="1">SUMPRODUCT(--(Table1[Referral reason]=$B13),Table1[Calculated as active in this date range?],Table1[Sum, Resource for this range])</f>
        <v>0</v>
      </c>
      <c r="H13"/>
      <c r="I13" s="29">
        <f>COUNTIFS(Table1[Date Case Opened],"&gt;="&amp;$C$2,Table1[Date Case Opened],"&lt;="&amp;$L$2,Table1[Referral reason],"="&amp;$B13)</f>
        <v>0</v>
      </c>
      <c r="J13" s="29">
        <f>COUNTIFS(Table1[Date Case Opened],"&lt;"&amp;$C$2,Table1[Date Case Closed],"",Table1[Referral reason],"="&amp;$B13)+COUNTIFS(Table1[Date Case Opened],"&lt;"&amp;$C$2,Table1[Date Case Closed],"&gt;="&amp;$L$2,Table1[Referral reason],"="&amp;$B13)</f>
        <v>0</v>
      </c>
      <c r="K13" s="29">
        <f>COUNTIFS(Table1[Date Case Closed],"&gt;="&amp;$C$2,Table1[Date Case Closed],"&lt;="&amp;$L$2,Table1[Referral reason],"="&amp;$B13)</f>
        <v>0</v>
      </c>
      <c r="L13" s="94">
        <f>SUM(I13:K13)-COUNTIFS(Table1[Date Case Opened],"&gt;="&amp;$C$2,Table1[Date Case Closed],"&lt;="&amp;$L$2,Table1[Referral reason],"="&amp;$B13)</f>
        <v>0</v>
      </c>
      <c r="M13" s="24"/>
      <c r="N13" s="29">
        <f>SUMPRODUCT(--(Table1[Referral reason]=$B13),Table1[Calculated as active in this date range?],Table1['# times reported to CPS])</f>
        <v>0</v>
      </c>
      <c r="O13" s="29">
        <f>SUMPRODUCT(--(Table1[Referral reason]=$B13),Table1[Calculated as active in this date range?],Table1['# times reported to APS])</f>
        <v>0</v>
      </c>
      <c r="P13" s="29">
        <f>SUMPRODUCT(--(Table1[Referral reason]=$B13),Table1[Calculated as active in this date range?],Table1['# times police called])</f>
        <v>0</v>
      </c>
      <c r="Q13" s="29">
        <f>SUMPRODUCT(--(Table1[Referral reason]=$B13),Table1[Calculated as active in this date range?],Table1['# suicide attempts])</f>
        <v>0</v>
      </c>
      <c r="R13" s="29">
        <f>SUMPRODUCT(--(Table1[Referral reason]=$B13),Table1[Calculated as active in this date range?],Table1['# suicide deaths])</f>
        <v>0</v>
      </c>
      <c r="S13" s="23"/>
      <c r="T13" s="30"/>
      <c r="U13" s="29">
        <f>COUNTIFS(Table1[DV],"&lt;&gt;"&amp;"",Table1[Referral reason],"="&amp;$B13,Table1[Calculated as active in this date range?],1)</f>
        <v>0</v>
      </c>
      <c r="V13" s="29">
        <f>COUNTIFS(Table1[Sexual assault],"&lt;&gt;"&amp;"",Table1[Referral reason],"="&amp;$B13,Table1[Calculated as active in this date range?],1)</f>
        <v>0</v>
      </c>
      <c r="W13" s="29">
        <f>COUNTIFS(Table1[Severe Mental Health],"&lt;&gt;"&amp;"",Table1[Referral reason],"="&amp;$B13,Table1[Calculated as active in this date range?],1)</f>
        <v>0</v>
      </c>
      <c r="X13" s="29">
        <f>COUNTIFS(Table1[Child Welfare],"&lt;&gt;"&amp;"",Table1[Referral reason],"="&amp;$B13,Table1[Calculated as active in this date range?],1)</f>
        <v>0</v>
      </c>
      <c r="Y13" s="29">
        <f>COUNTIFS(Table1[Suicide Ideation],"&lt;&gt;"&amp;"",Table1[Referral reason],"="&amp;$B13,Table1[Calculated as active in this date range?],1)</f>
        <v>0</v>
      </c>
      <c r="Z13" s="29">
        <f>COUNTIFS(Table1[LGBT],"&lt;&gt;"&amp;"",Table1[Referral reason],"="&amp;$B13,Table1[Calculated as active in this date range?],1)</f>
        <v>0</v>
      </c>
      <c r="AA13" s="29">
        <f>COUNTIFS(Table1[Crime Complication],"&lt;&gt;"&amp;"",Table1[Referral reason],"="&amp;$B13,Table1[Calculated as active in this date range?],1)</f>
        <v>0</v>
      </c>
      <c r="AB13" s="29">
        <f>COUNTIFS(Table1[Substance Abuse],"&lt;&gt;"&amp;"",Table1[Referral reason],"="&amp;$B13,Table1[Calculated as active in this date range?],1)</f>
        <v>0</v>
      </c>
      <c r="AC13" s="29">
        <f>COUNTIFS(Table1[Elder Abuse],"&lt;&gt;"&amp;"",Table1[Referral reason],"="&amp;$B13,Table1[Calculated as active in this date range?],1)</f>
        <v>0</v>
      </c>
      <c r="AD13" s="29">
        <f>COUNTIFS(Table1[Housing],"&lt;&gt;"&amp;"",Table1[Referral reason],"="&amp;$B13,Table1[Calculated as active in this date range?],1)</f>
        <v>0</v>
      </c>
      <c r="AE13" s="29">
        <f>COUNTIFS(Table1[Disability or Other Health],"&lt;&gt;"&amp;"",Table1[Referral reason],"="&amp;$B13,Table1[Calculated as active in this date range?],1)</f>
        <v>0</v>
      </c>
      <c r="AF13" s="29">
        <f>COUNTIFS(Table1[Legal Issues (Other)],"&lt;&gt;"&amp;"",Table1[Referral reason],"="&amp;$B13,Table1[Calculated as active in this date range?],1)</f>
        <v>0</v>
      </c>
      <c r="AG13" s="25"/>
      <c r="AH13" s="94">
        <f>SUMPRODUCT(--(Table1[Referral reason]=$B13),Table1[Calculated as active in this date range?],Table1['# in household (include client)])-L13</f>
        <v>0</v>
      </c>
      <c r="AJ13" s="29">
        <f>COUNTIFS(Table1[DV-HH],"&lt;&gt;"&amp;"",Table1[Referral reason],"="&amp;$B13,Table1[Calculated as active in this date range?],1)</f>
        <v>0</v>
      </c>
      <c r="AK13" s="29">
        <f>COUNTIFS(Table1[Sexual assault-HH],"&lt;&gt;"&amp;"",Table1[Referral reason],"="&amp;$B13,Table1[Calculated as active in this date range?],1)</f>
        <v>0</v>
      </c>
      <c r="AL13" s="29">
        <f>COUNTIFS(Table1[Severe Mental Health-HH],"&lt;&gt;"&amp;"",Table1[Referral reason],"="&amp;$B13,Table1[Calculated as active in this date range?],1)</f>
        <v>0</v>
      </c>
      <c r="AM13" s="29">
        <f>COUNTIFS(Table1[Child Welfare-HH],"&lt;&gt;"&amp;"",Table1[Referral reason],"="&amp;$B13,Table1[Calculated as active in this date range?],1)</f>
        <v>0</v>
      </c>
      <c r="AN13" s="29">
        <f>COUNTIFS(Table1[Suicide Ideation-HH],"&lt;&gt;"&amp;"",Table1[Referral reason],"="&amp;$B13,Table1[Calculated as active in this date range?],1)</f>
        <v>0</v>
      </c>
      <c r="AO13" s="29">
        <f>COUNTIFS(Table1[LGBT-HH],"&lt;&gt;"&amp;"",Table1[Referral reason],"="&amp;$B13,Table1[Calculated as active in this date range?],1)</f>
        <v>0</v>
      </c>
      <c r="AP13" s="29">
        <f>COUNTIFS(Table1[Crime Complication-HH],"&lt;&gt;"&amp;"",Table1[Referral reason],"="&amp;$B13,Table1[Calculated as active in this date range?],1)</f>
        <v>0</v>
      </c>
      <c r="AQ13" s="29">
        <f>COUNTIFS(Table1[Substance Abuse-HH],"&lt;&gt;"&amp;"",Table1[Referral reason],"="&amp;$B13,Table1[Calculated as active in this date range?],1)</f>
        <v>0</v>
      </c>
      <c r="AR13" s="29">
        <f>COUNTIFS(Table1[Elder Abuse-HH],"&lt;&gt;"&amp;"",Table1[Referral reason],"="&amp;$B13,Table1[Calculated as active in this date range?],1)</f>
        <v>0</v>
      </c>
      <c r="AS13" s="29">
        <f>COUNTIFS(Table1[Housing-HH],"&lt;&gt;"&amp;"",Table1[Referral reason],"="&amp;$B13,Table1[Calculated as active in this date range?],1)</f>
        <v>0</v>
      </c>
      <c r="AT13" s="29">
        <f>COUNTIFS(Table1[Disability or Other Health-HH],"&lt;&gt;"&amp;"",Table1[Referral reason],"="&amp;$B13,Table1[Calculated as active in this date range?],1)</f>
        <v>0</v>
      </c>
      <c r="AU13" s="29">
        <f>COUNTIFS(Table1[Legal Issues (Other)-HH],"&lt;&gt;"&amp;"",Table1[Referral reason],"="&amp;$B13,Table1[Calculated as active in this date range?],1)</f>
        <v>0</v>
      </c>
      <c r="AV13" s="22"/>
      <c r="AW13" s="21" t="s">
        <v>45</v>
      </c>
      <c r="AX13" s="29">
        <f>COUNTIFS(Table1[Calculated as active in this date range?],1,Table1[Country of Origin],"="&amp;$AW13)</f>
        <v>0</v>
      </c>
    </row>
    <row r="14" spans="2:50" ht="17.25" customHeight="1" x14ac:dyDescent="0.3">
      <c r="B14" s="93" t="s">
        <v>23</v>
      </c>
      <c r="C14" s="29">
        <f ca="1">SUMPRODUCT(--(Table1[Referral reason]=$B14),Table1[Calculated as active in this date range?],Table1[Sum, FSS for this range])</f>
        <v>0</v>
      </c>
      <c r="D14" s="29">
        <f ca="1">SUMPRODUCT(--(Table1[Referral reason]=$B14),Table1[Calculated as active in this date range?],Table1[Sum, Intern for this range])</f>
        <v>0</v>
      </c>
      <c r="E14" s="94">
        <f t="shared" ca="1" si="0"/>
        <v>0</v>
      </c>
      <c r="F14"/>
      <c r="G14" s="94">
        <f ca="1">SUMPRODUCT(--(Table1[Referral reason]=$B14),Table1[Calculated as active in this date range?],Table1[Sum, Resource for this range])</f>
        <v>0</v>
      </c>
      <c r="H14"/>
      <c r="I14" s="29">
        <f>COUNTIFS(Table1[Date Case Opened],"&gt;="&amp;$C$2,Table1[Date Case Opened],"&lt;="&amp;$L$2,Table1[Referral reason],"="&amp;$B14)</f>
        <v>0</v>
      </c>
      <c r="J14" s="29">
        <f>COUNTIFS(Table1[Date Case Opened],"&lt;"&amp;$C$2,Table1[Date Case Closed],"",Table1[Referral reason],"="&amp;$B14)+COUNTIFS(Table1[Date Case Opened],"&lt;"&amp;$C$2,Table1[Date Case Closed],"&gt;="&amp;$L$2,Table1[Referral reason],"="&amp;$B14)</f>
        <v>0</v>
      </c>
      <c r="K14" s="29">
        <f>COUNTIFS(Table1[Date Case Closed],"&gt;="&amp;$C$2,Table1[Date Case Closed],"&lt;="&amp;$L$2,Table1[Referral reason],"="&amp;$B14)</f>
        <v>0</v>
      </c>
      <c r="L14" s="94">
        <f>SUM(I14:K14)-COUNTIFS(Table1[Date Case Opened],"&gt;="&amp;$C$2,Table1[Date Case Closed],"&lt;="&amp;$L$2,Table1[Referral reason],"="&amp;$B14)</f>
        <v>0</v>
      </c>
      <c r="M14" s="24"/>
      <c r="N14" s="29">
        <f>SUMPRODUCT(--(Table1[Referral reason]=$B14),Table1[Calculated as active in this date range?],Table1['# times reported to CPS])</f>
        <v>0</v>
      </c>
      <c r="O14" s="29">
        <f>SUMPRODUCT(--(Table1[Referral reason]=$B14),Table1[Calculated as active in this date range?],Table1['# times reported to APS])</f>
        <v>0</v>
      </c>
      <c r="P14" s="29">
        <f>SUMPRODUCT(--(Table1[Referral reason]=$B14),Table1[Calculated as active in this date range?],Table1['# times police called])</f>
        <v>0</v>
      </c>
      <c r="Q14" s="29">
        <f>SUMPRODUCT(--(Table1[Referral reason]=$B14),Table1[Calculated as active in this date range?],Table1['# suicide attempts])</f>
        <v>0</v>
      </c>
      <c r="R14" s="29">
        <f>SUMPRODUCT(--(Table1[Referral reason]=$B14),Table1[Calculated as active in this date range?],Table1['# suicide deaths])</f>
        <v>0</v>
      </c>
      <c r="S14" s="23"/>
      <c r="T14" s="30"/>
      <c r="U14" s="29">
        <f>COUNTIFS(Table1[DV],"&lt;&gt;"&amp;"",Table1[Referral reason],"="&amp;$B14,Table1[Calculated as active in this date range?],1)</f>
        <v>0</v>
      </c>
      <c r="V14" s="29">
        <f>COUNTIFS(Table1[Sexual assault],"&lt;&gt;"&amp;"",Table1[Referral reason],"="&amp;$B14,Table1[Calculated as active in this date range?],1)</f>
        <v>0</v>
      </c>
      <c r="W14" s="29">
        <f>COUNTIFS(Table1[Severe Mental Health],"&lt;&gt;"&amp;"",Table1[Referral reason],"="&amp;$B14,Table1[Calculated as active in this date range?],1)</f>
        <v>0</v>
      </c>
      <c r="X14" s="29">
        <f>COUNTIFS(Table1[Child Welfare],"&lt;&gt;"&amp;"",Table1[Referral reason],"="&amp;$B14,Table1[Calculated as active in this date range?],1)</f>
        <v>0</v>
      </c>
      <c r="Y14" s="29">
        <f>COUNTIFS(Table1[Suicide Ideation],"&lt;&gt;"&amp;"",Table1[Referral reason],"="&amp;$B14,Table1[Calculated as active in this date range?],1)</f>
        <v>0</v>
      </c>
      <c r="Z14" s="29">
        <f>COUNTIFS(Table1[LGBT],"&lt;&gt;"&amp;"",Table1[Referral reason],"="&amp;$B14,Table1[Calculated as active in this date range?],1)</f>
        <v>0</v>
      </c>
      <c r="AA14" s="29">
        <f>COUNTIFS(Table1[Crime Complication],"&lt;&gt;"&amp;"",Table1[Referral reason],"="&amp;$B14,Table1[Calculated as active in this date range?],1)</f>
        <v>0</v>
      </c>
      <c r="AB14" s="29">
        <f>COUNTIFS(Table1[Substance Abuse],"&lt;&gt;"&amp;"",Table1[Referral reason],"="&amp;$B14,Table1[Calculated as active in this date range?],1)</f>
        <v>0</v>
      </c>
      <c r="AC14" s="29">
        <f>COUNTIFS(Table1[Elder Abuse],"&lt;&gt;"&amp;"",Table1[Referral reason],"="&amp;$B14,Table1[Calculated as active in this date range?],1)</f>
        <v>0</v>
      </c>
      <c r="AD14" s="29">
        <f>COUNTIFS(Table1[Housing],"&lt;&gt;"&amp;"",Table1[Referral reason],"="&amp;$B14,Table1[Calculated as active in this date range?],1)</f>
        <v>0</v>
      </c>
      <c r="AE14" s="29">
        <f>COUNTIFS(Table1[Disability or Other Health],"&lt;&gt;"&amp;"",Table1[Referral reason],"="&amp;$B14,Table1[Calculated as active in this date range?],1)</f>
        <v>0</v>
      </c>
      <c r="AF14" s="29">
        <f>COUNTIFS(Table1[Legal Issues (Other)],"&lt;&gt;"&amp;"",Table1[Referral reason],"="&amp;$B14,Table1[Calculated as active in this date range?],1)</f>
        <v>0</v>
      </c>
      <c r="AG14" s="25"/>
      <c r="AH14" s="94">
        <f>SUMPRODUCT(--(Table1[Referral reason]=$B14),Table1[Calculated as active in this date range?],Table1['# in household (include client)])-L14</f>
        <v>0</v>
      </c>
      <c r="AJ14" s="29">
        <f>COUNTIFS(Table1[DV-HH],"&lt;&gt;"&amp;"",Table1[Referral reason],"="&amp;$B14,Table1[Calculated as active in this date range?],1)</f>
        <v>0</v>
      </c>
      <c r="AK14" s="29">
        <f>COUNTIFS(Table1[Sexual assault-HH],"&lt;&gt;"&amp;"",Table1[Referral reason],"="&amp;$B14,Table1[Calculated as active in this date range?],1)</f>
        <v>0</v>
      </c>
      <c r="AL14" s="29">
        <f>COUNTIFS(Table1[Severe Mental Health-HH],"&lt;&gt;"&amp;"",Table1[Referral reason],"="&amp;$B14,Table1[Calculated as active in this date range?],1)</f>
        <v>0</v>
      </c>
      <c r="AM14" s="29">
        <f>COUNTIFS(Table1[Child Welfare-HH],"&lt;&gt;"&amp;"",Table1[Referral reason],"="&amp;$B14,Table1[Calculated as active in this date range?],1)</f>
        <v>0</v>
      </c>
      <c r="AN14" s="29">
        <f>COUNTIFS(Table1[Suicide Ideation-HH],"&lt;&gt;"&amp;"",Table1[Referral reason],"="&amp;$B14,Table1[Calculated as active in this date range?],1)</f>
        <v>0</v>
      </c>
      <c r="AO14" s="29">
        <f>COUNTIFS(Table1[LGBT-HH],"&lt;&gt;"&amp;"",Table1[Referral reason],"="&amp;$B14,Table1[Calculated as active in this date range?],1)</f>
        <v>0</v>
      </c>
      <c r="AP14" s="29">
        <f>COUNTIFS(Table1[Crime Complication-HH],"&lt;&gt;"&amp;"",Table1[Referral reason],"="&amp;$B14,Table1[Calculated as active in this date range?],1)</f>
        <v>0</v>
      </c>
      <c r="AQ14" s="29">
        <f>COUNTIFS(Table1[Substance Abuse-HH],"&lt;&gt;"&amp;"",Table1[Referral reason],"="&amp;$B14,Table1[Calculated as active in this date range?],1)</f>
        <v>0</v>
      </c>
      <c r="AR14" s="29">
        <f>COUNTIFS(Table1[Elder Abuse-HH],"&lt;&gt;"&amp;"",Table1[Referral reason],"="&amp;$B14,Table1[Calculated as active in this date range?],1)</f>
        <v>0</v>
      </c>
      <c r="AS14" s="29">
        <f>COUNTIFS(Table1[Housing-HH],"&lt;&gt;"&amp;"",Table1[Referral reason],"="&amp;$B14,Table1[Calculated as active in this date range?],1)</f>
        <v>0</v>
      </c>
      <c r="AT14" s="29">
        <f>COUNTIFS(Table1[Disability or Other Health-HH],"&lt;&gt;"&amp;"",Table1[Referral reason],"="&amp;$B14,Table1[Calculated as active in this date range?],1)</f>
        <v>0</v>
      </c>
      <c r="AU14" s="29">
        <f>COUNTIFS(Table1[Legal Issues (Other)-HH],"&lt;&gt;"&amp;"",Table1[Referral reason],"="&amp;$B14,Table1[Calculated as active in this date range?],1)</f>
        <v>0</v>
      </c>
      <c r="AV14" s="22"/>
      <c r="AW14" s="21" t="s">
        <v>46</v>
      </c>
      <c r="AX14" s="29">
        <f>COUNTIFS(Table1[Calculated as active in this date range?],1,Table1[Country of Origin],"="&amp;$AW14)</f>
        <v>0</v>
      </c>
    </row>
    <row r="15" spans="2:50" ht="17.25" customHeight="1" x14ac:dyDescent="0.3">
      <c r="B15" s="93" t="s">
        <v>176</v>
      </c>
      <c r="C15" s="29">
        <f ca="1">SUMPRODUCT(--(Table1[Referral reason]=$B15),Table1[Calculated as active in this date range?],Table1[Sum, FSS for this range])</f>
        <v>0</v>
      </c>
      <c r="D15" s="29">
        <f ca="1">SUMPRODUCT(--(Table1[Referral reason]=$B15),Table1[Calculated as active in this date range?],Table1[Sum, Intern for this range])</f>
        <v>0</v>
      </c>
      <c r="E15" s="94">
        <f t="shared" ca="1" si="0"/>
        <v>0</v>
      </c>
      <c r="F15"/>
      <c r="G15" s="94">
        <f ca="1">SUMPRODUCT(--(Table1[Referral reason]=$B15),Table1[Calculated as active in this date range?],Table1[Sum, Resource for this range])</f>
        <v>0</v>
      </c>
      <c r="H15"/>
      <c r="I15" s="29">
        <f>COUNTIFS(Table1[Date Case Opened],"&gt;="&amp;$C$2,Table1[Date Case Opened],"&lt;="&amp;$L$2,Table1[Referral reason],"="&amp;$B15)</f>
        <v>0</v>
      </c>
      <c r="J15" s="29">
        <f>COUNTIFS(Table1[Date Case Opened],"&lt;"&amp;$C$2,Table1[Date Case Closed],"",Table1[Referral reason],"="&amp;$B15)+COUNTIFS(Table1[Date Case Opened],"&lt;"&amp;$C$2,Table1[Date Case Closed],"&gt;="&amp;$L$2,Table1[Referral reason],"="&amp;$B15)</f>
        <v>0</v>
      </c>
      <c r="K15" s="29">
        <f>COUNTIFS(Table1[Date Case Closed],"&gt;="&amp;$C$2,Table1[Date Case Closed],"&lt;="&amp;$L$2,Table1[Referral reason],"="&amp;$B15)</f>
        <v>0</v>
      </c>
      <c r="L15" s="94">
        <f>SUM(I15:K15)-COUNTIFS(Table1[Date Case Opened],"&gt;="&amp;$C$2,Table1[Date Case Closed],"&lt;="&amp;$L$2,Table1[Referral reason],"="&amp;$B15)</f>
        <v>0</v>
      </c>
      <c r="M15" s="24"/>
      <c r="N15" s="29">
        <f>SUMPRODUCT(--(Table1[Referral reason]=$B15),Table1[Calculated as active in this date range?],Table1['# times reported to CPS])</f>
        <v>0</v>
      </c>
      <c r="O15" s="29">
        <f>SUMPRODUCT(--(Table1[Referral reason]=$B15),Table1[Calculated as active in this date range?],Table1['# times reported to APS])</f>
        <v>0</v>
      </c>
      <c r="P15" s="29">
        <f>SUMPRODUCT(--(Table1[Referral reason]=$B15),Table1[Calculated as active in this date range?],Table1['# times police called])</f>
        <v>0</v>
      </c>
      <c r="Q15" s="29">
        <f>SUMPRODUCT(--(Table1[Referral reason]=$B15),Table1[Calculated as active in this date range?],Table1['# suicide attempts])</f>
        <v>0</v>
      </c>
      <c r="R15" s="29">
        <f>SUMPRODUCT(--(Table1[Referral reason]=$B15),Table1[Calculated as active in this date range?],Table1['# suicide deaths])</f>
        <v>0</v>
      </c>
      <c r="S15" s="23"/>
      <c r="T15" s="30"/>
      <c r="U15" s="29">
        <f>COUNTIFS(Table1[DV],"&lt;&gt;"&amp;"",Table1[Referral reason],"="&amp;$B15,Table1[Calculated as active in this date range?],1)</f>
        <v>0</v>
      </c>
      <c r="V15" s="29">
        <f>COUNTIFS(Table1[Sexual assault],"&lt;&gt;"&amp;"",Table1[Referral reason],"="&amp;$B15,Table1[Calculated as active in this date range?],1)</f>
        <v>0</v>
      </c>
      <c r="W15" s="29">
        <f>COUNTIFS(Table1[Severe Mental Health],"&lt;&gt;"&amp;"",Table1[Referral reason],"="&amp;$B15,Table1[Calculated as active in this date range?],1)</f>
        <v>0</v>
      </c>
      <c r="X15" s="29">
        <f>COUNTIFS(Table1[Child Welfare],"&lt;&gt;"&amp;"",Table1[Referral reason],"="&amp;$B15,Table1[Calculated as active in this date range?],1)</f>
        <v>0</v>
      </c>
      <c r="Y15" s="29">
        <f>COUNTIFS(Table1[Suicide Ideation],"&lt;&gt;"&amp;"",Table1[Referral reason],"="&amp;$B15,Table1[Calculated as active in this date range?],1)</f>
        <v>0</v>
      </c>
      <c r="Z15" s="29">
        <f>COUNTIFS(Table1[LGBT],"&lt;&gt;"&amp;"",Table1[Referral reason],"="&amp;$B15,Table1[Calculated as active in this date range?],1)</f>
        <v>0</v>
      </c>
      <c r="AA15" s="29">
        <f>COUNTIFS(Table1[Crime Complication],"&lt;&gt;"&amp;"",Table1[Referral reason],"="&amp;$B15,Table1[Calculated as active in this date range?],1)</f>
        <v>0</v>
      </c>
      <c r="AB15" s="29">
        <f>COUNTIFS(Table1[Substance Abuse],"&lt;&gt;"&amp;"",Table1[Referral reason],"="&amp;$B15,Table1[Calculated as active in this date range?],1)</f>
        <v>0</v>
      </c>
      <c r="AC15" s="29">
        <f>COUNTIFS(Table1[Elder Abuse],"&lt;&gt;"&amp;"",Table1[Referral reason],"="&amp;$B15,Table1[Calculated as active in this date range?],1)</f>
        <v>0</v>
      </c>
      <c r="AD15" s="29">
        <f>COUNTIFS(Table1[Housing],"&lt;&gt;"&amp;"",Table1[Referral reason],"="&amp;$B15,Table1[Calculated as active in this date range?],1)</f>
        <v>0</v>
      </c>
      <c r="AE15" s="29">
        <f>COUNTIFS(Table1[Disability or Other Health],"&lt;&gt;"&amp;"",Table1[Referral reason],"="&amp;$B15,Table1[Calculated as active in this date range?],1)</f>
        <v>0</v>
      </c>
      <c r="AF15" s="29">
        <f>COUNTIFS(Table1[Legal Issues (Other)],"&lt;&gt;"&amp;"",Table1[Referral reason],"="&amp;$B15,Table1[Calculated as active in this date range?],1)</f>
        <v>0</v>
      </c>
      <c r="AG15" s="25"/>
      <c r="AH15" s="94">
        <f>SUMPRODUCT(--(Table1[Referral reason]=$B15),Table1[Calculated as active in this date range?],Table1['# in household (include client)])-L15</f>
        <v>0</v>
      </c>
      <c r="AJ15" s="29">
        <f>COUNTIFS(Table1[DV-HH],"&lt;&gt;"&amp;"",Table1[Referral reason],"="&amp;$B15,Table1[Calculated as active in this date range?],1)</f>
        <v>0</v>
      </c>
      <c r="AK15" s="29">
        <f>COUNTIFS(Table1[Sexual assault-HH],"&lt;&gt;"&amp;"",Table1[Referral reason],"="&amp;$B15,Table1[Calculated as active in this date range?],1)</f>
        <v>0</v>
      </c>
      <c r="AL15" s="29">
        <f>COUNTIFS(Table1[Severe Mental Health-HH],"&lt;&gt;"&amp;"",Table1[Referral reason],"="&amp;$B15,Table1[Calculated as active in this date range?],1)</f>
        <v>0</v>
      </c>
      <c r="AM15" s="29">
        <f>COUNTIFS(Table1[Child Welfare-HH],"&lt;&gt;"&amp;"",Table1[Referral reason],"="&amp;$B15,Table1[Calculated as active in this date range?],1)</f>
        <v>0</v>
      </c>
      <c r="AN15" s="29">
        <f>COUNTIFS(Table1[Suicide Ideation-HH],"&lt;&gt;"&amp;"",Table1[Referral reason],"="&amp;$B15,Table1[Calculated as active in this date range?],1)</f>
        <v>0</v>
      </c>
      <c r="AO15" s="29">
        <f>COUNTIFS(Table1[LGBT-HH],"&lt;&gt;"&amp;"",Table1[Referral reason],"="&amp;$B15,Table1[Calculated as active in this date range?],1)</f>
        <v>0</v>
      </c>
      <c r="AP15" s="29">
        <f>COUNTIFS(Table1[Crime Complication-HH],"&lt;&gt;"&amp;"",Table1[Referral reason],"="&amp;$B15,Table1[Calculated as active in this date range?],1)</f>
        <v>0</v>
      </c>
      <c r="AQ15" s="29">
        <f>COUNTIFS(Table1[Substance Abuse-HH],"&lt;&gt;"&amp;"",Table1[Referral reason],"="&amp;$B15,Table1[Calculated as active in this date range?],1)</f>
        <v>0</v>
      </c>
      <c r="AR15" s="29">
        <f>COUNTIFS(Table1[Elder Abuse-HH],"&lt;&gt;"&amp;"",Table1[Referral reason],"="&amp;$B15,Table1[Calculated as active in this date range?],1)</f>
        <v>0</v>
      </c>
      <c r="AS15" s="29">
        <f>COUNTIFS(Table1[Housing-HH],"&lt;&gt;"&amp;"",Table1[Referral reason],"="&amp;$B15,Table1[Calculated as active in this date range?],1)</f>
        <v>0</v>
      </c>
      <c r="AT15" s="29">
        <f>COUNTIFS(Table1[Disability or Other Health-HH],"&lt;&gt;"&amp;"",Table1[Referral reason],"="&amp;$B15,Table1[Calculated as active in this date range?],1)</f>
        <v>0</v>
      </c>
      <c r="AU15" s="29">
        <f>COUNTIFS(Table1[Legal Issues (Other)-HH],"&lt;&gt;"&amp;"",Table1[Referral reason],"="&amp;$B15,Table1[Calculated as active in this date range?],1)</f>
        <v>0</v>
      </c>
      <c r="AV15" s="22"/>
      <c r="AW15" s="21" t="s">
        <v>47</v>
      </c>
      <c r="AX15" s="29">
        <f>COUNTIFS(Table1[Calculated as active in this date range?],1,Table1[Country of Origin],"="&amp;$AW15)</f>
        <v>0</v>
      </c>
    </row>
    <row r="16" spans="2:50" ht="17.25" customHeight="1" x14ac:dyDescent="0.3">
      <c r="B16" s="93" t="s">
        <v>177</v>
      </c>
      <c r="C16" s="29">
        <f ca="1">SUMPRODUCT(--(Table1[Referral reason]=$B16),Table1[Calculated as active in this date range?],Table1[Sum, FSS for this range])</f>
        <v>0</v>
      </c>
      <c r="D16" s="29">
        <f ca="1">SUMPRODUCT(--(Table1[Referral reason]=$B16),Table1[Calculated as active in this date range?],Table1[Sum, Intern for this range])</f>
        <v>0</v>
      </c>
      <c r="E16" s="94">
        <f t="shared" ca="1" si="0"/>
        <v>0</v>
      </c>
      <c r="F16"/>
      <c r="G16" s="94">
        <f ca="1">SUMPRODUCT(--(Table1[Referral reason]=$B16),Table1[Calculated as active in this date range?],Table1[Sum, Resource for this range])</f>
        <v>0</v>
      </c>
      <c r="H16"/>
      <c r="I16" s="29">
        <f>COUNTIFS(Table1[Date Case Opened],"&gt;="&amp;$C$2,Table1[Date Case Opened],"&lt;="&amp;$L$2,Table1[Referral reason],"="&amp;$B16)</f>
        <v>0</v>
      </c>
      <c r="J16" s="29">
        <f>COUNTIFS(Table1[Date Case Opened],"&lt;"&amp;$C$2,Table1[Date Case Closed],"",Table1[Referral reason],"="&amp;$B16)+COUNTIFS(Table1[Date Case Opened],"&lt;"&amp;$C$2,Table1[Date Case Closed],"&gt;="&amp;$L$2,Table1[Referral reason],"="&amp;$B16)</f>
        <v>0</v>
      </c>
      <c r="K16" s="29">
        <f>COUNTIFS(Table1[Date Case Closed],"&gt;="&amp;$C$2,Table1[Date Case Closed],"&lt;="&amp;$L$2,Table1[Referral reason],"="&amp;$B16)</f>
        <v>0</v>
      </c>
      <c r="L16" s="94">
        <f>SUM(I16:K16)-COUNTIFS(Table1[Date Case Opened],"&gt;="&amp;$C$2,Table1[Date Case Closed],"&lt;="&amp;$L$2,Table1[Referral reason],"="&amp;$B16)</f>
        <v>0</v>
      </c>
      <c r="M16" s="24"/>
      <c r="N16" s="29">
        <f>SUMPRODUCT(--(Table1[Referral reason]=$B16),Table1[Calculated as active in this date range?],Table1['# times reported to CPS])</f>
        <v>0</v>
      </c>
      <c r="O16" s="29">
        <f>SUMPRODUCT(--(Table1[Referral reason]=$B16),Table1[Calculated as active in this date range?],Table1['# times reported to APS])</f>
        <v>0</v>
      </c>
      <c r="P16" s="29">
        <f>SUMPRODUCT(--(Table1[Referral reason]=$B16),Table1[Calculated as active in this date range?],Table1['# times police called])</f>
        <v>0</v>
      </c>
      <c r="Q16" s="29">
        <f>SUMPRODUCT(--(Table1[Referral reason]=$B16),Table1[Calculated as active in this date range?],Table1['# suicide attempts])</f>
        <v>0</v>
      </c>
      <c r="R16" s="29">
        <f>SUMPRODUCT(--(Table1[Referral reason]=$B16),Table1[Calculated as active in this date range?],Table1['# suicide deaths])</f>
        <v>0</v>
      </c>
      <c r="S16" s="23"/>
      <c r="T16" s="30"/>
      <c r="U16" s="29">
        <f>COUNTIFS(Table1[DV],"&lt;&gt;"&amp;"",Table1[Referral reason],"="&amp;$B16,Table1[Calculated as active in this date range?],1)</f>
        <v>0</v>
      </c>
      <c r="V16" s="29">
        <f>COUNTIFS(Table1[Sexual assault],"&lt;&gt;"&amp;"",Table1[Referral reason],"="&amp;$B16,Table1[Calculated as active in this date range?],1)</f>
        <v>0</v>
      </c>
      <c r="W16" s="29">
        <f>COUNTIFS(Table1[Severe Mental Health],"&lt;&gt;"&amp;"",Table1[Referral reason],"="&amp;$B16,Table1[Calculated as active in this date range?],1)</f>
        <v>0</v>
      </c>
      <c r="X16" s="29">
        <f>COUNTIFS(Table1[Child Welfare],"&lt;&gt;"&amp;"",Table1[Referral reason],"="&amp;$B16,Table1[Calculated as active in this date range?],1)</f>
        <v>0</v>
      </c>
      <c r="Y16" s="29">
        <f>COUNTIFS(Table1[Suicide Ideation],"&lt;&gt;"&amp;"",Table1[Referral reason],"="&amp;$B16,Table1[Calculated as active in this date range?],1)</f>
        <v>0</v>
      </c>
      <c r="Z16" s="29">
        <f>COUNTIFS(Table1[LGBT],"&lt;&gt;"&amp;"",Table1[Referral reason],"="&amp;$B16,Table1[Calculated as active in this date range?],1)</f>
        <v>0</v>
      </c>
      <c r="AA16" s="29">
        <f>COUNTIFS(Table1[Crime Complication],"&lt;&gt;"&amp;"",Table1[Referral reason],"="&amp;$B16,Table1[Calculated as active in this date range?],1)</f>
        <v>0</v>
      </c>
      <c r="AB16" s="29">
        <f>COUNTIFS(Table1[Substance Abuse],"&lt;&gt;"&amp;"",Table1[Referral reason],"="&amp;$B16,Table1[Calculated as active in this date range?],1)</f>
        <v>0</v>
      </c>
      <c r="AC16" s="29">
        <f>COUNTIFS(Table1[Elder Abuse],"&lt;&gt;"&amp;"",Table1[Referral reason],"="&amp;$B16,Table1[Calculated as active in this date range?],1)</f>
        <v>0</v>
      </c>
      <c r="AD16" s="29">
        <f>COUNTIFS(Table1[Housing],"&lt;&gt;"&amp;"",Table1[Referral reason],"="&amp;$B16,Table1[Calculated as active in this date range?],1)</f>
        <v>0</v>
      </c>
      <c r="AE16" s="29">
        <f>COUNTIFS(Table1[Disability or Other Health],"&lt;&gt;"&amp;"",Table1[Referral reason],"="&amp;$B16,Table1[Calculated as active in this date range?],1)</f>
        <v>0</v>
      </c>
      <c r="AF16" s="29">
        <f>COUNTIFS(Table1[Legal Issues (Other)],"&lt;&gt;"&amp;"",Table1[Referral reason],"="&amp;$B16,Table1[Calculated as active in this date range?],1)</f>
        <v>0</v>
      </c>
      <c r="AG16" s="25"/>
      <c r="AH16" s="94">
        <f>SUMPRODUCT(--(Table1[Referral reason]=$B16),Table1[Calculated as active in this date range?],Table1['# in household (include client)])-L16</f>
        <v>0</v>
      </c>
      <c r="AJ16" s="29">
        <f>COUNTIFS(Table1[DV-HH],"&lt;&gt;"&amp;"",Table1[Referral reason],"="&amp;$B16,Table1[Calculated as active in this date range?],1)</f>
        <v>0</v>
      </c>
      <c r="AK16" s="29">
        <f>COUNTIFS(Table1[Sexual assault-HH],"&lt;&gt;"&amp;"",Table1[Referral reason],"="&amp;$B16,Table1[Calculated as active in this date range?],1)</f>
        <v>0</v>
      </c>
      <c r="AL16" s="29">
        <f>COUNTIFS(Table1[Severe Mental Health-HH],"&lt;&gt;"&amp;"",Table1[Referral reason],"="&amp;$B16,Table1[Calculated as active in this date range?],1)</f>
        <v>0</v>
      </c>
      <c r="AM16" s="29">
        <f>COUNTIFS(Table1[Child Welfare-HH],"&lt;&gt;"&amp;"",Table1[Referral reason],"="&amp;$B16,Table1[Calculated as active in this date range?],1)</f>
        <v>0</v>
      </c>
      <c r="AN16" s="29">
        <f>COUNTIFS(Table1[Suicide Ideation-HH],"&lt;&gt;"&amp;"",Table1[Referral reason],"="&amp;$B16,Table1[Calculated as active in this date range?],1)</f>
        <v>0</v>
      </c>
      <c r="AO16" s="29">
        <f>COUNTIFS(Table1[LGBT-HH],"&lt;&gt;"&amp;"",Table1[Referral reason],"="&amp;$B16,Table1[Calculated as active in this date range?],1)</f>
        <v>0</v>
      </c>
      <c r="AP16" s="29">
        <f>COUNTIFS(Table1[Crime Complication-HH],"&lt;&gt;"&amp;"",Table1[Referral reason],"="&amp;$B16,Table1[Calculated as active in this date range?],1)</f>
        <v>0</v>
      </c>
      <c r="AQ16" s="29">
        <f>COUNTIFS(Table1[Substance Abuse-HH],"&lt;&gt;"&amp;"",Table1[Referral reason],"="&amp;$B16,Table1[Calculated as active in this date range?],1)</f>
        <v>0</v>
      </c>
      <c r="AR16" s="29">
        <f>COUNTIFS(Table1[Elder Abuse-HH],"&lt;&gt;"&amp;"",Table1[Referral reason],"="&amp;$B16,Table1[Calculated as active in this date range?],1)</f>
        <v>0</v>
      </c>
      <c r="AS16" s="29">
        <f>COUNTIFS(Table1[Housing-HH],"&lt;&gt;"&amp;"",Table1[Referral reason],"="&amp;$B16,Table1[Calculated as active in this date range?],1)</f>
        <v>0</v>
      </c>
      <c r="AT16" s="29">
        <f>COUNTIFS(Table1[Disability or Other Health-HH],"&lt;&gt;"&amp;"",Table1[Referral reason],"="&amp;$B16,Table1[Calculated as active in this date range?],1)</f>
        <v>0</v>
      </c>
      <c r="AU16" s="29">
        <f>COUNTIFS(Table1[Legal Issues (Other)-HH],"&lt;&gt;"&amp;"",Table1[Referral reason],"="&amp;$B16,Table1[Calculated as active in this date range?],1)</f>
        <v>0</v>
      </c>
      <c r="AV16" s="22"/>
      <c r="AW16" s="21" t="s">
        <v>48</v>
      </c>
      <c r="AX16" s="29">
        <f>COUNTIFS(Table1[Calculated as active in this date range?],1,Table1[Country of Origin],"="&amp;$AW16)</f>
        <v>0</v>
      </c>
    </row>
    <row r="17" spans="2:53" ht="17.25" customHeight="1" thickBot="1" x14ac:dyDescent="0.35">
      <c r="B17" s="93" t="s">
        <v>178</v>
      </c>
      <c r="C17" s="47">
        <f ca="1">SUMPRODUCT(--(Table1[Referral reason]=$B17),Table1[Calculated as active in this date range?],Table1[Sum, FSS for this range])</f>
        <v>0</v>
      </c>
      <c r="D17" s="47">
        <f ca="1">SUMPRODUCT(--(Table1[Referral reason]=$B17),Table1[Calculated as active in this date range?],Table1[Sum, Intern for this range])</f>
        <v>0</v>
      </c>
      <c r="E17" s="95">
        <f t="shared" ca="1" si="0"/>
        <v>0</v>
      </c>
      <c r="F17"/>
      <c r="G17" s="94">
        <f ca="1">SUMPRODUCT(--(Table1[Referral reason]=$B17),Table1[Calculated as active in this date range?],Table1[Sum, Resource for this range])</f>
        <v>0</v>
      </c>
      <c r="H17"/>
      <c r="I17" s="29">
        <f>COUNTIFS(Table1[Date Case Opened],"&gt;="&amp;$C$2,Table1[Date Case Opened],"&lt;="&amp;$L$2,Table1[Referral reason],"="&amp;$B17)</f>
        <v>0</v>
      </c>
      <c r="J17" s="29">
        <f>COUNTIFS(Table1[Date Case Opened],"&lt;"&amp;$C$2,Table1[Date Case Closed],"",Table1[Referral reason],"="&amp;$B17)+COUNTIFS(Table1[Date Case Opened],"&lt;"&amp;$C$2,Table1[Date Case Closed],"&gt;="&amp;$L$2,Table1[Referral reason],"="&amp;$B17)</f>
        <v>0</v>
      </c>
      <c r="K17" s="29">
        <f>COUNTIFS(Table1[Date Case Closed],"&gt;="&amp;$C$2,Table1[Date Case Closed],"&lt;="&amp;$L$2,Table1[Referral reason],"="&amp;$B17)</f>
        <v>0</v>
      </c>
      <c r="L17" s="94">
        <f>SUM(I17:K17)-COUNTIFS(Table1[Date Case Opened],"&gt;="&amp;$C$2,Table1[Date Case Closed],"&lt;="&amp;$L$2,Table1[Referral reason],"="&amp;$B17)</f>
        <v>0</v>
      </c>
      <c r="M17" s="24"/>
      <c r="N17" s="29">
        <f>SUMPRODUCT(--(Table1[Referral reason]=$B17),Table1[Calculated as active in this date range?],Table1['# times reported to CPS])</f>
        <v>0</v>
      </c>
      <c r="O17" s="29">
        <f>SUMPRODUCT(--(Table1[Referral reason]=$B17),Table1[Calculated as active in this date range?],Table1['# times reported to APS])</f>
        <v>0</v>
      </c>
      <c r="P17" s="29">
        <f>SUMPRODUCT(--(Table1[Referral reason]=$B17),Table1[Calculated as active in this date range?],Table1['# times police called])</f>
        <v>0</v>
      </c>
      <c r="Q17" s="29">
        <f>SUMPRODUCT(--(Table1[Referral reason]=$B17),Table1[Calculated as active in this date range?],Table1['# suicide attempts])</f>
        <v>0</v>
      </c>
      <c r="R17" s="29">
        <f>SUMPRODUCT(--(Table1[Referral reason]=$B17),Table1[Calculated as active in this date range?],Table1['# suicide deaths])</f>
        <v>0</v>
      </c>
      <c r="S17" s="23"/>
      <c r="T17" s="30"/>
      <c r="U17" s="29">
        <f>COUNTIFS(Table1[DV],"&lt;&gt;"&amp;"",Table1[Referral reason],"="&amp;$B17,Table1[Calculated as active in this date range?],1)</f>
        <v>0</v>
      </c>
      <c r="V17" s="29">
        <f>COUNTIFS(Table1[Sexual assault],"&lt;&gt;"&amp;"",Table1[Referral reason],"="&amp;$B17,Table1[Calculated as active in this date range?],1)</f>
        <v>0</v>
      </c>
      <c r="W17" s="29">
        <f>COUNTIFS(Table1[Severe Mental Health],"&lt;&gt;"&amp;"",Table1[Referral reason],"="&amp;$B17,Table1[Calculated as active in this date range?],1)</f>
        <v>0</v>
      </c>
      <c r="X17" s="29">
        <f>COUNTIFS(Table1[Child Welfare],"&lt;&gt;"&amp;"",Table1[Referral reason],"="&amp;$B17,Table1[Calculated as active in this date range?],1)</f>
        <v>0</v>
      </c>
      <c r="Y17" s="29">
        <f>COUNTIFS(Table1[Suicide Ideation],"&lt;&gt;"&amp;"",Table1[Referral reason],"="&amp;$B17,Table1[Calculated as active in this date range?],1)</f>
        <v>0</v>
      </c>
      <c r="Z17" s="29">
        <f>COUNTIFS(Table1[LGBT],"&lt;&gt;"&amp;"",Table1[Referral reason],"="&amp;$B17,Table1[Calculated as active in this date range?],1)</f>
        <v>0</v>
      </c>
      <c r="AA17" s="29">
        <f>COUNTIFS(Table1[Crime Complication],"&lt;&gt;"&amp;"",Table1[Referral reason],"="&amp;$B17,Table1[Calculated as active in this date range?],1)</f>
        <v>0</v>
      </c>
      <c r="AB17" s="29">
        <f>COUNTIFS(Table1[Substance Abuse],"&lt;&gt;"&amp;"",Table1[Referral reason],"="&amp;$B17,Table1[Calculated as active in this date range?],1)</f>
        <v>0</v>
      </c>
      <c r="AC17" s="29">
        <f>COUNTIFS(Table1[Elder Abuse],"&lt;&gt;"&amp;"",Table1[Referral reason],"="&amp;$B17,Table1[Calculated as active in this date range?],1)</f>
        <v>0</v>
      </c>
      <c r="AD17" s="29">
        <f>COUNTIFS(Table1[Housing],"&lt;&gt;"&amp;"",Table1[Referral reason],"="&amp;$B17,Table1[Calculated as active in this date range?],1)</f>
        <v>0</v>
      </c>
      <c r="AE17" s="29">
        <f>COUNTIFS(Table1[Disability or Other Health],"&lt;&gt;"&amp;"",Table1[Referral reason],"="&amp;$B17,Table1[Calculated as active in this date range?],1)</f>
        <v>0</v>
      </c>
      <c r="AF17" s="29">
        <f>COUNTIFS(Table1[Legal Issues (Other)],"&lt;&gt;"&amp;"",Table1[Referral reason],"="&amp;$B17,Table1[Calculated as active in this date range?],1)</f>
        <v>0</v>
      </c>
      <c r="AG17" s="18"/>
      <c r="AH17" s="94">
        <f>SUMPRODUCT(--(Table1[Referral reason]=$B17),Table1[Calculated as active in this date range?],Table1['# in household (include client)])-L17</f>
        <v>0</v>
      </c>
      <c r="AJ17" s="29">
        <f>COUNTIFS(Table1[DV-HH],"&lt;&gt;"&amp;"",Table1[Referral reason],"="&amp;$B17,Table1[Calculated as active in this date range?],1)</f>
        <v>0</v>
      </c>
      <c r="AK17" s="29">
        <f>COUNTIFS(Table1[Sexual assault-HH],"&lt;&gt;"&amp;"",Table1[Referral reason],"="&amp;$B17,Table1[Calculated as active in this date range?],1)</f>
        <v>0</v>
      </c>
      <c r="AL17" s="29">
        <f>COUNTIFS(Table1[Severe Mental Health-HH],"&lt;&gt;"&amp;"",Table1[Referral reason],"="&amp;$B17,Table1[Calculated as active in this date range?],1)</f>
        <v>0</v>
      </c>
      <c r="AM17" s="29">
        <f>COUNTIFS(Table1[Child Welfare-HH],"&lt;&gt;"&amp;"",Table1[Referral reason],"="&amp;$B17,Table1[Calculated as active in this date range?],1)</f>
        <v>0</v>
      </c>
      <c r="AN17" s="29">
        <f>COUNTIFS(Table1[Suicide Ideation-HH],"&lt;&gt;"&amp;"",Table1[Referral reason],"="&amp;$B17,Table1[Calculated as active in this date range?],1)</f>
        <v>0</v>
      </c>
      <c r="AO17" s="29">
        <f>COUNTIFS(Table1[LGBT-HH],"&lt;&gt;"&amp;"",Table1[Referral reason],"="&amp;$B17,Table1[Calculated as active in this date range?],1)</f>
        <v>0</v>
      </c>
      <c r="AP17" s="29">
        <f>COUNTIFS(Table1[Crime Complication-HH],"&lt;&gt;"&amp;"",Table1[Referral reason],"="&amp;$B17,Table1[Calculated as active in this date range?],1)</f>
        <v>0</v>
      </c>
      <c r="AQ17" s="29">
        <f>COUNTIFS(Table1[Substance Abuse-HH],"&lt;&gt;"&amp;"",Table1[Referral reason],"="&amp;$B17,Table1[Calculated as active in this date range?],1)</f>
        <v>0</v>
      </c>
      <c r="AR17" s="29">
        <f>COUNTIFS(Table1[Elder Abuse-HH],"&lt;&gt;"&amp;"",Table1[Referral reason],"="&amp;$B17,Table1[Calculated as active in this date range?],1)</f>
        <v>0</v>
      </c>
      <c r="AS17" s="29">
        <f>COUNTIFS(Table1[Housing-HH],"&lt;&gt;"&amp;"",Table1[Referral reason],"="&amp;$B17,Table1[Calculated as active in this date range?],1)</f>
        <v>0</v>
      </c>
      <c r="AT17" s="29">
        <f>COUNTIFS(Table1[Disability or Other Health-HH],"&lt;&gt;"&amp;"",Table1[Referral reason],"="&amp;$B17,Table1[Calculated as active in this date range?],1)</f>
        <v>0</v>
      </c>
      <c r="AU17" s="29">
        <f>COUNTIFS(Table1[Legal Issues (Other)-HH],"&lt;&gt;"&amp;"",Table1[Referral reason],"="&amp;$B17,Table1[Calculated as active in this date range?],1)</f>
        <v>0</v>
      </c>
      <c r="AV17" s="22"/>
      <c r="AW17" s="21" t="s">
        <v>49</v>
      </c>
      <c r="AX17" s="29">
        <f>COUNTIFS(Table1[Calculated as active in this date range?],1,Table1[Country of Origin],"="&amp;$AW17)</f>
        <v>0</v>
      </c>
    </row>
    <row r="18" spans="2:53" ht="17.25" customHeight="1" x14ac:dyDescent="0.4">
      <c r="B18" s="157" t="s">
        <v>50</v>
      </c>
      <c r="C18" s="158"/>
      <c r="D18" s="158"/>
      <c r="E18" s="158"/>
      <c r="F18" s="158"/>
      <c r="G18" s="158"/>
      <c r="H18" s="158"/>
      <c r="I18" s="158"/>
      <c r="J18" s="158"/>
      <c r="K18" s="158"/>
      <c r="L18" s="159"/>
      <c r="M18" s="80"/>
      <c r="N18" s="165" t="s">
        <v>51</v>
      </c>
      <c r="O18" s="158"/>
      <c r="P18" s="158"/>
      <c r="Q18" s="158"/>
      <c r="R18" s="159"/>
      <c r="S18" s="81"/>
      <c r="T18" s="82"/>
      <c r="U18" s="147" t="s">
        <v>172</v>
      </c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9"/>
      <c r="AG18" s="83"/>
      <c r="AH18" s="144"/>
      <c r="AI18" s="84"/>
      <c r="AJ18" s="147" t="s">
        <v>181</v>
      </c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9"/>
      <c r="AV18" s="26"/>
      <c r="AW18" s="21" t="s">
        <v>52</v>
      </c>
      <c r="AX18" s="29">
        <f>COUNTIFS(Table1[Calculated as active in this date range?],1,Table1[Country of Origin],"="&amp;$AW18)</f>
        <v>0</v>
      </c>
    </row>
    <row r="19" spans="2:53" ht="17.25" customHeight="1" x14ac:dyDescent="0.4">
      <c r="B19" s="157"/>
      <c r="C19" s="160"/>
      <c r="D19" s="160"/>
      <c r="E19" s="160"/>
      <c r="F19" s="160"/>
      <c r="G19" s="160"/>
      <c r="H19" s="160"/>
      <c r="I19" s="160"/>
      <c r="J19" s="160"/>
      <c r="K19" s="160"/>
      <c r="L19" s="161"/>
      <c r="M19" s="80"/>
      <c r="N19" s="157"/>
      <c r="O19" s="160"/>
      <c r="P19" s="160"/>
      <c r="Q19" s="160"/>
      <c r="R19" s="161"/>
      <c r="S19" s="85"/>
      <c r="T19" s="86"/>
      <c r="U19" s="150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2"/>
      <c r="AG19" s="83"/>
      <c r="AH19" s="145"/>
      <c r="AI19" s="84"/>
      <c r="AJ19" s="150"/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2"/>
      <c r="AV19" s="26"/>
      <c r="AW19" s="21" t="s">
        <v>10</v>
      </c>
      <c r="AX19" s="29">
        <f>COUNTIFS(Table1[Calculated as active in this date range?],1,Table1[Country of Origin],"="&amp;$AW19)</f>
        <v>0</v>
      </c>
    </row>
    <row r="20" spans="2:53" ht="17.25" customHeight="1" thickBot="1" x14ac:dyDescent="0.45">
      <c r="B20" s="162"/>
      <c r="C20" s="163"/>
      <c r="D20" s="163"/>
      <c r="E20" s="163"/>
      <c r="F20" s="163"/>
      <c r="G20" s="163"/>
      <c r="H20" s="163"/>
      <c r="I20" s="163"/>
      <c r="J20" s="163"/>
      <c r="K20" s="163"/>
      <c r="L20" s="164"/>
      <c r="M20" s="87"/>
      <c r="N20" s="162"/>
      <c r="O20" s="163"/>
      <c r="P20" s="163"/>
      <c r="Q20" s="163"/>
      <c r="R20" s="164"/>
      <c r="S20" s="85"/>
      <c r="T20" s="86"/>
      <c r="U20" s="153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5"/>
      <c r="AG20" s="83"/>
      <c r="AH20" s="146"/>
      <c r="AI20" s="84"/>
      <c r="AJ20" s="153"/>
      <c r="AK20" s="154"/>
      <c r="AL20" s="154"/>
      <c r="AM20" s="154"/>
      <c r="AN20" s="154"/>
      <c r="AO20" s="154"/>
      <c r="AP20" s="154"/>
      <c r="AQ20" s="154"/>
      <c r="AR20" s="154"/>
      <c r="AS20" s="154"/>
      <c r="AT20" s="154"/>
      <c r="AU20" s="155"/>
      <c r="AV20" s="26"/>
      <c r="AW20" s="21" t="s">
        <v>7</v>
      </c>
      <c r="AX20" s="29">
        <f>COUNTIFS(Table1[Calculated as active in this date range?],1,Table1[Country of Origin],"="&amp;$AW20)</f>
        <v>0</v>
      </c>
    </row>
    <row r="21" spans="2:53" ht="15" customHeight="1" x14ac:dyDescent="0.25">
      <c r="AW21" s="21" t="s">
        <v>72</v>
      </c>
      <c r="AX21" s="29">
        <f>COUNTIFS(Table1[Calculated as active in this date range?],1,Table1[Country of Origin],"="&amp;$AW21)</f>
        <v>0</v>
      </c>
    </row>
    <row r="22" spans="2:53" ht="15" customHeight="1" x14ac:dyDescent="0.25">
      <c r="AI22" s="19"/>
      <c r="AJ22" s="19"/>
      <c r="AK22" s="19"/>
      <c r="AL22" s="19"/>
      <c r="AM22" s="19"/>
      <c r="AN22" s="19"/>
      <c r="AO22" s="19"/>
      <c r="AW22" s="21" t="s">
        <v>53</v>
      </c>
      <c r="AX22" s="29">
        <f>COUNTIFS(Table1[Calculated as active in this date range?],1,Table1[Country of Origin],"="&amp;$AW22)</f>
        <v>0</v>
      </c>
      <c r="AZ22" s="97" t="s">
        <v>195</v>
      </c>
      <c r="BA22" s="97" t="s">
        <v>42</v>
      </c>
    </row>
    <row r="23" spans="2:53" ht="15" customHeight="1" thickBot="1" x14ac:dyDescent="0.3">
      <c r="B23" s="48"/>
      <c r="C23" s="49"/>
      <c r="D23" s="50"/>
      <c r="E23" s="50"/>
      <c r="F23" s="50"/>
      <c r="G23" s="50"/>
      <c r="H23" s="50"/>
      <c r="I23" s="51"/>
      <c r="J23" s="49"/>
      <c r="K23" s="49"/>
      <c r="L23" s="49"/>
      <c r="M23" s="49"/>
      <c r="N23" s="49"/>
      <c r="O23" s="49"/>
      <c r="P23" s="49"/>
      <c r="Q23" s="49"/>
      <c r="R23" s="49"/>
      <c r="S23" s="50"/>
      <c r="T23" s="50"/>
      <c r="U23" s="49"/>
      <c r="V23" s="49"/>
      <c r="W23" s="49"/>
      <c r="X23" s="49"/>
      <c r="Y23" s="49"/>
      <c r="Z23" s="49"/>
      <c r="AI23" s="19"/>
      <c r="AJ23" s="19"/>
      <c r="AK23" s="19"/>
      <c r="AL23" s="19"/>
      <c r="AM23" s="19"/>
      <c r="AN23" s="19"/>
      <c r="AO23" s="19"/>
      <c r="AW23" s="21" t="s">
        <v>54</v>
      </c>
      <c r="AX23" s="29">
        <f>COUNTIFS(Table1[Calculated as active in this date range?],1,Table1[Country of Origin],"="&amp;$AW23)</f>
        <v>0</v>
      </c>
      <c r="AZ23" s="101"/>
      <c r="BA23" s="102"/>
    </row>
    <row r="24" spans="2:53" ht="15" customHeight="1" x14ac:dyDescent="0.25">
      <c r="B24" s="71" t="s">
        <v>56</v>
      </c>
      <c r="C24" s="63">
        <f ca="1">SUM(E9:E17)</f>
        <v>57</v>
      </c>
      <c r="D24" s="52"/>
      <c r="E24" s="52"/>
      <c r="F24" s="52"/>
      <c r="G24" s="52"/>
      <c r="H24" s="52"/>
      <c r="I24" s="51"/>
      <c r="J24" s="49"/>
      <c r="K24" s="49"/>
      <c r="L24" s="49"/>
      <c r="M24" s="49"/>
      <c r="N24" s="53" t="s">
        <v>167</v>
      </c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5">
        <f>SUM(N9:N17)</f>
        <v>1</v>
      </c>
      <c r="Z24" s="50"/>
      <c r="AA24" s="18"/>
      <c r="AH24" s="27"/>
      <c r="AI24" s="19"/>
      <c r="AJ24" s="27"/>
      <c r="AK24" s="27"/>
      <c r="AL24" s="27"/>
      <c r="AM24" s="27"/>
      <c r="AN24" s="27"/>
      <c r="AO24" s="19"/>
      <c r="AP24" s="19"/>
      <c r="AW24" s="21" t="s">
        <v>26</v>
      </c>
      <c r="AX24" s="29">
        <f>COUNTIFS(Table1[Calculated as active in this date range?],1,Table1[Country of Origin],"="&amp;$AW24)</f>
        <v>0</v>
      </c>
      <c r="AZ24" s="101"/>
      <c r="BA24" s="102"/>
    </row>
    <row r="25" spans="2:53" ht="15" customHeight="1" x14ac:dyDescent="0.25">
      <c r="B25" s="72" t="s">
        <v>58</v>
      </c>
      <c r="C25" s="65">
        <f ca="1">SUM(G9:G17)</f>
        <v>9</v>
      </c>
      <c r="D25" s="52"/>
      <c r="E25" s="52"/>
      <c r="F25" s="52"/>
      <c r="G25" s="52"/>
      <c r="H25" s="52"/>
      <c r="I25" s="51"/>
      <c r="J25" s="49"/>
      <c r="K25" s="49"/>
      <c r="L25" s="49"/>
      <c r="M25" s="49"/>
      <c r="N25" s="56" t="s">
        <v>168</v>
      </c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7">
        <f>SUM(O9:O17)</f>
        <v>1</v>
      </c>
      <c r="Z25" s="50"/>
      <c r="AA25" s="18"/>
      <c r="AH25" s="27"/>
      <c r="AI25" s="19"/>
      <c r="AJ25" s="27"/>
      <c r="AK25" s="27"/>
      <c r="AL25" s="27"/>
      <c r="AM25" s="27"/>
      <c r="AN25" s="27"/>
      <c r="AO25" s="19"/>
      <c r="AP25" s="19"/>
      <c r="AW25" s="21" t="s">
        <v>11</v>
      </c>
      <c r="AX25" s="29">
        <f>COUNTIFS(Table1[Calculated as active in this date range?],1,Table1[Country of Origin],"="&amp;$AW25)</f>
        <v>0</v>
      </c>
      <c r="AZ25" s="101"/>
      <c r="BA25" s="102"/>
    </row>
    <row r="26" spans="2:53" ht="15" customHeight="1" thickBot="1" x14ac:dyDescent="0.3">
      <c r="B26" s="73" t="s">
        <v>60</v>
      </c>
      <c r="C26" s="74">
        <f ca="1">SUM(D9:D17)</f>
        <v>24</v>
      </c>
      <c r="D26" s="48"/>
      <c r="E26" s="48"/>
      <c r="F26" s="48"/>
      <c r="G26" s="48"/>
      <c r="H26" s="48"/>
      <c r="I26" s="59"/>
      <c r="J26" s="49"/>
      <c r="K26" s="49"/>
      <c r="L26" s="49"/>
      <c r="M26" s="49"/>
      <c r="N26" s="56" t="s">
        <v>169</v>
      </c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7">
        <f>SUM(P9:P17)</f>
        <v>2</v>
      </c>
      <c r="Z26" s="50"/>
      <c r="AA26" s="18"/>
      <c r="AH26" s="27"/>
      <c r="AI26" s="19"/>
      <c r="AJ26" s="27"/>
      <c r="AK26" s="27"/>
      <c r="AL26" s="27"/>
      <c r="AM26" s="27"/>
      <c r="AN26" s="27"/>
      <c r="AO26" s="19"/>
      <c r="AP26" s="19"/>
      <c r="AW26" s="21" t="s">
        <v>55</v>
      </c>
      <c r="AX26" s="29">
        <f>COUNTIFS(Table1[Calculated as active in this date range?],1,Table1[Country of Origin],"="&amp;$AW26)</f>
        <v>0</v>
      </c>
      <c r="AZ26" s="101"/>
      <c r="BA26" s="102"/>
    </row>
    <row r="27" spans="2:53" ht="15" customHeight="1" x14ac:dyDescent="0.25">
      <c r="B27" s="48"/>
      <c r="C27" s="48"/>
      <c r="D27" s="48"/>
      <c r="E27" s="48"/>
      <c r="F27" s="48"/>
      <c r="G27" s="48"/>
      <c r="H27" s="48"/>
      <c r="I27" s="59"/>
      <c r="J27" s="49"/>
      <c r="K27" s="49"/>
      <c r="L27" s="49"/>
      <c r="M27" s="49"/>
      <c r="N27" s="56" t="s">
        <v>170</v>
      </c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7">
        <f>SUM(Q9:Q17)</f>
        <v>0</v>
      </c>
      <c r="Z27" s="50"/>
      <c r="AA27" s="18"/>
      <c r="AH27" s="27"/>
      <c r="AI27" s="19"/>
      <c r="AJ27" s="27"/>
      <c r="AK27" s="27"/>
      <c r="AL27" s="27"/>
      <c r="AM27" s="27"/>
      <c r="AN27" s="27"/>
      <c r="AO27" s="19"/>
      <c r="AP27" s="19"/>
      <c r="AW27" s="21" t="s">
        <v>9</v>
      </c>
      <c r="AX27" s="29">
        <f>COUNTIFS(Table1[Calculated as active in this date range?],1,Table1[Country of Origin],"="&amp;$AW27)</f>
        <v>0</v>
      </c>
      <c r="AZ27" s="101"/>
      <c r="BA27" s="102"/>
    </row>
    <row r="28" spans="2:53" ht="15" customHeight="1" thickBot="1" x14ac:dyDescent="0.3">
      <c r="B28" s="48"/>
      <c r="C28" s="48"/>
      <c r="D28" s="48"/>
      <c r="E28" s="48"/>
      <c r="F28" s="48"/>
      <c r="G28" s="48"/>
      <c r="H28" s="48"/>
      <c r="I28" s="59"/>
      <c r="J28" s="49"/>
      <c r="K28" s="49"/>
      <c r="L28" s="49"/>
      <c r="M28" s="49"/>
      <c r="N28" s="60" t="s">
        <v>171</v>
      </c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58">
        <f>SUM(R9:R17)</f>
        <v>0</v>
      </c>
      <c r="Z28" s="50"/>
      <c r="AA28" s="18"/>
      <c r="AH28" s="27"/>
      <c r="AI28" s="19"/>
      <c r="AJ28" s="27"/>
      <c r="AK28" s="27"/>
      <c r="AL28" s="27"/>
      <c r="AM28" s="27"/>
      <c r="AN28" s="27"/>
      <c r="AO28" s="19"/>
      <c r="AP28" s="19"/>
      <c r="AW28" s="21" t="s">
        <v>71</v>
      </c>
      <c r="AX28" s="29">
        <f>COUNTIFS(Table1[Calculated as active in this date range?],1,Table1[Country of Origin],"="&amp;$AW28)</f>
        <v>0</v>
      </c>
      <c r="AZ28" s="18"/>
      <c r="BA28" s="18"/>
    </row>
    <row r="29" spans="2:53" ht="15" customHeight="1" x14ac:dyDescent="0.25">
      <c r="B29" s="62" t="s">
        <v>62</v>
      </c>
      <c r="C29" s="54"/>
      <c r="D29" s="54"/>
      <c r="E29" s="54"/>
      <c r="F29" s="54"/>
      <c r="G29" s="54"/>
      <c r="H29" s="54"/>
      <c r="I29" s="63">
        <f>SUM(I9:I17)</f>
        <v>1</v>
      </c>
      <c r="J29" s="49"/>
      <c r="K29" s="49"/>
      <c r="L29" s="49"/>
      <c r="M29" s="49"/>
      <c r="N29" s="49"/>
      <c r="O29" s="49"/>
      <c r="P29" s="49"/>
      <c r="Q29" s="49"/>
      <c r="R29" s="49"/>
      <c r="S29" s="50"/>
      <c r="T29" s="50"/>
      <c r="U29" s="49"/>
      <c r="V29" s="49"/>
      <c r="W29" s="49"/>
      <c r="X29" s="49"/>
      <c r="Y29" s="49"/>
      <c r="Z29" s="49"/>
      <c r="AW29" s="21" t="s">
        <v>57</v>
      </c>
      <c r="AX29" s="29">
        <f>COUNTIFS(Table1[Calculated as active in this date range?],1,Table1[Country of Origin],"="&amp;$AW29)</f>
        <v>0</v>
      </c>
    </row>
    <row r="30" spans="2:53" ht="15" customHeight="1" x14ac:dyDescent="0.25">
      <c r="B30" s="64" t="s">
        <v>63</v>
      </c>
      <c r="C30" s="52"/>
      <c r="D30" s="52"/>
      <c r="E30" s="52"/>
      <c r="F30" s="52"/>
      <c r="G30" s="52"/>
      <c r="H30" s="52"/>
      <c r="I30" s="65">
        <f>SUM(J9:J17)</f>
        <v>0</v>
      </c>
      <c r="J30" s="49"/>
      <c r="K30" s="49"/>
      <c r="L30" s="49"/>
      <c r="M30" s="49"/>
      <c r="N30" s="49"/>
      <c r="O30" s="49"/>
      <c r="P30" s="49"/>
      <c r="Q30" s="49"/>
      <c r="R30" s="49"/>
      <c r="S30" s="50"/>
      <c r="T30" s="50"/>
      <c r="U30" s="49"/>
      <c r="V30" s="49"/>
      <c r="W30" s="49"/>
      <c r="X30" s="49"/>
      <c r="Y30" s="49"/>
      <c r="Z30" s="49"/>
      <c r="AW30" s="21" t="s">
        <v>59</v>
      </c>
      <c r="AX30" s="29">
        <f>COUNTIFS(Table1[Calculated as active in this date range?],1,Table1[Country of Origin],"="&amp;$AW30)</f>
        <v>0</v>
      </c>
    </row>
    <row r="31" spans="2:53" ht="15" customHeight="1" thickBot="1" x14ac:dyDescent="0.3">
      <c r="B31" s="64" t="s">
        <v>87</v>
      </c>
      <c r="C31" s="52"/>
      <c r="D31" s="52"/>
      <c r="E31" s="52"/>
      <c r="F31" s="52"/>
      <c r="G31" s="52"/>
      <c r="H31" s="52"/>
      <c r="I31" s="65">
        <f>SUM(K9:K17)</f>
        <v>0</v>
      </c>
      <c r="J31" s="49"/>
      <c r="K31" s="49"/>
      <c r="L31" s="49"/>
      <c r="M31" s="49"/>
      <c r="N31" s="49"/>
      <c r="O31" s="49"/>
      <c r="P31" s="49"/>
      <c r="Q31" s="49"/>
      <c r="R31" s="49"/>
      <c r="S31" s="50"/>
      <c r="T31" s="50"/>
      <c r="U31" s="49"/>
      <c r="V31" s="49"/>
      <c r="W31" s="49"/>
      <c r="X31" s="49"/>
      <c r="Y31" s="49"/>
      <c r="Z31" s="49"/>
      <c r="AW31" s="21" t="s">
        <v>61</v>
      </c>
      <c r="AX31" s="29">
        <f>COUNTIFS(Table1[Calculated as active in this date range?],1,Table1[Country of Origin],"="&amp;$AW31)</f>
        <v>0</v>
      </c>
    </row>
    <row r="32" spans="2:53" ht="15" customHeight="1" thickBot="1" x14ac:dyDescent="0.3">
      <c r="B32" s="75" t="s">
        <v>257</v>
      </c>
      <c r="C32" s="76"/>
      <c r="D32" s="76"/>
      <c r="E32" s="76"/>
      <c r="F32" s="76"/>
      <c r="G32" s="76"/>
      <c r="H32" s="76"/>
      <c r="I32" s="66">
        <f>SUM(L9:L17)</f>
        <v>1</v>
      </c>
      <c r="J32" s="49"/>
      <c r="K32" s="49"/>
      <c r="L32" s="49"/>
      <c r="M32" s="49"/>
      <c r="N32" s="49"/>
      <c r="O32" s="49"/>
      <c r="P32" s="49"/>
      <c r="Q32" s="49"/>
      <c r="R32" s="49"/>
      <c r="S32" s="50"/>
      <c r="T32" s="50"/>
      <c r="U32" s="49"/>
      <c r="V32" s="49"/>
      <c r="W32" s="49"/>
      <c r="X32" s="49"/>
      <c r="Y32" s="49"/>
      <c r="Z32" s="49"/>
    </row>
    <row r="37" ht="22.5" customHeight="1" x14ac:dyDescent="0.25"/>
  </sheetData>
  <sheetProtection algorithmName="SHA-512" hashValue="NZLStPqWUVYCra9Fhmk+mwDbAtWLJS3gtpkOmNpfhhb8a2jaUSXz8egIdrrEhY6yjIyTyQj85NOWWnhfDjqdJw==" saltValue="JHHqpokBLla0s7dlP2/Lsg==" spinCount="100000" sheet="1" objects="1" scenarios="1"/>
  <sortState ref="AW9:AX30">
    <sortCondition ref="AW9"/>
  </sortState>
  <mergeCells count="7">
    <mergeCell ref="AH18:AH20"/>
    <mergeCell ref="AJ18:AU20"/>
    <mergeCell ref="L2:N2"/>
    <mergeCell ref="B18:L20"/>
    <mergeCell ref="C2:D2"/>
    <mergeCell ref="N18:R20"/>
    <mergeCell ref="U18:AF20"/>
  </mergeCells>
  <conditionalFormatting sqref="C9:E17">
    <cfRule type="cellIs" dxfId="20" priority="9" operator="greaterThan">
      <formula>0</formula>
    </cfRule>
  </conditionalFormatting>
  <conditionalFormatting sqref="G9:G17">
    <cfRule type="cellIs" dxfId="19" priority="8" operator="greaterThan">
      <formula>0</formula>
    </cfRule>
  </conditionalFormatting>
  <conditionalFormatting sqref="I9:L17">
    <cfRule type="cellIs" dxfId="18" priority="7" operator="greaterThan">
      <formula>0</formula>
    </cfRule>
  </conditionalFormatting>
  <conditionalFormatting sqref="N9:R17">
    <cfRule type="cellIs" dxfId="17" priority="6" operator="greaterThan">
      <formula>0</formula>
    </cfRule>
  </conditionalFormatting>
  <conditionalFormatting sqref="U9:AF17">
    <cfRule type="cellIs" dxfId="16" priority="5" operator="greaterThan">
      <formula>0</formula>
    </cfRule>
  </conditionalFormatting>
  <conditionalFormatting sqref="AH9:AH17">
    <cfRule type="cellIs" dxfId="15" priority="4" operator="greaterThan">
      <formula>0</formula>
    </cfRule>
  </conditionalFormatting>
  <conditionalFormatting sqref="AJ9:AU17">
    <cfRule type="cellIs" dxfId="14" priority="3" operator="greaterThan">
      <formula>0</formula>
    </cfRule>
  </conditionalFormatting>
  <conditionalFormatting sqref="AX9:AX31">
    <cfRule type="cellIs" dxfId="13" priority="2" operator="greaterThan">
      <formula>0</formula>
    </cfRule>
  </conditionalFormatting>
  <conditionalFormatting sqref="BA23:BA27">
    <cfRule type="cellIs" dxfId="12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DZ6"/>
  <sheetViews>
    <sheetView zoomScale="85" zoomScaleNormal="85" workbookViewId="0">
      <pane xSplit="2" ySplit="3" topLeftCell="DE4" activePane="bottomRight" state="frozen"/>
      <selection pane="topRight" activeCell="C1" sqref="C1"/>
      <selection pane="bottomLeft" activeCell="A2" sqref="A2"/>
      <selection pane="bottomRight" activeCell="ED6" sqref="ED6"/>
    </sheetView>
  </sheetViews>
  <sheetFormatPr defaultRowHeight="30" customHeight="1" x14ac:dyDescent="0.25"/>
  <cols>
    <col min="1" max="1" width="15.42578125" customWidth="1"/>
    <col min="2" max="2" width="14.5703125" customWidth="1"/>
    <col min="3" max="3" width="16" customWidth="1"/>
    <col min="4" max="4" width="14.7109375" customWidth="1"/>
    <col min="5" max="5" width="16.85546875" customWidth="1"/>
    <col min="6" max="6" width="17.42578125" customWidth="1"/>
    <col min="7" max="7" width="17.85546875" customWidth="1"/>
    <col min="8" max="15" width="5.7109375" customWidth="1"/>
    <col min="16" max="19" width="5" customWidth="1"/>
    <col min="20" max="20" width="27.5703125" hidden="1" customWidth="1"/>
    <col min="21" max="21" width="23.42578125" customWidth="1"/>
    <col min="22" max="24" width="12.5703125" customWidth="1"/>
    <col min="25" max="25" width="17.28515625" customWidth="1"/>
    <col min="26" max="26" width="12.7109375" customWidth="1"/>
    <col min="27" max="27" width="17.28515625" customWidth="1"/>
    <col min="28" max="33" width="5" customWidth="1"/>
    <col min="34" max="47" width="5.7109375" customWidth="1"/>
    <col min="48" max="48" width="25.28515625" customWidth="1"/>
    <col min="49" max="49" width="9.42578125" customWidth="1"/>
    <col min="50" max="50" width="8.140625" customWidth="1"/>
    <col min="51" max="51" width="9.42578125" customWidth="1"/>
    <col min="52" max="53" width="13.7109375" customWidth="1"/>
    <col min="54" max="54" width="7.5703125" hidden="1" customWidth="1"/>
    <col min="55" max="128" width="10.7109375" hidden="1" customWidth="1"/>
    <col min="129" max="130" width="9.140625" customWidth="1"/>
  </cols>
  <sheetData>
    <row r="1" spans="1:130" ht="23.25" customHeight="1" x14ac:dyDescent="0.25">
      <c r="A1" s="168" t="str">
        <f>"Basic Information - # clients listed: "&amp;COUNTA(Table1[First Name])</f>
        <v>Basic Information - # clients listed: 1</v>
      </c>
      <c r="B1" s="169"/>
      <c r="C1" s="169"/>
      <c r="D1" s="169"/>
      <c r="E1" s="169"/>
      <c r="F1" s="171"/>
      <c r="G1" s="173" t="s">
        <v>197</v>
      </c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  <c r="V1" s="189" t="s">
        <v>205</v>
      </c>
      <c r="W1" s="189"/>
      <c r="X1" s="189"/>
      <c r="Y1" s="189"/>
      <c r="Z1" s="189"/>
      <c r="AA1" s="189"/>
      <c r="AB1" s="189"/>
      <c r="AC1" s="189"/>
      <c r="AD1" s="189"/>
      <c r="AE1" s="190"/>
      <c r="AF1" s="188" t="s">
        <v>202</v>
      </c>
      <c r="AG1" s="189"/>
      <c r="AH1" s="189"/>
      <c r="AI1" s="189"/>
      <c r="AJ1" s="189"/>
      <c r="AK1" s="189"/>
      <c r="AL1" s="189"/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8" t="s">
        <v>203</v>
      </c>
      <c r="AX1" s="189"/>
      <c r="AY1" s="189"/>
      <c r="AZ1" s="189"/>
      <c r="BA1" s="189"/>
      <c r="BB1" s="107"/>
      <c r="BC1" s="168" t="s">
        <v>206</v>
      </c>
      <c r="BD1" s="169"/>
      <c r="BE1" s="169"/>
      <c r="BF1" s="169"/>
      <c r="BG1" s="169"/>
      <c r="BH1" s="169"/>
      <c r="BI1" s="169"/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07"/>
      <c r="CB1" s="170" t="s">
        <v>207</v>
      </c>
      <c r="CC1" s="169"/>
      <c r="CD1" s="169"/>
      <c r="CE1" s="169"/>
      <c r="CF1" s="169"/>
      <c r="CG1" s="169"/>
      <c r="CH1" s="169"/>
      <c r="CI1" s="169"/>
      <c r="CJ1" s="169"/>
      <c r="CK1" s="169"/>
      <c r="CL1" s="169"/>
      <c r="CM1" s="169"/>
      <c r="CN1" s="169"/>
      <c r="CO1" s="169"/>
      <c r="CP1" s="169"/>
      <c r="CQ1" s="169"/>
      <c r="CR1" s="169"/>
      <c r="CS1" s="169"/>
      <c r="CT1" s="169"/>
      <c r="CU1" s="169"/>
      <c r="CV1" s="169"/>
      <c r="CW1" s="169"/>
      <c r="CX1" s="169"/>
      <c r="CY1" s="169"/>
      <c r="CZ1" s="107"/>
      <c r="DA1" s="170" t="s">
        <v>208</v>
      </c>
      <c r="DB1" s="169"/>
      <c r="DC1" s="169"/>
      <c r="DD1" s="169"/>
      <c r="DE1" s="169"/>
      <c r="DF1" s="169"/>
      <c r="DG1" s="169"/>
      <c r="DH1" s="169"/>
      <c r="DI1" s="169"/>
      <c r="DJ1" s="169"/>
      <c r="DK1" s="169"/>
      <c r="DL1" s="169"/>
      <c r="DM1" s="169"/>
      <c r="DN1" s="169"/>
      <c r="DO1" s="169"/>
      <c r="DP1" s="169"/>
      <c r="DQ1" s="169"/>
      <c r="DR1" s="169"/>
      <c r="DS1" s="169"/>
      <c r="DT1" s="169"/>
      <c r="DU1" s="169"/>
      <c r="DV1" s="169"/>
      <c r="DW1" s="169"/>
      <c r="DX1" s="171"/>
    </row>
    <row r="2" spans="1:130" ht="26.25" customHeight="1" x14ac:dyDescent="0.25">
      <c r="A2" s="176" t="s">
        <v>258</v>
      </c>
      <c r="B2" s="176"/>
      <c r="C2" s="176"/>
      <c r="D2" s="176"/>
      <c r="E2" s="176"/>
      <c r="F2" s="177"/>
      <c r="G2" s="178"/>
      <c r="H2" s="179"/>
      <c r="I2" s="179"/>
      <c r="J2" s="179"/>
      <c r="K2" s="179"/>
      <c r="L2" s="180" t="s">
        <v>198</v>
      </c>
      <c r="M2" s="181"/>
      <c r="N2" s="181"/>
      <c r="O2" s="181"/>
      <c r="P2" s="181"/>
      <c r="Q2" s="181"/>
      <c r="R2" s="181"/>
      <c r="S2" s="181"/>
      <c r="T2" s="181"/>
      <c r="U2" s="182"/>
      <c r="V2" s="103"/>
      <c r="W2" s="103"/>
      <c r="X2" s="103"/>
      <c r="Y2" s="103"/>
      <c r="Z2" s="103"/>
      <c r="AA2" s="103"/>
      <c r="AB2" s="103"/>
      <c r="AC2" s="103"/>
      <c r="AD2" s="103"/>
      <c r="AE2" s="104"/>
      <c r="AF2" s="183" t="s">
        <v>200</v>
      </c>
      <c r="AG2" s="184"/>
      <c r="AH2" s="184"/>
      <c r="AI2" s="184"/>
      <c r="AJ2" s="184"/>
      <c r="AK2" s="184"/>
      <c r="AL2" s="184"/>
      <c r="AM2" s="184"/>
      <c r="AN2" s="185"/>
      <c r="AO2" s="186" t="s">
        <v>201</v>
      </c>
      <c r="AP2" s="184"/>
      <c r="AQ2" s="184"/>
      <c r="AR2" s="184"/>
      <c r="AS2" s="184"/>
      <c r="AT2" s="185"/>
      <c r="AU2" s="186" t="s">
        <v>204</v>
      </c>
      <c r="AV2" s="187"/>
      <c r="AW2" s="183"/>
      <c r="AX2" s="184"/>
      <c r="AY2" s="184"/>
      <c r="AZ2" s="184"/>
      <c r="BA2" s="187"/>
      <c r="BB2" s="105"/>
      <c r="BC2" s="166">
        <v>42005</v>
      </c>
      <c r="BD2" s="167"/>
      <c r="BE2" s="166">
        <v>42036</v>
      </c>
      <c r="BF2" s="167"/>
      <c r="BG2" s="166">
        <v>42064</v>
      </c>
      <c r="BH2" s="167"/>
      <c r="BI2" s="166">
        <v>42095</v>
      </c>
      <c r="BJ2" s="167"/>
      <c r="BK2" s="166">
        <v>42125</v>
      </c>
      <c r="BL2" s="167"/>
      <c r="BM2" s="166">
        <v>42156</v>
      </c>
      <c r="BN2" s="167"/>
      <c r="BO2" s="166">
        <v>42186</v>
      </c>
      <c r="BP2" s="167"/>
      <c r="BQ2" s="166">
        <v>42217</v>
      </c>
      <c r="BR2" s="167"/>
      <c r="BS2" s="166">
        <v>42248</v>
      </c>
      <c r="BT2" s="167"/>
      <c r="BU2" s="166">
        <v>42278</v>
      </c>
      <c r="BV2" s="167"/>
      <c r="BW2" s="166">
        <v>42309</v>
      </c>
      <c r="BX2" s="167"/>
      <c r="BY2" s="166">
        <v>42339</v>
      </c>
      <c r="BZ2" s="167"/>
      <c r="CA2" s="106"/>
      <c r="CB2" s="172">
        <v>42005</v>
      </c>
      <c r="CC2" s="167"/>
      <c r="CD2" s="166">
        <v>42036</v>
      </c>
      <c r="CE2" s="167"/>
      <c r="CF2" s="166">
        <v>42064</v>
      </c>
      <c r="CG2" s="167"/>
      <c r="CH2" s="166">
        <v>42095</v>
      </c>
      <c r="CI2" s="167"/>
      <c r="CJ2" s="166">
        <v>42125</v>
      </c>
      <c r="CK2" s="167"/>
      <c r="CL2" s="166">
        <v>42156</v>
      </c>
      <c r="CM2" s="167"/>
      <c r="CN2" s="166">
        <v>42186</v>
      </c>
      <c r="CO2" s="167"/>
      <c r="CP2" s="166">
        <v>42217</v>
      </c>
      <c r="CQ2" s="167"/>
      <c r="CR2" s="166">
        <v>42248</v>
      </c>
      <c r="CS2" s="167"/>
      <c r="CT2" s="166">
        <v>42278</v>
      </c>
      <c r="CU2" s="167"/>
      <c r="CV2" s="166">
        <v>42309</v>
      </c>
      <c r="CW2" s="167"/>
      <c r="CX2" s="166">
        <v>42339</v>
      </c>
      <c r="CY2" s="167"/>
      <c r="CZ2" s="106"/>
      <c r="DA2" s="172">
        <v>42005</v>
      </c>
      <c r="DB2" s="167"/>
      <c r="DC2" s="166">
        <v>42036</v>
      </c>
      <c r="DD2" s="167"/>
      <c r="DE2" s="166">
        <v>42064</v>
      </c>
      <c r="DF2" s="167"/>
      <c r="DG2" s="166">
        <v>42095</v>
      </c>
      <c r="DH2" s="167"/>
      <c r="DI2" s="166">
        <v>42125</v>
      </c>
      <c r="DJ2" s="167"/>
      <c r="DK2" s="166">
        <v>42156</v>
      </c>
      <c r="DL2" s="167"/>
      <c r="DM2" s="166">
        <v>42186</v>
      </c>
      <c r="DN2" s="167"/>
      <c r="DO2" s="166">
        <v>42217</v>
      </c>
      <c r="DP2" s="167"/>
      <c r="DQ2" s="166">
        <v>42248</v>
      </c>
      <c r="DR2" s="167"/>
      <c r="DS2" s="166">
        <v>42278</v>
      </c>
      <c r="DT2" s="167"/>
      <c r="DU2" s="166">
        <v>42309</v>
      </c>
      <c r="DV2" s="167"/>
      <c r="DW2" s="166">
        <v>42339</v>
      </c>
      <c r="DX2" s="167"/>
    </row>
    <row r="3" spans="1:130" ht="108.75" customHeight="1" x14ac:dyDescent="0.25">
      <c r="A3" s="109" t="s">
        <v>0</v>
      </c>
      <c r="B3" s="110" t="s">
        <v>1</v>
      </c>
      <c r="C3" s="110" t="s">
        <v>5</v>
      </c>
      <c r="D3" s="110" t="s">
        <v>73</v>
      </c>
      <c r="E3" s="110" t="s">
        <v>6</v>
      </c>
      <c r="F3" s="110" t="s">
        <v>8</v>
      </c>
      <c r="G3" s="111" t="s">
        <v>199</v>
      </c>
      <c r="H3" s="112" t="s">
        <v>182</v>
      </c>
      <c r="I3" s="112" t="s">
        <v>183</v>
      </c>
      <c r="J3" s="112" t="s">
        <v>184</v>
      </c>
      <c r="K3" s="112" t="s">
        <v>185</v>
      </c>
      <c r="L3" s="112" t="s">
        <v>186</v>
      </c>
      <c r="M3" s="112" t="s">
        <v>187</v>
      </c>
      <c r="N3" s="112" t="s">
        <v>188</v>
      </c>
      <c r="O3" s="112" t="s">
        <v>189</v>
      </c>
      <c r="P3" s="113" t="s">
        <v>190</v>
      </c>
      <c r="Q3" s="113" t="s">
        <v>193</v>
      </c>
      <c r="R3" s="113" t="s">
        <v>191</v>
      </c>
      <c r="S3" s="113" t="s">
        <v>192</v>
      </c>
      <c r="T3" s="68" t="s">
        <v>88</v>
      </c>
      <c r="U3" s="114" t="s">
        <v>14</v>
      </c>
      <c r="V3" s="110" t="s">
        <v>19</v>
      </c>
      <c r="W3" s="110" t="s">
        <v>20</v>
      </c>
      <c r="X3" s="110" t="s">
        <v>21</v>
      </c>
      <c r="Y3" s="110" t="s">
        <v>81</v>
      </c>
      <c r="Z3" s="110" t="s">
        <v>15</v>
      </c>
      <c r="AA3" s="110" t="s">
        <v>24</v>
      </c>
      <c r="AB3" s="115" t="s">
        <v>22</v>
      </c>
      <c r="AC3" s="115" t="s">
        <v>66</v>
      </c>
      <c r="AD3" s="115" t="s">
        <v>174</v>
      </c>
      <c r="AE3" s="115" t="s">
        <v>28</v>
      </c>
      <c r="AF3" s="115" t="s">
        <v>175</v>
      </c>
      <c r="AG3" s="115" t="s">
        <v>23</v>
      </c>
      <c r="AH3" s="115" t="s">
        <v>176</v>
      </c>
      <c r="AI3" s="115" t="s">
        <v>177</v>
      </c>
      <c r="AJ3" s="116" t="s">
        <v>178</v>
      </c>
      <c r="AK3" s="117" t="s">
        <v>179</v>
      </c>
      <c r="AL3" s="118" t="s">
        <v>76</v>
      </c>
      <c r="AM3" s="119" t="s">
        <v>180</v>
      </c>
      <c r="AN3" s="120" t="s">
        <v>16</v>
      </c>
      <c r="AO3" s="120" t="s">
        <v>17</v>
      </c>
      <c r="AP3" s="120" t="s">
        <v>67</v>
      </c>
      <c r="AQ3" s="121" t="s">
        <v>82</v>
      </c>
      <c r="AR3" s="122" t="s">
        <v>83</v>
      </c>
      <c r="AS3" s="122" t="s">
        <v>86</v>
      </c>
      <c r="AT3" s="122" t="s">
        <v>84</v>
      </c>
      <c r="AU3" s="122" t="s">
        <v>85</v>
      </c>
      <c r="AV3" s="123" t="s">
        <v>18</v>
      </c>
      <c r="AW3" s="110" t="s">
        <v>2</v>
      </c>
      <c r="AX3" s="110" t="s">
        <v>3</v>
      </c>
      <c r="AY3" s="110" t="s">
        <v>4</v>
      </c>
      <c r="AZ3" s="110" t="s">
        <v>12</v>
      </c>
      <c r="BA3" s="110" t="s">
        <v>13</v>
      </c>
      <c r="BB3" s="69" t="s">
        <v>113</v>
      </c>
      <c r="BC3" s="124" t="s">
        <v>89</v>
      </c>
      <c r="BD3" s="124" t="s">
        <v>101</v>
      </c>
      <c r="BE3" s="124" t="s">
        <v>91</v>
      </c>
      <c r="BF3" s="124" t="s">
        <v>102</v>
      </c>
      <c r="BG3" s="124" t="s">
        <v>92</v>
      </c>
      <c r="BH3" s="124" t="s">
        <v>103</v>
      </c>
      <c r="BI3" s="124" t="s">
        <v>93</v>
      </c>
      <c r="BJ3" s="124" t="s">
        <v>104</v>
      </c>
      <c r="BK3" s="124" t="s">
        <v>94</v>
      </c>
      <c r="BL3" s="124" t="s">
        <v>105</v>
      </c>
      <c r="BM3" s="124" t="s">
        <v>95</v>
      </c>
      <c r="BN3" s="124" t="s">
        <v>106</v>
      </c>
      <c r="BO3" s="124" t="s">
        <v>96</v>
      </c>
      <c r="BP3" s="124" t="s">
        <v>107</v>
      </c>
      <c r="BQ3" s="124" t="s">
        <v>97</v>
      </c>
      <c r="BR3" s="124" t="s">
        <v>108</v>
      </c>
      <c r="BS3" s="124" t="s">
        <v>98</v>
      </c>
      <c r="BT3" s="124" t="s">
        <v>109</v>
      </c>
      <c r="BU3" s="124" t="s">
        <v>99</v>
      </c>
      <c r="BV3" s="124" t="s">
        <v>110</v>
      </c>
      <c r="BW3" s="124" t="s">
        <v>100</v>
      </c>
      <c r="BX3" s="124" t="s">
        <v>111</v>
      </c>
      <c r="BY3" s="124" t="s">
        <v>90</v>
      </c>
      <c r="BZ3" s="124" t="s">
        <v>112</v>
      </c>
      <c r="CA3" s="108" t="s">
        <v>162</v>
      </c>
      <c r="CB3" s="125" t="s">
        <v>114</v>
      </c>
      <c r="CC3" s="124" t="s">
        <v>115</v>
      </c>
      <c r="CD3" s="124" t="s">
        <v>116</v>
      </c>
      <c r="CE3" s="124" t="s">
        <v>127</v>
      </c>
      <c r="CF3" s="124" t="s">
        <v>117</v>
      </c>
      <c r="CG3" s="124" t="s">
        <v>128</v>
      </c>
      <c r="CH3" s="124" t="s">
        <v>118</v>
      </c>
      <c r="CI3" s="124" t="s">
        <v>129</v>
      </c>
      <c r="CJ3" s="124" t="s">
        <v>119</v>
      </c>
      <c r="CK3" s="124" t="s">
        <v>130</v>
      </c>
      <c r="CL3" s="124" t="s">
        <v>120</v>
      </c>
      <c r="CM3" s="124" t="s">
        <v>131</v>
      </c>
      <c r="CN3" s="124" t="s">
        <v>121</v>
      </c>
      <c r="CO3" s="124" t="s">
        <v>132</v>
      </c>
      <c r="CP3" s="124" t="s">
        <v>122</v>
      </c>
      <c r="CQ3" s="124" t="s">
        <v>133</v>
      </c>
      <c r="CR3" s="124" t="s">
        <v>123</v>
      </c>
      <c r="CS3" s="124" t="s">
        <v>134</v>
      </c>
      <c r="CT3" s="124" t="s">
        <v>124</v>
      </c>
      <c r="CU3" s="124" t="s">
        <v>135</v>
      </c>
      <c r="CV3" s="124" t="s">
        <v>125</v>
      </c>
      <c r="CW3" s="124" t="s">
        <v>136</v>
      </c>
      <c r="CX3" s="124" t="s">
        <v>126</v>
      </c>
      <c r="CY3" s="124" t="s">
        <v>137</v>
      </c>
      <c r="CZ3" s="108" t="s">
        <v>163</v>
      </c>
      <c r="DA3" s="126" t="s">
        <v>160</v>
      </c>
      <c r="DB3" s="127" t="s">
        <v>161</v>
      </c>
      <c r="DC3" s="127" t="s">
        <v>138</v>
      </c>
      <c r="DD3" s="127" t="s">
        <v>149</v>
      </c>
      <c r="DE3" s="127" t="s">
        <v>139</v>
      </c>
      <c r="DF3" s="127" t="s">
        <v>150</v>
      </c>
      <c r="DG3" s="127" t="s">
        <v>140</v>
      </c>
      <c r="DH3" s="127" t="s">
        <v>151</v>
      </c>
      <c r="DI3" s="127" t="s">
        <v>145</v>
      </c>
      <c r="DJ3" s="127" t="s">
        <v>152</v>
      </c>
      <c r="DK3" s="127" t="s">
        <v>141</v>
      </c>
      <c r="DL3" s="127" t="s">
        <v>153</v>
      </c>
      <c r="DM3" s="127" t="s">
        <v>146</v>
      </c>
      <c r="DN3" s="127" t="s">
        <v>154</v>
      </c>
      <c r="DO3" s="127" t="s">
        <v>142</v>
      </c>
      <c r="DP3" s="127" t="s">
        <v>155</v>
      </c>
      <c r="DQ3" s="127" t="s">
        <v>147</v>
      </c>
      <c r="DR3" s="127" t="s">
        <v>156</v>
      </c>
      <c r="DS3" s="127" t="s">
        <v>143</v>
      </c>
      <c r="DT3" s="127" t="s">
        <v>157</v>
      </c>
      <c r="DU3" s="127" t="s">
        <v>148</v>
      </c>
      <c r="DV3" s="127" t="s">
        <v>158</v>
      </c>
      <c r="DW3" s="127" t="s">
        <v>144</v>
      </c>
      <c r="DX3" s="127" t="s">
        <v>159</v>
      </c>
      <c r="DY3" s="3"/>
      <c r="DZ3" s="1"/>
    </row>
    <row r="4" spans="1:130" ht="30" customHeight="1" x14ac:dyDescent="0.25">
      <c r="A4" s="132" t="s">
        <v>260</v>
      </c>
      <c r="B4" s="132" t="s">
        <v>261</v>
      </c>
      <c r="C4" s="132">
        <v>1234556</v>
      </c>
      <c r="D4" s="132" t="s">
        <v>28</v>
      </c>
      <c r="E4" s="132" t="s">
        <v>25</v>
      </c>
      <c r="F4" s="132" t="s">
        <v>262</v>
      </c>
      <c r="G4" s="133">
        <v>5</v>
      </c>
      <c r="H4" s="133" t="s">
        <v>259</v>
      </c>
      <c r="I4" s="133"/>
      <c r="J4" s="133" t="s">
        <v>259</v>
      </c>
      <c r="K4" s="133"/>
      <c r="L4" s="133"/>
      <c r="M4" s="133"/>
      <c r="N4" s="133" t="s">
        <v>259</v>
      </c>
      <c r="O4" s="133"/>
      <c r="P4" s="133"/>
      <c r="Q4" s="133"/>
      <c r="R4" s="133"/>
      <c r="S4" s="133"/>
      <c r="T4" s="137">
        <f>IF(ISBLANK(Table1[[#This Row],[Date Case Opened]]),
        0,
        IF(Table1[[#This Row],[Date Case Opened]]&gt;Summary!$L$2,
             0,
             IF(AND(AND(Table1[[#This Row],[Date Case Opened]]&gt;=Summary!$C$2,Table1[[#This Row],[Date Case Opened]]&lt;=Summary!$L$2),OR(ISBLANK(Table1[[#This Row],[Date Case Closed]]),NOT(Table1[[#This Row],[Date Case Closed]]&lt;Summary!$C$2))),
             1,
                  IF(AND(AND(Table1[[#This Row],[Date Case Opened]]&lt;Summary!$C$2),OR(ISBLANK(Table1[[#This Row],[Date Case Closed]]),NOT(Table1[[#This Row],[Date Case Closed]]&lt;Summary!$C$2))),
                  1,0
                  )
            )
       )
)</f>
        <v>1</v>
      </c>
      <c r="U4" s="134">
        <v>42019</v>
      </c>
      <c r="V4" s="132"/>
      <c r="W4" s="132"/>
      <c r="X4" s="132"/>
      <c r="Y4" s="132"/>
      <c r="Z4" s="134"/>
      <c r="AA4" s="132"/>
      <c r="AB4" s="133"/>
      <c r="AC4" s="133"/>
      <c r="AD4" s="133"/>
      <c r="AE4" s="133">
        <v>1</v>
      </c>
      <c r="AF4" s="133"/>
      <c r="AG4" s="133">
        <v>2</v>
      </c>
      <c r="AH4" s="133"/>
      <c r="AI4" s="133"/>
      <c r="AJ4" s="133"/>
      <c r="AK4" s="139"/>
      <c r="AL4" s="133" t="s">
        <v>259</v>
      </c>
      <c r="AM4" s="133"/>
      <c r="AN4" s="133"/>
      <c r="AO4" s="133" t="s">
        <v>259</v>
      </c>
      <c r="AP4" s="133" t="s">
        <v>259</v>
      </c>
      <c r="AQ4" s="139">
        <v>1</v>
      </c>
      <c r="AR4" s="133">
        <v>1</v>
      </c>
      <c r="AS4" s="133">
        <v>2</v>
      </c>
      <c r="AT4" s="133">
        <v>0</v>
      </c>
      <c r="AU4" s="133">
        <v>0</v>
      </c>
      <c r="AV4" s="135" t="s">
        <v>263</v>
      </c>
      <c r="AW4" s="132" t="s">
        <v>264</v>
      </c>
      <c r="AX4" s="132" t="s">
        <v>265</v>
      </c>
      <c r="AY4" s="132">
        <v>11111</v>
      </c>
      <c r="AZ4" s="132"/>
      <c r="BA4" s="132"/>
      <c r="BB4" s="140">
        <f ca="1">SUM(INDIRECT(Summary!$L$4))</f>
        <v>33</v>
      </c>
      <c r="BC4" s="136">
        <f>Staff1[[#This Row],[Hrs Dir1]]+Staff2[[#This Row],[Hrs Dir1]]</f>
        <v>30</v>
      </c>
      <c r="BD4" s="136">
        <f>Staff1[[#This Row],[Hrs Ind1]]+Staff2[[#This Row],[Hrs Ind1]]</f>
        <v>3</v>
      </c>
      <c r="BE4" s="136">
        <f>Staff1[[#This Row],[Hrs Dir2]]+Staff2[[#This Row],[Hrs Dir2]]</f>
        <v>0</v>
      </c>
      <c r="BF4" s="136">
        <f>Staff1[[#This Row],[Hrs Ind2]]+Staff2[[#This Row],[Hrs Ind2]]</f>
        <v>0</v>
      </c>
      <c r="BG4" s="136">
        <f>Staff1[[#This Row],[Hrs Dir3]]+Staff2[[#This Row],[Hrs Dir3]]</f>
        <v>0</v>
      </c>
      <c r="BH4" s="136">
        <f>Staff1[[#This Row],[Hrs Ind3]]+Staff2[[#This Row],[Hrs Ind3]]</f>
        <v>0</v>
      </c>
      <c r="BI4" s="136">
        <f>Staff1[[#This Row],[Hrs Dir4]]+Staff2[[#This Row],[Hrs Dir4]]</f>
        <v>0</v>
      </c>
      <c r="BJ4" s="136">
        <f>Staff1[[#This Row],[Hrs Ind4]]+Staff2[[#This Row],[Hrs Ind4]]</f>
        <v>0</v>
      </c>
      <c r="BK4" s="136">
        <f>Staff1[[#This Row],[Hrs Dir5]]+Staff2[[#This Row],[Hrs Dir5]]</f>
        <v>0</v>
      </c>
      <c r="BL4" s="136">
        <f>Staff1[[#This Row],[Hrs Ind5]]+Staff2[[#This Row],[Hrs Ind5]]</f>
        <v>0</v>
      </c>
      <c r="BM4" s="136">
        <f>Staff1[[#This Row],[Hrs Dir6]]+Staff2[[#This Row],[Hrs Dir6]]</f>
        <v>0</v>
      </c>
      <c r="BN4" s="136">
        <f>Staff1[[#This Row],[Hrs Ind6]]+Staff2[[#This Row],[Hrs Ind6]]</f>
        <v>0</v>
      </c>
      <c r="BO4" s="136">
        <f>Staff1[[#This Row],[Hrs Dir7]]+Staff2[[#This Row],[Hrs Dir7]]</f>
        <v>0</v>
      </c>
      <c r="BP4" s="136">
        <f>Staff1[[#This Row],[Hrs Ind7]]+Staff2[[#This Row],[Hrs Ind7]]</f>
        <v>0</v>
      </c>
      <c r="BQ4" s="136">
        <f>Staff1[[#This Row],[Hrs Dir8]]+Staff2[[#This Row],[Hrs Dir8]]</f>
        <v>0</v>
      </c>
      <c r="BR4" s="136">
        <f>Staff1[[#This Row],[Hrs Ind8]]+Staff2[[#This Row],[Hrs Ind8]]</f>
        <v>0</v>
      </c>
      <c r="BS4" s="136">
        <f>Staff1[[#This Row],[Hrs Dir9]]+Staff2[[#This Row],[Hrs Dir9]]</f>
        <v>0</v>
      </c>
      <c r="BT4" s="136">
        <f>Staff1[[#This Row],[Hrs Ind9]]+Staff2[[#This Row],[Hrs Ind9]]</f>
        <v>0</v>
      </c>
      <c r="BU4" s="136">
        <f>Staff1[[#This Row],[Hrs Dir10]]+Staff2[[#This Row],[Hrs Dir10]]</f>
        <v>0</v>
      </c>
      <c r="BV4" s="136">
        <f>Staff1[[#This Row],[Hrs Ind10]]+Staff2[[#This Row],[Hrs Ind10]]</f>
        <v>0</v>
      </c>
      <c r="BW4" s="136">
        <f>Staff1[[#This Row],[Hrs Dir11]]+Staff2[[#This Row],[Hrs Dir11]]</f>
        <v>0</v>
      </c>
      <c r="BX4" s="136">
        <f>Staff1[[#This Row],[Hrs Ind11]]+Staff2[[#This Row],[Hrs Ind11]]</f>
        <v>0</v>
      </c>
      <c r="BY4" s="136">
        <f>Staff1[[#This Row],[Hrs Dir12]]+Staff2[[#This Row],[Hrs Dir12]]</f>
        <v>0</v>
      </c>
      <c r="BZ4" s="136">
        <f>Staff1[[#This Row],[Hrs Ind12]]+Staff2[[#This Row],[Hrs Ind12]]</f>
        <v>0</v>
      </c>
      <c r="CA4" s="138">
        <f ca="1">SUM(INDIRECT(Summary!$L$5))</f>
        <v>24</v>
      </c>
      <c r="CB4" s="141">
        <f>Intern1[[#This Row],[Hrs Dir1]]+Intern2[[#This Row],[Hrs Dir1]]</f>
        <v>0</v>
      </c>
      <c r="CC4" s="136">
        <f>Intern1[[#This Row],[Hrs Ind1]]+Intern2[[#This Row],[Hrs Ind1]]</f>
        <v>24</v>
      </c>
      <c r="CD4" s="136">
        <f>Intern1[[#This Row],[Hrs Dir2]]+Intern2[[#This Row],[Hrs Dir2]]</f>
        <v>0</v>
      </c>
      <c r="CE4" s="136">
        <f>Intern1[[#This Row],[Hrs Ind2]]+Intern2[[#This Row],[Hrs Ind2]]</f>
        <v>0</v>
      </c>
      <c r="CF4" s="136">
        <f>Intern1[[#This Row],[Hrs Dir3]]+Intern2[[#This Row],[Hrs Dir3]]</f>
        <v>0</v>
      </c>
      <c r="CG4" s="136">
        <f>Intern1[[#This Row],[Hrs Ind3]]+Intern2[[#This Row],[Hrs Ind3]]</f>
        <v>0</v>
      </c>
      <c r="CH4" s="136">
        <f>Intern1[[#This Row],[Hrs Dir4]]+Intern2[[#This Row],[Hrs Dir4]]</f>
        <v>0</v>
      </c>
      <c r="CI4" s="136">
        <f>Intern1[[#This Row],[Hrs Ind4]]+Intern2[[#This Row],[Hrs Ind4]]</f>
        <v>0</v>
      </c>
      <c r="CJ4" s="136">
        <f>Intern1[[#This Row],[Hrs Dir5]]+Intern2[[#This Row],[Hrs Dir5]]</f>
        <v>0</v>
      </c>
      <c r="CK4" s="136">
        <f>Intern1[[#This Row],[Hrs Ind5]]+Intern2[[#This Row],[Hrs Ind5]]</f>
        <v>0</v>
      </c>
      <c r="CL4" s="136">
        <f>Intern1[[#This Row],[Hrs Dir6]]+Intern2[[#This Row],[Hrs Dir6]]</f>
        <v>0</v>
      </c>
      <c r="CM4" s="136">
        <f>Intern1[[#This Row],[Hrs Ind6]]+Intern2[[#This Row],[Hrs Ind6]]</f>
        <v>0</v>
      </c>
      <c r="CN4" s="136">
        <f>Intern1[[#This Row],[Hrs Dir7]]+Intern2[[#This Row],[Hrs Dir7]]</f>
        <v>0</v>
      </c>
      <c r="CO4" s="136">
        <f>Intern1[[#This Row],[Hrs Ind7]]+Intern2[[#This Row],[Hrs Ind7]]</f>
        <v>0</v>
      </c>
      <c r="CP4" s="136">
        <f>Intern1[[#This Row],[Hrs Dir8]]+Intern2[[#This Row],[Hrs Dir8]]</f>
        <v>0</v>
      </c>
      <c r="CQ4" s="136">
        <f>Intern1[[#This Row],[Hrs Ind8]]+Intern2[[#This Row],[Hrs Ind8]]</f>
        <v>0</v>
      </c>
      <c r="CR4" s="136">
        <f>Intern1[[#This Row],[Hrs Dir9]]+Intern2[[#This Row],[Hrs Dir9]]</f>
        <v>0</v>
      </c>
      <c r="CS4" s="136">
        <f>Intern1[[#This Row],[Hrs Ind9]]+Intern2[[#This Row],[Hrs Ind9]]</f>
        <v>0</v>
      </c>
      <c r="CT4" s="136">
        <f>Intern1[[#This Row],[Hrs Dir10]]+Intern2[[#This Row],[Hrs Dir10]]</f>
        <v>0</v>
      </c>
      <c r="CU4" s="136">
        <f>Intern1[[#This Row],[Hrs Ind10]]+Intern2[[#This Row],[Hrs Ind10]]</f>
        <v>0</v>
      </c>
      <c r="CV4" s="136">
        <f>Intern1[[#This Row],[Hrs Dir11]]+Intern2[[#This Row],[Hrs Dir11]]</f>
        <v>0</v>
      </c>
      <c r="CW4" s="136">
        <f>Intern1[[#This Row],[Hrs Ind11]]+Intern2[[#This Row],[Hrs Ind11]]</f>
        <v>0</v>
      </c>
      <c r="CX4" s="136">
        <f>Intern1[[#This Row],[Hrs Dir12]]+Intern2[[#This Row],[Hrs Dir12]]</f>
        <v>0</v>
      </c>
      <c r="CY4" s="142">
        <f>Intern1[[#This Row],[Hrs Ind12]]+Intern2[[#This Row],[Hrs Ind12]]</f>
        <v>0</v>
      </c>
      <c r="CZ4" s="143">
        <f ca="1">SUM(INDIRECT(Summary!$L$6))</f>
        <v>9</v>
      </c>
      <c r="DA4" s="136">
        <f>Staff1[[#This Row],[Res1]]+Staff2[[#This Row],[Res1]]</f>
        <v>3</v>
      </c>
      <c r="DB4" s="136">
        <f>Intern1[[#This Row],[Res1]]+Intern2[[#This Row],[Res1]]</f>
        <v>6</v>
      </c>
      <c r="DC4" s="136">
        <f>Staff1[[#This Row],[Res2]]+Staff2[[#This Row],[Res2]]</f>
        <v>0</v>
      </c>
      <c r="DD4" s="136">
        <f>Intern1[[#This Row],[Res2]]+Intern2[[#This Row],[Res2]]</f>
        <v>0</v>
      </c>
      <c r="DE4" s="136">
        <f>Staff1[[#This Row],[Res3]]+Staff2[[#This Row],[Res3]]</f>
        <v>0</v>
      </c>
      <c r="DF4" s="136">
        <f>Intern1[[#This Row],[Res3]]+Intern2[[#This Row],[Res3]]</f>
        <v>0</v>
      </c>
      <c r="DG4" s="136">
        <f>Staff1[[#This Row],[Res4]]+Staff2[[#This Row],[Res4]]</f>
        <v>0</v>
      </c>
      <c r="DH4" s="136">
        <f>Intern1[[#This Row],[Res4]]+Intern2[[#This Row],[Res4]]</f>
        <v>0</v>
      </c>
      <c r="DI4" s="136">
        <f>Staff1[[#This Row],[Res5]]+Staff2[[#This Row],[Res5]]</f>
        <v>0</v>
      </c>
      <c r="DJ4" s="136">
        <f>Intern1[[#This Row],[Res5]]+Intern2[[#This Row],[Res5]]</f>
        <v>0</v>
      </c>
      <c r="DK4" s="136">
        <f>Staff1[[#This Row],[Res6]]+Staff2[[#This Row],[Res6]]</f>
        <v>0</v>
      </c>
      <c r="DL4" s="136">
        <f>Intern1[[#This Row],[Res6]]+Intern2[[#This Row],[Res6]]</f>
        <v>0</v>
      </c>
      <c r="DM4" s="136">
        <f>Staff1[[#This Row],[Res7]]+Staff2[[#This Row],[Res7]]</f>
        <v>0</v>
      </c>
      <c r="DN4" s="136">
        <f>Intern1[[#This Row],[Res7]]+Intern2[[#This Row],[Res7]]</f>
        <v>0</v>
      </c>
      <c r="DO4" s="136">
        <f>Staff1[[#This Row],[Res8]]+Staff2[[#This Row],[Res8]]</f>
        <v>0</v>
      </c>
      <c r="DP4" s="136">
        <f>Intern1[[#This Row],[Res8]]+Intern2[[#This Row],[Res8]]</f>
        <v>0</v>
      </c>
      <c r="DQ4" s="136">
        <f>Staff1[[#This Row],[Res9]]+Staff2[[#This Row],[Res9]]</f>
        <v>0</v>
      </c>
      <c r="DR4" s="136">
        <f>Intern1[[#This Row],[Res9]]+Intern2[[#This Row],[Res9]]</f>
        <v>0</v>
      </c>
      <c r="DS4" s="136">
        <f>Staff1[[#This Row],[Res10]]+Staff2[[#This Row],[Res10]]</f>
        <v>0</v>
      </c>
      <c r="DT4" s="136">
        <f>Intern1[[#This Row],[Res10]]+Intern2[[#This Row],[Res10]]</f>
        <v>0</v>
      </c>
      <c r="DU4" s="136">
        <f>Staff1[[#This Row],[Res11]]+Staff2[[#This Row],[Res11]]</f>
        <v>0</v>
      </c>
      <c r="DV4" s="136">
        <f>Intern1[[#This Row],[Res11]]+Intern2[[#This Row],[Res11]]</f>
        <v>0</v>
      </c>
      <c r="DW4" s="136">
        <f>Staff1[[#This Row],[Res12]]+Staff2[[#This Row],[Res12]]</f>
        <v>0</v>
      </c>
      <c r="DX4" s="136">
        <f>Intern1[[#This Row],[Res12]]+Intern2[[#This Row],[Res12]]</f>
        <v>0</v>
      </c>
      <c r="DY4" s="67"/>
      <c r="DZ4" s="67"/>
    </row>
    <row r="6" spans="1:130" ht="30" customHeight="1" x14ac:dyDescent="0.25">
      <c r="DA6" s="195"/>
      <c r="DC6" s="195"/>
      <c r="DE6" s="195"/>
      <c r="DG6" s="195"/>
      <c r="DI6" s="195"/>
      <c r="DK6" s="195"/>
      <c r="DM6" s="195"/>
      <c r="DO6" s="195"/>
      <c r="DQ6" s="195"/>
      <c r="DS6" s="195"/>
      <c r="DU6" s="195"/>
      <c r="DW6" s="195"/>
    </row>
  </sheetData>
  <mergeCells count="51">
    <mergeCell ref="CD2:CE2"/>
    <mergeCell ref="CF2:CG2"/>
    <mergeCell ref="CH2:CI2"/>
    <mergeCell ref="CJ2:CK2"/>
    <mergeCell ref="V1:AE1"/>
    <mergeCell ref="BO2:BP2"/>
    <mergeCell ref="BQ2:BR2"/>
    <mergeCell ref="CB2:CC2"/>
    <mergeCell ref="BC2:BD2"/>
    <mergeCell ref="BE2:BF2"/>
    <mergeCell ref="BG2:BH2"/>
    <mergeCell ref="BI2:BJ2"/>
    <mergeCell ref="BK2:BL2"/>
    <mergeCell ref="BS2:BT2"/>
    <mergeCell ref="BU2:BV2"/>
    <mergeCell ref="BW2:BX2"/>
    <mergeCell ref="DE2:DF2"/>
    <mergeCell ref="DG2:DH2"/>
    <mergeCell ref="DI2:DJ2"/>
    <mergeCell ref="DK2:DL2"/>
    <mergeCell ref="CR2:CS2"/>
    <mergeCell ref="CT2:CU2"/>
    <mergeCell ref="CV2:CW2"/>
    <mergeCell ref="CX2:CY2"/>
    <mergeCell ref="AF2:AN2"/>
    <mergeCell ref="AO2:AT2"/>
    <mergeCell ref="AU2:AV2"/>
    <mergeCell ref="AF1:AV1"/>
    <mergeCell ref="AW1:BA1"/>
    <mergeCell ref="AW2:BA2"/>
    <mergeCell ref="A1:F1"/>
    <mergeCell ref="G1:U1"/>
    <mergeCell ref="A2:F2"/>
    <mergeCell ref="G2:K2"/>
    <mergeCell ref="L2:U2"/>
    <mergeCell ref="DW2:DX2"/>
    <mergeCell ref="BC1:BZ1"/>
    <mergeCell ref="CB1:CY1"/>
    <mergeCell ref="DA1:DX1"/>
    <mergeCell ref="DM2:DN2"/>
    <mergeCell ref="DO2:DP2"/>
    <mergeCell ref="DQ2:DR2"/>
    <mergeCell ref="DS2:DT2"/>
    <mergeCell ref="DU2:DV2"/>
    <mergeCell ref="CL2:CM2"/>
    <mergeCell ref="CN2:CO2"/>
    <mergeCell ref="CP2:CQ2"/>
    <mergeCell ref="DA2:DB2"/>
    <mergeCell ref="DC2:DD2"/>
    <mergeCell ref="BM2:BN2"/>
    <mergeCell ref="BY2:BZ2"/>
  </mergeCells>
  <dataValidations count="8">
    <dataValidation type="list" allowBlank="1" showInputMessage="1" showErrorMessage="1" sqref="D4">
      <formula1>Categories</formula1>
    </dataValidation>
    <dataValidation type="list" allowBlank="1" showInputMessage="1" showErrorMessage="1" sqref="E4">
      <formula1>Countries</formula1>
    </dataValidation>
    <dataValidation type="whole" allowBlank="1" showErrorMessage="1" error="You have to enter a number here between 1 and 50." promptTitle="Enter a number here" sqref="G4">
      <formula1>1</formula1>
      <formula2>50</formula2>
    </dataValidation>
    <dataValidation type="list" allowBlank="1" showDropDown="1" showInputMessage="1" showErrorMessage="1" error="You have to use X's here." sqref="H4:S4 AK4:AP4">
      <formula1>"X"</formula1>
    </dataValidation>
    <dataValidation type="date" allowBlank="1" showInputMessage="1" showErrorMessage="1" errorTitle="Enter a date" error="You have to enter a date here._x000a_" sqref="Z4 U4">
      <formula1>32874</formula1>
      <formula2>73397</formula2>
    </dataValidation>
    <dataValidation type="whole" allowBlank="1" showInputMessage="1" showErrorMessage="1" errorTitle="Enter a number" error="You have to enter a 1 or a 2 here. There should be only a single 1 per row." sqref="AB4:AJ4">
      <formula1>1</formula1>
      <formula2>2</formula2>
    </dataValidation>
    <dataValidation type="whole" allowBlank="1" showInputMessage="1" showErrorMessage="1" errorTitle="Enter a number here" error="You have to enter a (reasonable) number here." sqref="AQ4:AU4">
      <formula1>0</formula1>
      <formula2>100</formula2>
    </dataValidation>
    <dataValidation type="list" allowBlank="1" showInputMessage="1" showErrorMessage="1" sqref="AA4">
      <formula1>$DZ$3:$DZ$4</formula1>
    </dataValidation>
  </dataValidations>
  <pageMargins left="0.7" right="0.7" top="0.75" bottom="0.75" header="0.3" footer="0.3"/>
  <pageSetup scale="26" fitToHeight="3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Y4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4" sqref="F4"/>
    </sheetView>
  </sheetViews>
  <sheetFormatPr defaultRowHeight="15" x14ac:dyDescent="0.25"/>
  <cols>
    <col min="1" max="1" width="15.42578125" customWidth="1"/>
    <col min="2" max="3" width="14.5703125" customWidth="1"/>
    <col min="4" max="51" width="11.7109375" customWidth="1"/>
  </cols>
  <sheetData>
    <row r="1" spans="1:51" x14ac:dyDescent="0.25">
      <c r="A1" s="191" t="str">
        <f>"Basic Information - # clients listed: "&amp;COUNTA(Staff1[First Name])</f>
        <v>Basic Information - # clients listed: 1</v>
      </c>
      <c r="B1" s="191"/>
      <c r="C1" s="191"/>
      <c r="D1" s="193">
        <v>42005</v>
      </c>
      <c r="E1" s="193"/>
      <c r="F1" s="193"/>
      <c r="G1" s="193"/>
      <c r="H1" s="193">
        <v>42036</v>
      </c>
      <c r="I1" s="193"/>
      <c r="J1" s="193"/>
      <c r="K1" s="193"/>
      <c r="L1" s="193">
        <v>42064</v>
      </c>
      <c r="M1" s="193"/>
      <c r="N1" s="193"/>
      <c r="O1" s="193"/>
      <c r="P1" s="193">
        <v>42095</v>
      </c>
      <c r="Q1" s="193"/>
      <c r="R1" s="193"/>
      <c r="S1" s="193"/>
      <c r="T1" s="193">
        <v>42125</v>
      </c>
      <c r="U1" s="193"/>
      <c r="V1" s="193"/>
      <c r="W1" s="193"/>
      <c r="X1" s="193">
        <v>42156</v>
      </c>
      <c r="Y1" s="193"/>
      <c r="Z1" s="193"/>
      <c r="AA1" s="193"/>
      <c r="AB1" s="193">
        <v>42186</v>
      </c>
      <c r="AC1" s="193"/>
      <c r="AD1" s="193"/>
      <c r="AE1" s="193"/>
      <c r="AF1" s="193">
        <v>42217</v>
      </c>
      <c r="AG1" s="193"/>
      <c r="AH1" s="193"/>
      <c r="AI1" s="193"/>
      <c r="AJ1" s="193">
        <v>42248</v>
      </c>
      <c r="AK1" s="193"/>
      <c r="AL1" s="193"/>
      <c r="AM1" s="193"/>
      <c r="AN1" s="193">
        <v>42278</v>
      </c>
      <c r="AO1" s="193"/>
      <c r="AP1" s="193"/>
      <c r="AQ1" s="193"/>
      <c r="AR1" s="193">
        <v>42309</v>
      </c>
      <c r="AS1" s="193"/>
      <c r="AT1" s="193"/>
      <c r="AU1" s="193"/>
      <c r="AV1" s="193">
        <v>42339</v>
      </c>
      <c r="AW1" s="193"/>
      <c r="AX1" s="193"/>
      <c r="AY1" s="193"/>
    </row>
    <row r="2" spans="1:51" ht="23.25" customHeight="1" x14ac:dyDescent="0.25">
      <c r="A2" s="192"/>
      <c r="B2" s="192"/>
      <c r="C2" s="192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  <c r="AU2" s="194"/>
      <c r="AV2" s="194"/>
      <c r="AW2" s="194"/>
      <c r="AX2" s="194"/>
      <c r="AY2" s="194"/>
    </row>
    <row r="3" spans="1:51" s="2" customFormat="1" x14ac:dyDescent="0.25">
      <c r="A3" s="128" t="s">
        <v>0</v>
      </c>
      <c r="B3" s="129" t="s">
        <v>1</v>
      </c>
      <c r="C3" s="129" t="s">
        <v>5</v>
      </c>
      <c r="D3" s="129" t="s">
        <v>226</v>
      </c>
      <c r="E3" s="129" t="s">
        <v>227</v>
      </c>
      <c r="F3" s="129" t="s">
        <v>247</v>
      </c>
      <c r="G3" s="129" t="s">
        <v>256</v>
      </c>
      <c r="H3" s="129" t="s">
        <v>215</v>
      </c>
      <c r="I3" s="129" t="s">
        <v>228</v>
      </c>
      <c r="J3" s="129" t="s">
        <v>209</v>
      </c>
      <c r="K3" s="129" t="s">
        <v>248</v>
      </c>
      <c r="L3" s="129" t="s">
        <v>216</v>
      </c>
      <c r="M3" s="129" t="s">
        <v>229</v>
      </c>
      <c r="N3" s="129" t="s">
        <v>239</v>
      </c>
      <c r="O3" s="129" t="s">
        <v>210</v>
      </c>
      <c r="P3" s="129" t="s">
        <v>217</v>
      </c>
      <c r="Q3" s="129" t="s">
        <v>230</v>
      </c>
      <c r="R3" s="129" t="s">
        <v>240</v>
      </c>
      <c r="S3" s="129" t="s">
        <v>249</v>
      </c>
      <c r="T3" s="129" t="s">
        <v>218</v>
      </c>
      <c r="U3" s="129" t="s">
        <v>231</v>
      </c>
      <c r="V3" s="129" t="s">
        <v>241</v>
      </c>
      <c r="W3" s="129" t="s">
        <v>250</v>
      </c>
      <c r="X3" s="129" t="s">
        <v>219</v>
      </c>
      <c r="Y3" s="129" t="s">
        <v>232</v>
      </c>
      <c r="Z3" s="129" t="s">
        <v>211</v>
      </c>
      <c r="AA3" s="129" t="s">
        <v>251</v>
      </c>
      <c r="AB3" s="129" t="s">
        <v>220</v>
      </c>
      <c r="AC3" s="129" t="s">
        <v>233</v>
      </c>
      <c r="AD3" s="129" t="s">
        <v>242</v>
      </c>
      <c r="AE3" s="129" t="s">
        <v>212</v>
      </c>
      <c r="AF3" s="129" t="s">
        <v>221</v>
      </c>
      <c r="AG3" s="129" t="s">
        <v>234</v>
      </c>
      <c r="AH3" s="129" t="s">
        <v>243</v>
      </c>
      <c r="AI3" s="129" t="s">
        <v>252</v>
      </c>
      <c r="AJ3" s="129" t="s">
        <v>222</v>
      </c>
      <c r="AK3" s="129" t="s">
        <v>235</v>
      </c>
      <c r="AL3" s="129" t="s">
        <v>244</v>
      </c>
      <c r="AM3" s="129" t="s">
        <v>253</v>
      </c>
      <c r="AN3" s="129" t="s">
        <v>223</v>
      </c>
      <c r="AO3" s="129" t="s">
        <v>236</v>
      </c>
      <c r="AP3" s="129" t="s">
        <v>213</v>
      </c>
      <c r="AQ3" s="129" t="s">
        <v>254</v>
      </c>
      <c r="AR3" s="129" t="s">
        <v>224</v>
      </c>
      <c r="AS3" s="129" t="s">
        <v>237</v>
      </c>
      <c r="AT3" s="129" t="s">
        <v>245</v>
      </c>
      <c r="AU3" s="129" t="s">
        <v>214</v>
      </c>
      <c r="AV3" s="129" t="s">
        <v>225</v>
      </c>
      <c r="AW3" s="129" t="s">
        <v>238</v>
      </c>
      <c r="AX3" s="129" t="s">
        <v>246</v>
      </c>
      <c r="AY3" s="129" t="s">
        <v>255</v>
      </c>
    </row>
    <row r="4" spans="1:51" x14ac:dyDescent="0.25">
      <c r="A4" s="132" t="s">
        <v>260</v>
      </c>
      <c r="B4" s="132" t="s">
        <v>261</v>
      </c>
      <c r="C4" s="132">
        <v>1234556</v>
      </c>
      <c r="D4" s="130">
        <v>14</v>
      </c>
      <c r="E4" s="130"/>
      <c r="F4" s="130">
        <v>1</v>
      </c>
      <c r="G4" s="130"/>
      <c r="H4" s="131"/>
      <c r="I4" s="131"/>
      <c r="J4" s="131"/>
      <c r="K4" s="131"/>
      <c r="L4" s="130"/>
      <c r="M4" s="130"/>
      <c r="N4" s="130"/>
      <c r="O4" s="130"/>
      <c r="P4" s="131"/>
      <c r="Q4" s="131"/>
      <c r="R4" s="131"/>
      <c r="S4" s="131"/>
      <c r="T4" s="130"/>
      <c r="U4" s="130"/>
      <c r="V4" s="130"/>
      <c r="W4" s="130"/>
      <c r="X4" s="131"/>
      <c r="Y4" s="131"/>
      <c r="Z4" s="131"/>
      <c r="AA4" s="131"/>
      <c r="AB4" s="130"/>
      <c r="AC4" s="130"/>
      <c r="AD4" s="130"/>
      <c r="AE4" s="130"/>
      <c r="AF4" s="131"/>
      <c r="AG4" s="131"/>
      <c r="AH4" s="131"/>
      <c r="AI4" s="131"/>
      <c r="AJ4" s="130"/>
      <c r="AK4" s="130"/>
      <c r="AL4" s="130"/>
      <c r="AM4" s="130"/>
      <c r="AN4" s="131"/>
      <c r="AO4" s="131"/>
      <c r="AP4" s="131"/>
      <c r="AQ4" s="131"/>
      <c r="AR4" s="130"/>
      <c r="AS4" s="130"/>
      <c r="AT4" s="130"/>
      <c r="AU4" s="130"/>
      <c r="AV4" s="131"/>
      <c r="AW4" s="131"/>
      <c r="AX4" s="131"/>
      <c r="AY4" s="131"/>
    </row>
  </sheetData>
  <sortState ref="A3:AX32">
    <sortCondition ref="A3"/>
  </sortState>
  <mergeCells count="13">
    <mergeCell ref="AN1:AQ2"/>
    <mergeCell ref="AR1:AU2"/>
    <mergeCell ref="AV1:AY2"/>
    <mergeCell ref="T1:W2"/>
    <mergeCell ref="X1:AA2"/>
    <mergeCell ref="AB1:AE2"/>
    <mergeCell ref="AF1:AI2"/>
    <mergeCell ref="AJ1:AM2"/>
    <mergeCell ref="A1:C2"/>
    <mergeCell ref="D1:G2"/>
    <mergeCell ref="H1:K2"/>
    <mergeCell ref="L1:O2"/>
    <mergeCell ref="P1:S2"/>
  </mergeCells>
  <dataValidations count="1">
    <dataValidation type="decimal" allowBlank="1" showInputMessage="1" showErrorMessage="1" errorTitle="Have to enter a number" error="Have to enter a reasonable number of hours here._x000a_" sqref="D4:F4 H4:J4 L4:N4 P4:R4 T4:V4 X4:Z4 AB4:AD4 AF4:AH4 AJ4:AL4 AN4:AP4 AR4:AT4 AV4:AX4">
      <formula1>0</formula1>
      <formula2>300</formula2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4" sqref="F4"/>
    </sheetView>
  </sheetViews>
  <sheetFormatPr defaultRowHeight="15" x14ac:dyDescent="0.25"/>
  <cols>
    <col min="1" max="1" width="15.42578125" customWidth="1"/>
    <col min="2" max="3" width="14.5703125" customWidth="1"/>
    <col min="4" max="51" width="11.7109375" customWidth="1"/>
  </cols>
  <sheetData>
    <row r="1" spans="1:51" x14ac:dyDescent="0.25">
      <c r="A1" s="191" t="str">
        <f>"Basic Information - # clients listed: "&amp;COUNTA(Staff2[First Name])</f>
        <v>Basic Information - # clients listed: 1</v>
      </c>
      <c r="B1" s="191"/>
      <c r="C1" s="191"/>
      <c r="D1" s="193">
        <v>42005</v>
      </c>
      <c r="E1" s="193"/>
      <c r="F1" s="193"/>
      <c r="G1" s="193"/>
      <c r="H1" s="193">
        <v>42036</v>
      </c>
      <c r="I1" s="193"/>
      <c r="J1" s="193"/>
      <c r="K1" s="193"/>
      <c r="L1" s="193">
        <v>42064</v>
      </c>
      <c r="M1" s="193"/>
      <c r="N1" s="193"/>
      <c r="O1" s="193"/>
      <c r="P1" s="193">
        <v>42095</v>
      </c>
      <c r="Q1" s="193"/>
      <c r="R1" s="193"/>
      <c r="S1" s="193"/>
      <c r="T1" s="193">
        <v>42125</v>
      </c>
      <c r="U1" s="193"/>
      <c r="V1" s="193"/>
      <c r="W1" s="193"/>
      <c r="X1" s="193">
        <v>42156</v>
      </c>
      <c r="Y1" s="193"/>
      <c r="Z1" s="193"/>
      <c r="AA1" s="193"/>
      <c r="AB1" s="193">
        <v>42186</v>
      </c>
      <c r="AC1" s="193"/>
      <c r="AD1" s="193"/>
      <c r="AE1" s="193"/>
      <c r="AF1" s="193">
        <v>42217</v>
      </c>
      <c r="AG1" s="193"/>
      <c r="AH1" s="193"/>
      <c r="AI1" s="193"/>
      <c r="AJ1" s="193">
        <v>42248</v>
      </c>
      <c r="AK1" s="193"/>
      <c r="AL1" s="193"/>
      <c r="AM1" s="193"/>
      <c r="AN1" s="193">
        <v>42278</v>
      </c>
      <c r="AO1" s="193"/>
      <c r="AP1" s="193"/>
      <c r="AQ1" s="193"/>
      <c r="AR1" s="193">
        <v>42309</v>
      </c>
      <c r="AS1" s="193"/>
      <c r="AT1" s="193"/>
      <c r="AU1" s="193"/>
      <c r="AV1" s="193">
        <v>42339</v>
      </c>
      <c r="AW1" s="193"/>
      <c r="AX1" s="193"/>
      <c r="AY1" s="193"/>
    </row>
    <row r="2" spans="1:51" ht="23.25" customHeight="1" x14ac:dyDescent="0.25">
      <c r="A2" s="192"/>
      <c r="B2" s="192"/>
      <c r="C2" s="192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  <c r="AU2" s="194"/>
      <c r="AV2" s="194"/>
      <c r="AW2" s="194"/>
      <c r="AX2" s="194"/>
      <c r="AY2" s="194"/>
    </row>
    <row r="3" spans="1:51" s="2" customFormat="1" x14ac:dyDescent="0.25">
      <c r="A3" s="128" t="s">
        <v>0</v>
      </c>
      <c r="B3" s="129" t="s">
        <v>1</v>
      </c>
      <c r="C3" s="129" t="s">
        <v>5</v>
      </c>
      <c r="D3" s="129" t="s">
        <v>226</v>
      </c>
      <c r="E3" s="129" t="s">
        <v>227</v>
      </c>
      <c r="F3" s="129" t="s">
        <v>247</v>
      </c>
      <c r="G3" s="129" t="s">
        <v>256</v>
      </c>
      <c r="H3" s="129" t="s">
        <v>215</v>
      </c>
      <c r="I3" s="129" t="s">
        <v>228</v>
      </c>
      <c r="J3" s="129" t="s">
        <v>209</v>
      </c>
      <c r="K3" s="129" t="s">
        <v>248</v>
      </c>
      <c r="L3" s="129" t="s">
        <v>216</v>
      </c>
      <c r="M3" s="129" t="s">
        <v>229</v>
      </c>
      <c r="N3" s="129" t="s">
        <v>239</v>
      </c>
      <c r="O3" s="129" t="s">
        <v>210</v>
      </c>
      <c r="P3" s="129" t="s">
        <v>217</v>
      </c>
      <c r="Q3" s="129" t="s">
        <v>230</v>
      </c>
      <c r="R3" s="129" t="s">
        <v>240</v>
      </c>
      <c r="S3" s="129" t="s">
        <v>249</v>
      </c>
      <c r="T3" s="129" t="s">
        <v>218</v>
      </c>
      <c r="U3" s="129" t="s">
        <v>231</v>
      </c>
      <c r="V3" s="129" t="s">
        <v>241</v>
      </c>
      <c r="W3" s="129" t="s">
        <v>250</v>
      </c>
      <c r="X3" s="129" t="s">
        <v>219</v>
      </c>
      <c r="Y3" s="129" t="s">
        <v>232</v>
      </c>
      <c r="Z3" s="129" t="s">
        <v>211</v>
      </c>
      <c r="AA3" s="129" t="s">
        <v>251</v>
      </c>
      <c r="AB3" s="129" t="s">
        <v>220</v>
      </c>
      <c r="AC3" s="129" t="s">
        <v>233</v>
      </c>
      <c r="AD3" s="129" t="s">
        <v>242</v>
      </c>
      <c r="AE3" s="129" t="s">
        <v>212</v>
      </c>
      <c r="AF3" s="129" t="s">
        <v>221</v>
      </c>
      <c r="AG3" s="129" t="s">
        <v>234</v>
      </c>
      <c r="AH3" s="129" t="s">
        <v>243</v>
      </c>
      <c r="AI3" s="129" t="s">
        <v>252</v>
      </c>
      <c r="AJ3" s="129" t="s">
        <v>222</v>
      </c>
      <c r="AK3" s="129" t="s">
        <v>235</v>
      </c>
      <c r="AL3" s="129" t="s">
        <v>244</v>
      </c>
      <c r="AM3" s="129" t="s">
        <v>253</v>
      </c>
      <c r="AN3" s="129" t="s">
        <v>223</v>
      </c>
      <c r="AO3" s="129" t="s">
        <v>236</v>
      </c>
      <c r="AP3" s="129" t="s">
        <v>213</v>
      </c>
      <c r="AQ3" s="129" t="s">
        <v>254</v>
      </c>
      <c r="AR3" s="129" t="s">
        <v>224</v>
      </c>
      <c r="AS3" s="129" t="s">
        <v>237</v>
      </c>
      <c r="AT3" s="129" t="s">
        <v>245</v>
      </c>
      <c r="AU3" s="129" t="s">
        <v>214</v>
      </c>
      <c r="AV3" s="129" t="s">
        <v>225</v>
      </c>
      <c r="AW3" s="129" t="s">
        <v>238</v>
      </c>
      <c r="AX3" s="129" t="s">
        <v>246</v>
      </c>
      <c r="AY3" s="129" t="s">
        <v>255</v>
      </c>
    </row>
    <row r="4" spans="1:51" x14ac:dyDescent="0.25">
      <c r="A4" s="132" t="s">
        <v>260</v>
      </c>
      <c r="B4" s="132" t="s">
        <v>261</v>
      </c>
      <c r="C4" s="132">
        <v>1234556</v>
      </c>
      <c r="D4" s="130">
        <v>16</v>
      </c>
      <c r="E4" s="130">
        <v>3</v>
      </c>
      <c r="F4" s="130">
        <v>2</v>
      </c>
      <c r="G4" s="130"/>
      <c r="H4" s="131"/>
      <c r="I4" s="131"/>
      <c r="J4" s="131"/>
      <c r="K4" s="131"/>
      <c r="L4" s="130"/>
      <c r="M4" s="130"/>
      <c r="N4" s="130"/>
      <c r="O4" s="130"/>
      <c r="P4" s="131"/>
      <c r="Q4" s="131"/>
      <c r="R4" s="131"/>
      <c r="S4" s="131"/>
      <c r="T4" s="130"/>
      <c r="U4" s="130"/>
      <c r="V4" s="130"/>
      <c r="W4" s="130"/>
      <c r="X4" s="131"/>
      <c r="Y4" s="131"/>
      <c r="Z4" s="131"/>
      <c r="AA4" s="131"/>
      <c r="AB4" s="130"/>
      <c r="AC4" s="130"/>
      <c r="AD4" s="130"/>
      <c r="AE4" s="130"/>
      <c r="AF4" s="131"/>
      <c r="AG4" s="131"/>
      <c r="AH4" s="131"/>
      <c r="AI4" s="131"/>
      <c r="AJ4" s="130"/>
      <c r="AK4" s="130"/>
      <c r="AL4" s="130"/>
      <c r="AM4" s="130"/>
      <c r="AN4" s="131"/>
      <c r="AO4" s="131"/>
      <c r="AP4" s="131"/>
      <c r="AQ4" s="131"/>
      <c r="AR4" s="130"/>
      <c r="AS4" s="130"/>
      <c r="AT4" s="130"/>
      <c r="AU4" s="130"/>
      <c r="AV4" s="131"/>
      <c r="AW4" s="131"/>
      <c r="AX4" s="131"/>
      <c r="AY4" s="131"/>
    </row>
  </sheetData>
  <mergeCells count="13">
    <mergeCell ref="AV1:AY2"/>
    <mergeCell ref="X1:AA2"/>
    <mergeCell ref="AB1:AE2"/>
    <mergeCell ref="AF1:AI2"/>
    <mergeCell ref="AJ1:AM2"/>
    <mergeCell ref="AN1:AQ2"/>
    <mergeCell ref="AR1:AU2"/>
    <mergeCell ref="T1:W2"/>
    <mergeCell ref="A1:C2"/>
    <mergeCell ref="D1:G2"/>
    <mergeCell ref="H1:K2"/>
    <mergeCell ref="L1:O2"/>
    <mergeCell ref="P1:S2"/>
  </mergeCells>
  <dataValidations count="1">
    <dataValidation type="decimal" allowBlank="1" showInputMessage="1" showErrorMessage="1" errorTitle="Have to enter a number" error="Have to enter a reasonable number of hours here._x000a_" sqref="D4:F4 H4:J4 L4:N4 P4:R4 T4:V4 X4:Z4 AB4:AD4 AF4:AH4 AJ4:AL4 AN4:AP4 AR4:AT4 AV4:AX4">
      <formula1>0</formula1>
      <formula2>300</formula2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Y4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28" sqref="F28"/>
    </sheetView>
  </sheetViews>
  <sheetFormatPr defaultRowHeight="15" x14ac:dyDescent="0.25"/>
  <cols>
    <col min="1" max="1" width="15.42578125" customWidth="1"/>
    <col min="2" max="3" width="14.5703125" customWidth="1"/>
    <col min="4" max="51" width="11.7109375" customWidth="1"/>
  </cols>
  <sheetData>
    <row r="1" spans="1:51" x14ac:dyDescent="0.25">
      <c r="A1" s="191" t="str">
        <f>"Basic Information - # clients listed: "&amp;COUNTA(Intern1[First Name])</f>
        <v>Basic Information - # clients listed: 1</v>
      </c>
      <c r="B1" s="191"/>
      <c r="C1" s="191"/>
      <c r="D1" s="193">
        <v>42005</v>
      </c>
      <c r="E1" s="193"/>
      <c r="F1" s="193"/>
      <c r="G1" s="193"/>
      <c r="H1" s="193">
        <v>42036</v>
      </c>
      <c r="I1" s="193"/>
      <c r="J1" s="193"/>
      <c r="K1" s="193"/>
      <c r="L1" s="193">
        <v>42064</v>
      </c>
      <c r="M1" s="193"/>
      <c r="N1" s="193"/>
      <c r="O1" s="193"/>
      <c r="P1" s="193">
        <v>42095</v>
      </c>
      <c r="Q1" s="193"/>
      <c r="R1" s="193"/>
      <c r="S1" s="193"/>
      <c r="T1" s="193">
        <v>42125</v>
      </c>
      <c r="U1" s="193"/>
      <c r="V1" s="193"/>
      <c r="W1" s="193"/>
      <c r="X1" s="193">
        <v>42156</v>
      </c>
      <c r="Y1" s="193"/>
      <c r="Z1" s="193"/>
      <c r="AA1" s="193"/>
      <c r="AB1" s="193">
        <v>42186</v>
      </c>
      <c r="AC1" s="193"/>
      <c r="AD1" s="193"/>
      <c r="AE1" s="193"/>
      <c r="AF1" s="193">
        <v>42217</v>
      </c>
      <c r="AG1" s="193"/>
      <c r="AH1" s="193"/>
      <c r="AI1" s="193"/>
      <c r="AJ1" s="193">
        <v>42248</v>
      </c>
      <c r="AK1" s="193"/>
      <c r="AL1" s="193"/>
      <c r="AM1" s="193"/>
      <c r="AN1" s="193">
        <v>42278</v>
      </c>
      <c r="AO1" s="193"/>
      <c r="AP1" s="193"/>
      <c r="AQ1" s="193"/>
      <c r="AR1" s="193">
        <v>42309</v>
      </c>
      <c r="AS1" s="193"/>
      <c r="AT1" s="193"/>
      <c r="AU1" s="193"/>
      <c r="AV1" s="193">
        <v>42339</v>
      </c>
      <c r="AW1" s="193"/>
      <c r="AX1" s="193"/>
      <c r="AY1" s="193"/>
    </row>
    <row r="2" spans="1:51" ht="23.25" customHeight="1" x14ac:dyDescent="0.25">
      <c r="A2" s="192"/>
      <c r="B2" s="192"/>
      <c r="C2" s="192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  <c r="AU2" s="194"/>
      <c r="AV2" s="194"/>
      <c r="AW2" s="194"/>
      <c r="AX2" s="194"/>
      <c r="AY2" s="194"/>
    </row>
    <row r="3" spans="1:51" s="2" customFormat="1" x14ac:dyDescent="0.25">
      <c r="A3" s="128" t="s">
        <v>0</v>
      </c>
      <c r="B3" s="129" t="s">
        <v>1</v>
      </c>
      <c r="C3" s="129" t="s">
        <v>5</v>
      </c>
      <c r="D3" s="129" t="s">
        <v>226</v>
      </c>
      <c r="E3" s="129" t="s">
        <v>227</v>
      </c>
      <c r="F3" s="129" t="s">
        <v>247</v>
      </c>
      <c r="G3" s="129" t="s">
        <v>256</v>
      </c>
      <c r="H3" s="129" t="s">
        <v>215</v>
      </c>
      <c r="I3" s="129" t="s">
        <v>228</v>
      </c>
      <c r="J3" s="129" t="s">
        <v>209</v>
      </c>
      <c r="K3" s="129" t="s">
        <v>248</v>
      </c>
      <c r="L3" s="129" t="s">
        <v>216</v>
      </c>
      <c r="M3" s="129" t="s">
        <v>229</v>
      </c>
      <c r="N3" s="129" t="s">
        <v>239</v>
      </c>
      <c r="O3" s="129" t="s">
        <v>210</v>
      </c>
      <c r="P3" s="129" t="s">
        <v>217</v>
      </c>
      <c r="Q3" s="129" t="s">
        <v>230</v>
      </c>
      <c r="R3" s="129" t="s">
        <v>240</v>
      </c>
      <c r="S3" s="129" t="s">
        <v>249</v>
      </c>
      <c r="T3" s="129" t="s">
        <v>218</v>
      </c>
      <c r="U3" s="129" t="s">
        <v>231</v>
      </c>
      <c r="V3" s="129" t="s">
        <v>241</v>
      </c>
      <c r="W3" s="129" t="s">
        <v>250</v>
      </c>
      <c r="X3" s="129" t="s">
        <v>219</v>
      </c>
      <c r="Y3" s="129" t="s">
        <v>232</v>
      </c>
      <c r="Z3" s="129" t="s">
        <v>211</v>
      </c>
      <c r="AA3" s="129" t="s">
        <v>251</v>
      </c>
      <c r="AB3" s="129" t="s">
        <v>220</v>
      </c>
      <c r="AC3" s="129" t="s">
        <v>233</v>
      </c>
      <c r="AD3" s="129" t="s">
        <v>242</v>
      </c>
      <c r="AE3" s="129" t="s">
        <v>212</v>
      </c>
      <c r="AF3" s="129" t="s">
        <v>221</v>
      </c>
      <c r="AG3" s="129" t="s">
        <v>234</v>
      </c>
      <c r="AH3" s="129" t="s">
        <v>243</v>
      </c>
      <c r="AI3" s="129" t="s">
        <v>252</v>
      </c>
      <c r="AJ3" s="129" t="s">
        <v>222</v>
      </c>
      <c r="AK3" s="129" t="s">
        <v>235</v>
      </c>
      <c r="AL3" s="129" t="s">
        <v>244</v>
      </c>
      <c r="AM3" s="129" t="s">
        <v>253</v>
      </c>
      <c r="AN3" s="129" t="s">
        <v>223</v>
      </c>
      <c r="AO3" s="129" t="s">
        <v>236</v>
      </c>
      <c r="AP3" s="129" t="s">
        <v>213</v>
      </c>
      <c r="AQ3" s="129" t="s">
        <v>254</v>
      </c>
      <c r="AR3" s="129" t="s">
        <v>224</v>
      </c>
      <c r="AS3" s="129" t="s">
        <v>237</v>
      </c>
      <c r="AT3" s="129" t="s">
        <v>245</v>
      </c>
      <c r="AU3" s="129" t="s">
        <v>214</v>
      </c>
      <c r="AV3" s="129" t="s">
        <v>225</v>
      </c>
      <c r="AW3" s="129" t="s">
        <v>238</v>
      </c>
      <c r="AX3" s="129" t="s">
        <v>246</v>
      </c>
      <c r="AY3" s="129" t="s">
        <v>255</v>
      </c>
    </row>
    <row r="4" spans="1:51" x14ac:dyDescent="0.25">
      <c r="A4" s="132" t="s">
        <v>260</v>
      </c>
      <c r="B4" s="132" t="s">
        <v>261</v>
      </c>
      <c r="C4" s="132">
        <v>1234556</v>
      </c>
      <c r="D4" s="130"/>
      <c r="E4" s="130">
        <v>24</v>
      </c>
      <c r="F4" s="130">
        <v>6</v>
      </c>
      <c r="G4" s="130"/>
      <c r="H4" s="131"/>
      <c r="I4" s="131"/>
      <c r="J4" s="131"/>
      <c r="K4" s="131"/>
      <c r="L4" s="130"/>
      <c r="M4" s="130"/>
      <c r="N4" s="130"/>
      <c r="O4" s="130"/>
      <c r="P4" s="131"/>
      <c r="Q4" s="131"/>
      <c r="R4" s="131"/>
      <c r="S4" s="131"/>
      <c r="T4" s="130"/>
      <c r="U4" s="130"/>
      <c r="V4" s="130"/>
      <c r="W4" s="130"/>
      <c r="X4" s="131"/>
      <c r="Y4" s="131"/>
      <c r="Z4" s="131"/>
      <c r="AA4" s="131"/>
      <c r="AB4" s="130"/>
      <c r="AC4" s="130"/>
      <c r="AD4" s="130"/>
      <c r="AE4" s="130"/>
      <c r="AF4" s="131"/>
      <c r="AG4" s="131"/>
      <c r="AH4" s="131"/>
      <c r="AI4" s="131"/>
      <c r="AJ4" s="130"/>
      <c r="AK4" s="130"/>
      <c r="AL4" s="130"/>
      <c r="AM4" s="130"/>
      <c r="AN4" s="131"/>
      <c r="AO4" s="131"/>
      <c r="AP4" s="131"/>
      <c r="AQ4" s="131"/>
      <c r="AR4" s="130"/>
      <c r="AS4" s="130"/>
      <c r="AT4" s="130"/>
      <c r="AU4" s="130"/>
      <c r="AV4" s="131"/>
      <c r="AW4" s="131"/>
      <c r="AX4" s="131"/>
      <c r="AY4" s="131"/>
    </row>
  </sheetData>
  <mergeCells count="13">
    <mergeCell ref="T1:W2"/>
    <mergeCell ref="A1:C2"/>
    <mergeCell ref="D1:G2"/>
    <mergeCell ref="H1:K2"/>
    <mergeCell ref="L1:O2"/>
    <mergeCell ref="P1:S2"/>
    <mergeCell ref="AV1:AY2"/>
    <mergeCell ref="X1:AA2"/>
    <mergeCell ref="AB1:AE2"/>
    <mergeCell ref="AF1:AI2"/>
    <mergeCell ref="AJ1:AM2"/>
    <mergeCell ref="AN1:AQ2"/>
    <mergeCell ref="AR1:AU2"/>
  </mergeCells>
  <dataValidations count="1">
    <dataValidation type="decimal" allowBlank="1" showInputMessage="1" showErrorMessage="1" errorTitle="Have to enter a number" error="Have to enter a reasonable number of hours here._x000a_" sqref="D4:F4 H4:J4 L4:N4 P4:R4 T4:V4 X4:Z4 AB4:AD4 AF4:AH4 AJ4:AL4 AN4:AP4 AR4:AT4 AV4:AX4">
      <formula1>0</formula1>
      <formula2>300</formula2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Y4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16" sqref="E16"/>
    </sheetView>
  </sheetViews>
  <sheetFormatPr defaultRowHeight="15" x14ac:dyDescent="0.25"/>
  <cols>
    <col min="1" max="1" width="15.42578125" customWidth="1"/>
    <col min="2" max="3" width="14.5703125" customWidth="1"/>
    <col min="4" max="51" width="11.7109375" customWidth="1"/>
  </cols>
  <sheetData>
    <row r="1" spans="1:51" x14ac:dyDescent="0.25">
      <c r="A1" s="191" t="str">
        <f>"Basic Information - # clients listed: "&amp;COUNTA(Intern2[First Name])</f>
        <v>Basic Information - # clients listed: 1</v>
      </c>
      <c r="B1" s="191"/>
      <c r="C1" s="191"/>
      <c r="D1" s="193">
        <v>42005</v>
      </c>
      <c r="E1" s="193"/>
      <c r="F1" s="193"/>
      <c r="G1" s="193"/>
      <c r="H1" s="193">
        <v>42036</v>
      </c>
      <c r="I1" s="193"/>
      <c r="J1" s="193"/>
      <c r="K1" s="193"/>
      <c r="L1" s="193">
        <v>42064</v>
      </c>
      <c r="M1" s="193"/>
      <c r="N1" s="193"/>
      <c r="O1" s="193"/>
      <c r="P1" s="193">
        <v>42095</v>
      </c>
      <c r="Q1" s="193"/>
      <c r="R1" s="193"/>
      <c r="S1" s="193"/>
      <c r="T1" s="193">
        <v>42125</v>
      </c>
      <c r="U1" s="193"/>
      <c r="V1" s="193"/>
      <c r="W1" s="193"/>
      <c r="X1" s="193">
        <v>42156</v>
      </c>
      <c r="Y1" s="193"/>
      <c r="Z1" s="193"/>
      <c r="AA1" s="193"/>
      <c r="AB1" s="193">
        <v>42186</v>
      </c>
      <c r="AC1" s="193"/>
      <c r="AD1" s="193"/>
      <c r="AE1" s="193"/>
      <c r="AF1" s="193">
        <v>42217</v>
      </c>
      <c r="AG1" s="193"/>
      <c r="AH1" s="193"/>
      <c r="AI1" s="193"/>
      <c r="AJ1" s="193">
        <v>42248</v>
      </c>
      <c r="AK1" s="193"/>
      <c r="AL1" s="193"/>
      <c r="AM1" s="193"/>
      <c r="AN1" s="193">
        <v>42278</v>
      </c>
      <c r="AO1" s="193"/>
      <c r="AP1" s="193"/>
      <c r="AQ1" s="193"/>
      <c r="AR1" s="193">
        <v>42309</v>
      </c>
      <c r="AS1" s="193"/>
      <c r="AT1" s="193"/>
      <c r="AU1" s="193"/>
      <c r="AV1" s="193">
        <v>42339</v>
      </c>
      <c r="AW1" s="193"/>
      <c r="AX1" s="193"/>
      <c r="AY1" s="193"/>
    </row>
    <row r="2" spans="1:51" ht="23.25" customHeight="1" x14ac:dyDescent="0.25">
      <c r="A2" s="192"/>
      <c r="B2" s="192"/>
      <c r="C2" s="192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  <c r="AU2" s="194"/>
      <c r="AV2" s="194"/>
      <c r="AW2" s="194"/>
      <c r="AX2" s="194"/>
      <c r="AY2" s="194"/>
    </row>
    <row r="3" spans="1:51" s="2" customFormat="1" x14ac:dyDescent="0.25">
      <c r="A3" s="128" t="s">
        <v>0</v>
      </c>
      <c r="B3" s="129" t="s">
        <v>1</v>
      </c>
      <c r="C3" s="129" t="s">
        <v>5</v>
      </c>
      <c r="D3" s="129" t="s">
        <v>226</v>
      </c>
      <c r="E3" s="129" t="s">
        <v>227</v>
      </c>
      <c r="F3" s="129" t="s">
        <v>247</v>
      </c>
      <c r="G3" s="129" t="s">
        <v>256</v>
      </c>
      <c r="H3" s="129" t="s">
        <v>215</v>
      </c>
      <c r="I3" s="129" t="s">
        <v>228</v>
      </c>
      <c r="J3" s="129" t="s">
        <v>209</v>
      </c>
      <c r="K3" s="129" t="s">
        <v>248</v>
      </c>
      <c r="L3" s="129" t="s">
        <v>216</v>
      </c>
      <c r="M3" s="129" t="s">
        <v>229</v>
      </c>
      <c r="N3" s="129" t="s">
        <v>239</v>
      </c>
      <c r="O3" s="129" t="s">
        <v>210</v>
      </c>
      <c r="P3" s="129" t="s">
        <v>217</v>
      </c>
      <c r="Q3" s="129" t="s">
        <v>230</v>
      </c>
      <c r="R3" s="129" t="s">
        <v>240</v>
      </c>
      <c r="S3" s="129" t="s">
        <v>249</v>
      </c>
      <c r="T3" s="129" t="s">
        <v>218</v>
      </c>
      <c r="U3" s="129" t="s">
        <v>231</v>
      </c>
      <c r="V3" s="129" t="s">
        <v>241</v>
      </c>
      <c r="W3" s="129" t="s">
        <v>250</v>
      </c>
      <c r="X3" s="129" t="s">
        <v>219</v>
      </c>
      <c r="Y3" s="129" t="s">
        <v>232</v>
      </c>
      <c r="Z3" s="129" t="s">
        <v>211</v>
      </c>
      <c r="AA3" s="129" t="s">
        <v>251</v>
      </c>
      <c r="AB3" s="129" t="s">
        <v>220</v>
      </c>
      <c r="AC3" s="129" t="s">
        <v>233</v>
      </c>
      <c r="AD3" s="129" t="s">
        <v>242</v>
      </c>
      <c r="AE3" s="129" t="s">
        <v>212</v>
      </c>
      <c r="AF3" s="129" t="s">
        <v>221</v>
      </c>
      <c r="AG3" s="129" t="s">
        <v>234</v>
      </c>
      <c r="AH3" s="129" t="s">
        <v>243</v>
      </c>
      <c r="AI3" s="129" t="s">
        <v>252</v>
      </c>
      <c r="AJ3" s="129" t="s">
        <v>222</v>
      </c>
      <c r="AK3" s="129" t="s">
        <v>235</v>
      </c>
      <c r="AL3" s="129" t="s">
        <v>244</v>
      </c>
      <c r="AM3" s="129" t="s">
        <v>253</v>
      </c>
      <c r="AN3" s="129" t="s">
        <v>223</v>
      </c>
      <c r="AO3" s="129" t="s">
        <v>236</v>
      </c>
      <c r="AP3" s="129" t="s">
        <v>213</v>
      </c>
      <c r="AQ3" s="129" t="s">
        <v>254</v>
      </c>
      <c r="AR3" s="129" t="s">
        <v>224</v>
      </c>
      <c r="AS3" s="129" t="s">
        <v>237</v>
      </c>
      <c r="AT3" s="129" t="s">
        <v>245</v>
      </c>
      <c r="AU3" s="129" t="s">
        <v>214</v>
      </c>
      <c r="AV3" s="129" t="s">
        <v>225</v>
      </c>
      <c r="AW3" s="129" t="s">
        <v>238</v>
      </c>
      <c r="AX3" s="129" t="s">
        <v>246</v>
      </c>
      <c r="AY3" s="129" t="s">
        <v>255</v>
      </c>
    </row>
    <row r="4" spans="1:51" x14ac:dyDescent="0.25">
      <c r="A4" s="132" t="s">
        <v>260</v>
      </c>
      <c r="B4" s="132" t="s">
        <v>261</v>
      </c>
      <c r="C4" s="132">
        <v>1234556</v>
      </c>
      <c r="D4" s="130"/>
      <c r="E4" s="130"/>
      <c r="F4" s="130"/>
      <c r="G4" s="130"/>
      <c r="H4" s="131"/>
      <c r="I4" s="131"/>
      <c r="J4" s="131"/>
      <c r="K4" s="131"/>
      <c r="L4" s="130"/>
      <c r="M4" s="130"/>
      <c r="N4" s="130"/>
      <c r="O4" s="130"/>
      <c r="P4" s="131"/>
      <c r="Q4" s="131"/>
      <c r="R4" s="131"/>
      <c r="S4" s="131"/>
      <c r="T4" s="130"/>
      <c r="U4" s="130"/>
      <c r="V4" s="130"/>
      <c r="W4" s="130"/>
      <c r="X4" s="131"/>
      <c r="Y4" s="131"/>
      <c r="Z4" s="131"/>
      <c r="AA4" s="131"/>
      <c r="AB4" s="130"/>
      <c r="AC4" s="130"/>
      <c r="AD4" s="130"/>
      <c r="AE4" s="130"/>
      <c r="AF4" s="131"/>
      <c r="AG4" s="131"/>
      <c r="AH4" s="131"/>
      <c r="AI4" s="131"/>
      <c r="AJ4" s="130"/>
      <c r="AK4" s="130"/>
      <c r="AL4" s="130"/>
      <c r="AM4" s="130"/>
      <c r="AN4" s="131"/>
      <c r="AO4" s="131"/>
      <c r="AP4" s="131"/>
      <c r="AQ4" s="131"/>
      <c r="AR4" s="130"/>
      <c r="AS4" s="130"/>
      <c r="AT4" s="130"/>
      <c r="AU4" s="130"/>
      <c r="AV4" s="131"/>
      <c r="AW4" s="131"/>
      <c r="AX4" s="131"/>
      <c r="AY4" s="131"/>
    </row>
  </sheetData>
  <mergeCells count="13">
    <mergeCell ref="T1:W2"/>
    <mergeCell ref="A1:C2"/>
    <mergeCell ref="D1:G2"/>
    <mergeCell ref="H1:K2"/>
    <mergeCell ref="L1:O2"/>
    <mergeCell ref="P1:S2"/>
    <mergeCell ref="AV1:AY2"/>
    <mergeCell ref="X1:AA2"/>
    <mergeCell ref="AB1:AE2"/>
    <mergeCell ref="AF1:AI2"/>
    <mergeCell ref="AJ1:AM2"/>
    <mergeCell ref="AN1:AQ2"/>
    <mergeCell ref="AR1:AU2"/>
  </mergeCells>
  <dataValidations count="1">
    <dataValidation type="decimal" allowBlank="1" showInputMessage="1" showErrorMessage="1" errorTitle="Have to enter a number" error="Have to enter a reasonable number of hours here._x000a_" sqref="D4:F4 H4:J4 L4:N4 P4:R4 T4:V4 X4:Z4 AB4:AD4 AF4:AH4 AJ4:AL4 AN4:AP4 AR4:AT4 AV4:AX4">
      <formula1>0</formula1>
      <formula2>300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FY2015</vt:lpstr>
      <vt:lpstr>Staff 1</vt:lpstr>
      <vt:lpstr>Staff 2</vt:lpstr>
      <vt:lpstr>Intern 1</vt:lpstr>
      <vt:lpstr>Intern 2</vt:lpstr>
      <vt:lpstr>Categories</vt:lpstr>
      <vt:lpstr>'FY2015'!Print_Area</vt:lpstr>
    </vt:vector>
  </TitlesOfParts>
  <Company>Lutheran Family Services of Colorado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emily.case</dc:creator>
  <cp:lastModifiedBy>Charlene Barina</cp:lastModifiedBy>
  <cp:lastPrinted>2014-07-07T19:23:13Z</cp:lastPrinted>
  <dcterms:created xsi:type="dcterms:W3CDTF">2014-06-10T15:04:08Z</dcterms:created>
  <dcterms:modified xsi:type="dcterms:W3CDTF">2016-03-18T20:51:30Z</dcterms:modified>
</cp:coreProperties>
</file>